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tris42.sharepoint.com/sites/gad_wrkgrp_actuarial/pspsactuarialwork/Central/Factors &amp; Guidance/2024 Guidance Review/4. Online portal/3. Import data/3. Factor tables/0_client_friendly/Ready to be uploaded/2025-03/"/>
    </mc:Choice>
  </mc:AlternateContent>
  <xr:revisionPtr revIDLastSave="0" documentId="8_{70B9524B-3897-434C-B374-50CB87E0F194}" xr6:coauthVersionLast="47" xr6:coauthVersionMax="47" xr10:uidLastSave="{00000000-0000-0000-0000-000000000000}"/>
  <bookViews>
    <workbookView xWindow="-110" yWindow="-110" windowWidth="22780" windowHeight="14540" tabRatio="815" firstSheet="8" activeTab="23" xr2:uid="{00000000-000D-0000-FFFF-FFFF00000000}"/>
  </bookViews>
  <sheets>
    <sheet name="Cover" sheetId="1" r:id="rId1"/>
    <sheet name="Purpose of spreadsheet" sheetId="77" r:id="rId2"/>
    <sheet name="Version Control" sheetId="78" r:id="rId3"/>
    <sheet name="Summary - NHSPS_EW" sheetId="56" state="hidden" r:id="rId4"/>
    <sheet name="AnnGenHiddenLists" sheetId="103" state="hidden" r:id="rId5"/>
    <sheet name="x-Series Number" sheetId="102" state="hidden" r:id="rId6"/>
    <sheet name="Factor List" sheetId="55" r:id="rId7"/>
    <sheet name="Assumptions" sheetId="213" r:id="rId8"/>
    <sheet name="x-101" sheetId="209" r:id="rId9"/>
    <sheet name="x-102" sheetId="210" r:id="rId10"/>
    <sheet name="x-103" sheetId="211" r:id="rId11"/>
    <sheet name="x-104" sheetId="212" r:id="rId12"/>
    <sheet name="x-201" sheetId="104" r:id="rId13"/>
    <sheet name="x-202" sheetId="105" r:id="rId14"/>
    <sheet name="x-203" sheetId="106" r:id="rId15"/>
    <sheet name="x-204" sheetId="107" r:id="rId16"/>
    <sheet name="x-205" sheetId="108" r:id="rId17"/>
    <sheet name="x-206" sheetId="109" r:id="rId18"/>
    <sheet name="x-207" sheetId="110" r:id="rId19"/>
    <sheet name="x-208" sheetId="111" r:id="rId20"/>
    <sheet name="x-209" sheetId="114" r:id="rId21"/>
    <sheet name="x-217" sheetId="200" r:id="rId22"/>
    <sheet name="x-218" sheetId="217" r:id="rId23"/>
    <sheet name="x-219" sheetId="220" r:id="rId24"/>
    <sheet name="x-301" sheetId="115" r:id="rId25"/>
    <sheet name="x-302" sheetId="116" r:id="rId26"/>
    <sheet name="x-303" sheetId="117" r:id="rId27"/>
    <sheet name="x-304" sheetId="118" r:id="rId28"/>
    <sheet name="x-305" sheetId="119" r:id="rId29"/>
    <sheet name="x-306" sheetId="143" r:id="rId30"/>
    <sheet name="x-307" sheetId="144" r:id="rId31"/>
    <sheet name="x-308" sheetId="214" r:id="rId32"/>
    <sheet name="x-401" sheetId="120" r:id="rId33"/>
    <sheet name="x-402" sheetId="121" r:id="rId34"/>
    <sheet name="x-403" sheetId="122" r:id="rId35"/>
    <sheet name="x-404" sheetId="123" r:id="rId36"/>
    <sheet name="x-405" sheetId="124" r:id="rId37"/>
    <sheet name="x-406" sheetId="125" r:id="rId38"/>
    <sheet name="x-407" sheetId="126" r:id="rId39"/>
    <sheet name="x-408" sheetId="127" r:id="rId40"/>
    <sheet name="x-409" sheetId="128" r:id="rId41"/>
    <sheet name="x-410" sheetId="129" r:id="rId42"/>
    <sheet name="x-411" sheetId="130" r:id="rId43"/>
    <sheet name="x-412" sheetId="131" r:id="rId44"/>
    <sheet name="x-413" sheetId="132" r:id="rId45"/>
    <sheet name="x-414" sheetId="133" r:id="rId46"/>
    <sheet name="x-415" sheetId="134" r:id="rId47"/>
    <sheet name="x-416" sheetId="135" r:id="rId48"/>
    <sheet name="x-417" sheetId="136" r:id="rId49"/>
    <sheet name="x-418" sheetId="137" r:id="rId50"/>
    <sheet name="x-419" sheetId="138" r:id="rId51"/>
    <sheet name="x-420" sheetId="139" r:id="rId52"/>
    <sheet name="x-421" sheetId="142" r:id="rId53"/>
    <sheet name="x-422" sheetId="141" r:id="rId54"/>
    <sheet name="x-423" sheetId="215" r:id="rId55"/>
    <sheet name="x-501" sheetId="145" r:id="rId56"/>
    <sheet name="x-502" sheetId="146" r:id="rId57"/>
    <sheet name="x-503" sheetId="147" r:id="rId58"/>
    <sheet name="x-504" sheetId="148" r:id="rId59"/>
    <sheet name="x-505" sheetId="216" r:id="rId60"/>
    <sheet name="x-601" sheetId="203" r:id="rId61"/>
    <sheet name="x-602" sheetId="204" r:id="rId62"/>
    <sheet name="x-603" sheetId="205" r:id="rId63"/>
    <sheet name="x-604" sheetId="206" r:id="rId64"/>
    <sheet name="x-605" sheetId="207" r:id="rId65"/>
    <sheet name="x-606" sheetId="208" r:id="rId66"/>
    <sheet name="x-703" sheetId="165" r:id="rId67"/>
    <sheet name="x-704" sheetId="166" r:id="rId68"/>
    <sheet name="x-705" sheetId="167" r:id="rId69"/>
    <sheet name="x-706" sheetId="168" r:id="rId70"/>
    <sheet name="x-707" sheetId="169" r:id="rId71"/>
    <sheet name="x-708" sheetId="170" r:id="rId72"/>
    <sheet name="x-709" sheetId="171" r:id="rId73"/>
    <sheet name="x-710" sheetId="172" r:id="rId74"/>
    <sheet name="x-711" sheetId="173" r:id="rId75"/>
    <sheet name="x-712" sheetId="174" r:id="rId76"/>
    <sheet name="x-713" sheetId="175" r:id="rId77"/>
    <sheet name="x-714" sheetId="176" r:id="rId78"/>
    <sheet name="x-715" sheetId="177" r:id="rId79"/>
    <sheet name="x-716" sheetId="178" r:id="rId80"/>
    <sheet name="x-717" sheetId="179" r:id="rId81"/>
    <sheet name="x-718" sheetId="180" r:id="rId82"/>
    <sheet name="x-719" sheetId="181" r:id="rId83"/>
    <sheet name="x-720" sheetId="162" r:id="rId84"/>
    <sheet name="x-721" sheetId="192" r:id="rId85"/>
    <sheet name="x-722" sheetId="193" r:id="rId86"/>
    <sheet name="x-723" sheetId="194" r:id="rId87"/>
    <sheet name="x-801" sheetId="149" r:id="rId88"/>
    <sheet name="x-802" sheetId="150" r:id="rId89"/>
    <sheet name="x-803" sheetId="151" r:id="rId90"/>
    <sheet name="x-804" sheetId="152" r:id="rId91"/>
    <sheet name="x-805" sheetId="153" r:id="rId92"/>
    <sheet name="x-806" sheetId="154" r:id="rId93"/>
    <sheet name="x-807" sheetId="155" r:id="rId94"/>
    <sheet name="x-808" sheetId="156" r:id="rId95"/>
    <sheet name="x-809" sheetId="157" r:id="rId96"/>
    <sheet name="x-810" sheetId="158" r:id="rId97"/>
    <sheet name="x-811" sheetId="159" r:id="rId98"/>
    <sheet name="x-812" sheetId="160" r:id="rId99"/>
    <sheet name="x-813" sheetId="161" r:id="rId100"/>
    <sheet name="x-814" sheetId="191" r:id="rId101"/>
    <sheet name="x-815" sheetId="183" r:id="rId102"/>
    <sheet name="x-816" sheetId="184" r:id="rId103"/>
    <sheet name="x-817" sheetId="185" r:id="rId104"/>
    <sheet name="x-818" sheetId="186" r:id="rId105"/>
    <sheet name="x-819" sheetId="187" r:id="rId106"/>
    <sheet name="x-820" sheetId="188" r:id="rId107"/>
    <sheet name="x-821" sheetId="189" r:id="rId108"/>
    <sheet name="x-822" sheetId="190" r:id="rId109"/>
    <sheet name="x-823" sheetId="219" r:id="rId110"/>
  </sheets>
  <externalReferences>
    <externalReference r:id="rId111"/>
    <externalReference r:id="rId112"/>
    <externalReference r:id="rId113"/>
    <externalReference r:id="rId114"/>
    <externalReference r:id="rId115"/>
    <externalReference r:id="rId116"/>
    <externalReference r:id="rId117"/>
    <externalReference r:id="rId118"/>
  </externalReferences>
  <definedNames>
    <definedName name="age_rng" localSheetId="7">#REF!</definedName>
    <definedName name="age_rng">'x-721'!$B$165:$B$269</definedName>
    <definedName name="BaseTablesList">AnnGenHiddenLists!$A$4:$A$160</definedName>
    <definedName name="DATE_MODIFIED">'Version Control'!$C$17</definedName>
    <definedName name="FACTOR_LIST_AGE_DEF">'Factor List'!$G$7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 localSheetId="7">'[1]Factor List'!#REF!</definedName>
    <definedName name="FACTOR_LIST_FACTOR_STATUS">'Factor List'!$P$7</definedName>
    <definedName name="FACTOR_LIST_FACTOR_TYPE">'Factor List'!$D$7</definedName>
    <definedName name="FACTOR_LIST_GENDER">'Factor List'!$F$7</definedName>
    <definedName name="FACTOR_LIST_HEADINGS">'Factor List'!$B$7:$P$7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LIST_SOURCE">'Factor List'!#REF!</definedName>
    <definedName name="FACTOR_LIST_TABLE_ID">'Factor List'!#REF!</definedName>
    <definedName name="FACTOR_LIST_TIMESTAMP">'Factor List'!#REF!</definedName>
    <definedName name="FACTOR_LIST_USER_ID">'Factor List'!#REF!</definedName>
    <definedName name="factor_table" localSheetId="7">#REF!</definedName>
    <definedName name="factor_table">'x-721'!$C$165:$OL$269</definedName>
    <definedName name="ImprovementsList">AnnGenHiddenLists!$C$4:$C$36</definedName>
    <definedName name="_xlnm.Print_Area" localSheetId="3">'Summary - NHSPS_EW'!$A$1:$G$224</definedName>
    <definedName name="_xlnm.Print_Area" localSheetId="2">'Version Control'!$A$1:$C$17</definedName>
    <definedName name="_xlnm.Print_Area" localSheetId="12">'x-201'!$A$1:$F$66</definedName>
    <definedName name="_xlnm.Print_Area" localSheetId="13">'x-202'!$A$1:$E$66</definedName>
    <definedName name="_xlnm.Print_Area" localSheetId="14">'x-203'!$A$1:$F$74</definedName>
    <definedName name="_xlnm.Print_Area" localSheetId="15">'x-204'!$A$1:$M$69</definedName>
    <definedName name="_xlnm.Print_Area" localSheetId="16">'x-205'!$A$1:$F$47</definedName>
    <definedName name="_xlnm.Print_Area" localSheetId="17">'x-206'!$A$1:$F$48</definedName>
    <definedName name="_xlnm.Print_Area" localSheetId="18">'x-207'!$A$1:$F$68</definedName>
    <definedName name="_xlnm.Print_Area" localSheetId="19">'x-208'!$A$1:$E$69</definedName>
    <definedName name="_xlnm.Print_Area" localSheetId="20">'x-209'!$A$1:$F$126</definedName>
    <definedName name="_xlnm.Print_Area" localSheetId="21">'x-217'!$A$1:$I$77</definedName>
    <definedName name="_xlnm.Print_Area" localSheetId="22">'x-218'!$A$1:$H$78</definedName>
    <definedName name="_xlnm.Print_Area" localSheetId="23">'x-219'!$A$1:$H$78</definedName>
    <definedName name="_xlnm.Print_Area" localSheetId="24">'x-301'!$A$1:$H$78</definedName>
    <definedName name="_xlnm.Print_Area" localSheetId="25">'x-302'!$A$1:$H$104</definedName>
    <definedName name="_xlnm.Print_Area" localSheetId="26">'x-303'!$A$1:$F$33</definedName>
    <definedName name="_xlnm.Print_Area" localSheetId="27">'x-304'!$A$1:$F$73</definedName>
    <definedName name="_xlnm.Print_Area" localSheetId="28">'x-305'!$A$1:$G$103</definedName>
    <definedName name="_xlnm.Print_Area" localSheetId="29">'x-306'!$A$26:$N$48</definedName>
    <definedName name="_xlnm.Print_Area" localSheetId="30">'x-307'!$A$26:$N$48</definedName>
    <definedName name="_xlnm.Print_Area" localSheetId="31">'x-308'!$A$26:$L$47</definedName>
    <definedName name="_xlnm.Print_Area" localSheetId="32">'x-401'!$A$26:$N$48</definedName>
    <definedName name="_xlnm.Print_Area" localSheetId="33">'x-402'!$A$26:$N$48</definedName>
    <definedName name="_xlnm.Print_Area" localSheetId="34">'x-403'!$A$26:$N$48</definedName>
    <definedName name="_xlnm.Print_Area" localSheetId="35">'x-404'!$A$26:$N$49</definedName>
    <definedName name="_xlnm.Print_Area" localSheetId="36">'x-405'!$A$26:$N$48</definedName>
    <definedName name="_xlnm.Print_Area" localSheetId="37">'x-406'!$A$26:$N$48</definedName>
    <definedName name="_xlnm.Print_Area" localSheetId="38">'x-407'!$A$26:$N$48</definedName>
    <definedName name="_xlnm.Print_Area" localSheetId="39">'x-408'!$A$26:$N$48</definedName>
    <definedName name="_xlnm.Print_Area" localSheetId="40">'x-409'!$A$26:$N$48</definedName>
    <definedName name="_xlnm.Print_Area" localSheetId="41">'x-410'!$A$26:$N$48</definedName>
    <definedName name="_xlnm.Print_Area" localSheetId="42">'x-411'!$A$26:$N$48</definedName>
    <definedName name="_xlnm.Print_Area" localSheetId="43">'x-412'!$A$26:$N$48</definedName>
    <definedName name="_xlnm.Print_Area" localSheetId="44">'x-413'!$A$26:$N$48</definedName>
    <definedName name="_xlnm.Print_Area" localSheetId="45">'x-414'!$A$26:$N$48</definedName>
    <definedName name="_xlnm.Print_Area" localSheetId="46">'x-415'!$A$26:$N$48</definedName>
    <definedName name="_xlnm.Print_Area" localSheetId="47">'x-416'!$A$26:$N$48</definedName>
    <definedName name="_xlnm.Print_Area" localSheetId="48">'x-417'!$A$26:$N$48</definedName>
    <definedName name="_xlnm.Print_Area" localSheetId="49">'x-418'!$A$26:$N$48</definedName>
    <definedName name="_xlnm.Print_Area" localSheetId="50">'x-419'!$A$26:$N$48</definedName>
    <definedName name="_xlnm.Print_Area" localSheetId="51">'x-420'!$A$26:$N$48</definedName>
    <definedName name="_xlnm.Print_Area" localSheetId="52">'x-421'!$A$26:$N$47</definedName>
    <definedName name="_xlnm.Print_Area" localSheetId="53">'x-422'!$A$26:$N$48</definedName>
    <definedName name="_xlnm.Print_Area" localSheetId="54">'x-423'!$A$25:$N$35</definedName>
    <definedName name="_xlnm.Print_Area" localSheetId="55">'x-501'!$A$26:$N$48</definedName>
    <definedName name="_xlnm.Print_Area" localSheetId="56">'x-502'!$A$26:$N$48</definedName>
    <definedName name="_xlnm.Print_Area" localSheetId="57">'x-503'!$A$26:$N$48</definedName>
    <definedName name="_xlnm.Print_Area" localSheetId="58">'x-504'!$A$26:$N$48</definedName>
    <definedName name="_xlnm.Print_Area" localSheetId="59">'x-505'!$A$26:$L$47</definedName>
    <definedName name="_xlnm.Print_Area" localSheetId="60">'x-601'!$A$1:$F$52</definedName>
    <definedName name="_xlnm.Print_Area" localSheetId="61">'x-602'!$A$1:$G$71</definedName>
    <definedName name="_xlnm.Print_Area" localSheetId="62">'x-603'!$A$1:$H$47</definedName>
    <definedName name="_xlnm.Print_Area" localSheetId="63">'x-604'!$A$1:$H$74</definedName>
    <definedName name="_xlnm.Print_Area" localSheetId="64">'x-605'!$A$1:$G$25</definedName>
    <definedName name="_xlnm.Print_Area" localSheetId="65">'x-606'!$A$1:$H$25</definedName>
    <definedName name="_xlnm.Print_Area" localSheetId="66">'x-703'!$A$26:$N$76</definedName>
    <definedName name="_xlnm.Print_Area" localSheetId="67">'x-704'!$A$26:$N$48</definedName>
    <definedName name="_xlnm.Print_Area" localSheetId="68">'x-705'!$A$26:$N$48</definedName>
    <definedName name="_xlnm.Print_Area" localSheetId="69">'x-706'!$A$26:$N$48</definedName>
    <definedName name="_xlnm.Print_Area" localSheetId="70">'x-707'!$A$26:$N$48</definedName>
    <definedName name="_xlnm.Print_Area" localSheetId="71">'x-708'!$A$26:$N$48</definedName>
    <definedName name="_xlnm.Print_Area" localSheetId="72">'x-709'!$A$26:$N$48</definedName>
    <definedName name="_xlnm.Print_Area" localSheetId="73">'x-710'!$A$26:$N$48</definedName>
    <definedName name="_xlnm.Print_Area" localSheetId="74">'x-711'!$A$26:$N$48</definedName>
    <definedName name="_xlnm.Print_Area" localSheetId="75">'x-712'!$A$26:$N$48</definedName>
    <definedName name="_xlnm.Print_Area" localSheetId="76">'x-713'!$A$26:$N$48</definedName>
    <definedName name="_xlnm.Print_Area" localSheetId="77">'x-714'!$A$26:$N$48</definedName>
    <definedName name="_xlnm.Print_Area" localSheetId="78">'x-715'!$A$26:$N$48</definedName>
    <definedName name="_xlnm.Print_Area" localSheetId="79">'x-716'!$A$26:$N$48</definedName>
    <definedName name="_xlnm.Print_Area" localSheetId="80">'x-717'!$A$26:$N$48</definedName>
    <definedName name="_xlnm.Print_Area" localSheetId="81">'x-718'!$A$26:$N$48</definedName>
    <definedName name="_xlnm.Print_Area" localSheetId="82">'x-719'!$A$26:$N$48</definedName>
    <definedName name="_xlnm.Print_Area" localSheetId="83">'x-720'!$A$26:$N$48</definedName>
    <definedName name="_xlnm.Print_Area" localSheetId="84">'x-721'!$A$1:$AA$104</definedName>
    <definedName name="_xlnm.Print_Area" localSheetId="85">'x-722'!$1:$104</definedName>
    <definedName name="_xlnm.Print_Area" localSheetId="86">'x-723'!$A$1:$AU$104</definedName>
    <definedName name="_xlnm.Print_Area" localSheetId="87">'x-801'!$A$26:$N$48</definedName>
    <definedName name="_xlnm.Print_Area" localSheetId="88">'x-802'!$A$26:$N$48</definedName>
    <definedName name="_xlnm.Print_Area" localSheetId="89">'x-803'!$A$26:$N$48</definedName>
    <definedName name="_xlnm.Print_Area" localSheetId="90">'x-804'!$A$26:$N$48</definedName>
    <definedName name="_xlnm.Print_Area" localSheetId="91">'x-805'!$A$26:$N$48</definedName>
    <definedName name="_xlnm.Print_Area" localSheetId="92">'x-806'!$A$26:$N$48</definedName>
    <definedName name="_xlnm.Print_Area" localSheetId="93">'x-807'!$A$26:$N$48</definedName>
    <definedName name="_xlnm.Print_Area" localSheetId="94">'x-808'!$A$26:$N$48</definedName>
    <definedName name="_xlnm.Print_Area" localSheetId="95">'x-809'!$A$26:$N$48</definedName>
    <definedName name="_xlnm.Print_Area" localSheetId="96">'x-810'!$A$26:$N$48</definedName>
    <definedName name="_xlnm.Print_Area" localSheetId="97">'x-811'!$A$26:$N$48</definedName>
    <definedName name="_xlnm.Print_Area" localSheetId="98">'x-812'!$A$26:$N$48</definedName>
    <definedName name="_xlnm.Print_Area" localSheetId="99">'x-813'!$A$26:$N$48</definedName>
    <definedName name="_xlnm.Print_Area" localSheetId="100">'x-814'!$A$1:$G$82</definedName>
    <definedName name="_xlnm.Print_Area" localSheetId="101">'x-815'!$A$26:$N$48</definedName>
    <definedName name="_xlnm.Print_Area" localSheetId="102">'x-816'!$A$26:$N$48</definedName>
    <definedName name="_xlnm.Print_Area" localSheetId="103">'x-817'!$A$26:$N$48</definedName>
    <definedName name="_xlnm.Print_Area" localSheetId="104">'x-818'!$A$26:$N$48</definedName>
    <definedName name="_xlnm.Print_Area" localSheetId="105">'x-819'!$A$26:$N$48</definedName>
    <definedName name="_xlnm.Print_Area" localSheetId="106">'x-820'!$A$26:$N$48</definedName>
    <definedName name="_xlnm.Print_Area" localSheetId="107">'x-821'!$A$26:$N$48</definedName>
    <definedName name="_xlnm.Print_Area" localSheetId="108">'x-822'!$A$26:$N$48</definedName>
    <definedName name="_xlnm.Print_Area" localSheetId="109">'x-823'!$A$1:$G$82</definedName>
    <definedName name="_xlnm.Print_Area" localSheetId="5">'x-Series Number'!$A$25:$N$47</definedName>
    <definedName name="_xlnm.Print_Titles" localSheetId="21">'x-217'!$1:$21</definedName>
    <definedName name="_xlnm.Print_Titles" localSheetId="22">'x-218'!$1:$21</definedName>
    <definedName name="_xlnm.Print_Titles" localSheetId="23">'x-219'!$1:$21</definedName>
    <definedName name="_xlnm.Print_Titles" localSheetId="60">'x-601'!$1:$21</definedName>
    <definedName name="_xlnm.Print_Titles" localSheetId="61">'x-602'!$1:$21</definedName>
    <definedName name="_xlnm.Print_Titles" localSheetId="62">'x-603'!$1:$21</definedName>
    <definedName name="_xlnm.Print_Titles" localSheetId="63">'x-604'!$1:$21</definedName>
    <definedName name="_xlnm.Print_Titles" localSheetId="64">'x-605'!$1:$21</definedName>
    <definedName name="_xlnm.Print_Titles" localSheetId="65">'x-606'!$1:$21</definedName>
    <definedName name="_xlnm.Print_Titles" localSheetId="84">'x-721'!$A:$A,'x-721'!$1:$21</definedName>
    <definedName name="_xlnm.Print_Titles" localSheetId="85">'x-722'!$A:$A,'x-722'!$1:$21</definedName>
    <definedName name="_xlnm.Print_Titles" localSheetId="86">'x-723'!$A:$A,'x-723'!$1:$21</definedName>
    <definedName name="_xlnm.Print_Titles" localSheetId="100">'x-814'!$1:$21</definedName>
    <definedName name="_xlnm.Print_Titles" localSheetId="109">'x-823'!$1:$21</definedName>
    <definedName name="t" localSheetId="23">[2]Cover!$A$2</definedName>
    <definedName name="t">Cover!$A$2</definedName>
    <definedName name="TABLE_AGE_DEF" localSheetId="23">'x-219'!$B$12</definedName>
    <definedName name="TABLE_AGE_DEF">'x-Series Number'!$B$12</definedName>
    <definedName name="table_age_def_1" localSheetId="8">'x-101'!$B$12</definedName>
    <definedName name="table_age_def_1" localSheetId="9">'x-102'!$B$12</definedName>
    <definedName name="table_age_def_1" localSheetId="10">'x-103'!$B$12</definedName>
    <definedName name="table_age_def_1" localSheetId="11">'x-104'!$B$12</definedName>
    <definedName name="TABLE_AGE_DEF_1" localSheetId="12">'x-201'!$B$12</definedName>
    <definedName name="TABLE_AGE_DEF_1" localSheetId="13">'x-202'!$B$12</definedName>
    <definedName name="TABLE_AGE_DEF_1" localSheetId="14">'x-203'!$B$12</definedName>
    <definedName name="TABLE_AGE_DEF_1" localSheetId="15">'x-204'!$B$12</definedName>
    <definedName name="TABLE_AGE_DEF_1" localSheetId="16">'x-205'!$B$12</definedName>
    <definedName name="TABLE_AGE_DEF_1" localSheetId="17">'x-206'!$B$12</definedName>
    <definedName name="TABLE_AGE_DEF_1" localSheetId="18">'x-207'!$B$12</definedName>
    <definedName name="TABLE_AGE_DEF_1" localSheetId="19">'x-208'!$B$12</definedName>
    <definedName name="TABLE_AGE_DEF_1" localSheetId="20">'x-209'!$B$12</definedName>
    <definedName name="TABLE_AGE_DEF_1" localSheetId="21">'x-217'!$B$12</definedName>
    <definedName name="TABLE_AGE_DEF_1" localSheetId="22">'x-218'!$B$12</definedName>
    <definedName name="TABLE_AGE_DEF_1" localSheetId="23">'x-219'!$B$12</definedName>
    <definedName name="TABLE_AGE_DEF_1" localSheetId="24">'x-301'!$B$12</definedName>
    <definedName name="TABLE_AGE_DEF_1" localSheetId="25">'x-302'!$B$12</definedName>
    <definedName name="TABLE_AGE_DEF_1" localSheetId="26">'x-303'!$B$12</definedName>
    <definedName name="TABLE_AGE_DEF_1" localSheetId="27">'x-304'!$B$12</definedName>
    <definedName name="TABLE_AGE_DEF_1" localSheetId="28">'x-305'!$B$12</definedName>
    <definedName name="TABLE_AGE_DEF_1" localSheetId="29">'x-306'!$B$12</definedName>
    <definedName name="TABLE_AGE_DEF_1" localSheetId="30">'x-307'!$B$12</definedName>
    <definedName name="TABLE_AGE_DEF_1" localSheetId="31">'x-308'!$B$12</definedName>
    <definedName name="TABLE_AGE_DEF_1" localSheetId="32">'x-401'!$B$12</definedName>
    <definedName name="TABLE_AGE_DEF_1" localSheetId="33">'x-402'!$B$12</definedName>
    <definedName name="TABLE_AGE_DEF_1" localSheetId="34">'x-403'!$B$12</definedName>
    <definedName name="TABLE_AGE_DEF_1" localSheetId="35">'x-404'!$B$12</definedName>
    <definedName name="TABLE_AGE_DEF_1" localSheetId="36">'x-405'!$B$12</definedName>
    <definedName name="TABLE_AGE_DEF_1" localSheetId="37">'x-406'!$B$12</definedName>
    <definedName name="TABLE_AGE_DEF_1" localSheetId="38">'x-407'!$B$12</definedName>
    <definedName name="TABLE_AGE_DEF_1" localSheetId="39">'x-408'!$B$12</definedName>
    <definedName name="TABLE_AGE_DEF_1" localSheetId="40">'x-409'!$B$12</definedName>
    <definedName name="TABLE_AGE_DEF_1" localSheetId="41">'x-410'!$B$12</definedName>
    <definedName name="TABLE_AGE_DEF_1" localSheetId="42">'x-411'!$B$12</definedName>
    <definedName name="TABLE_AGE_DEF_1" localSheetId="43">'x-412'!$B$12</definedName>
    <definedName name="TABLE_AGE_DEF_1" localSheetId="44">'x-413'!$B$12</definedName>
    <definedName name="TABLE_AGE_DEF_1" localSheetId="45">'x-414'!$B$12</definedName>
    <definedName name="TABLE_AGE_DEF_1" localSheetId="46">'x-415'!$B$12</definedName>
    <definedName name="TABLE_AGE_DEF_1" localSheetId="47">'x-416'!$B$12</definedName>
    <definedName name="TABLE_AGE_DEF_1" localSheetId="48">'x-417'!$B$12</definedName>
    <definedName name="TABLE_AGE_DEF_1" localSheetId="49">'x-418'!$B$12</definedName>
    <definedName name="TABLE_AGE_DEF_1" localSheetId="50">'x-419'!$B$12</definedName>
    <definedName name="TABLE_AGE_DEF_1" localSheetId="51">'x-420'!$B$12</definedName>
    <definedName name="TABLE_AGE_DEF_1" localSheetId="52">'x-421'!$B$12</definedName>
    <definedName name="TABLE_AGE_DEF_1" localSheetId="53">'x-422'!$B$12</definedName>
    <definedName name="TABLE_AGE_DEF_1" localSheetId="54">'x-423'!$B$12</definedName>
    <definedName name="TABLE_AGE_DEF_1" localSheetId="55">'x-501'!$B$12</definedName>
    <definedName name="TABLE_AGE_DEF_1" localSheetId="56">'x-502'!$B$12</definedName>
    <definedName name="TABLE_AGE_DEF_1" localSheetId="57">'x-503'!$B$12</definedName>
    <definedName name="TABLE_AGE_DEF_1" localSheetId="58">'x-504'!$B$12</definedName>
    <definedName name="TABLE_AGE_DEF_1" localSheetId="59">'x-505'!$B$12</definedName>
    <definedName name="TABLE_AGE_DEF_1" localSheetId="60">'x-601'!$B$12</definedName>
    <definedName name="TABLE_AGE_DEF_1" localSheetId="61">'x-602'!$B$12</definedName>
    <definedName name="TABLE_AGE_DEF_1" localSheetId="62">'x-603'!$B$12</definedName>
    <definedName name="TABLE_AGE_DEF_1" localSheetId="63">'x-604'!$B$12</definedName>
    <definedName name="TABLE_AGE_DEF_1" localSheetId="64">'x-605'!$B$12</definedName>
    <definedName name="TABLE_AGE_DEF_1" localSheetId="65">'x-606'!$B$12</definedName>
    <definedName name="TABLE_AGE_DEF_1" localSheetId="66">'x-703'!$B$12</definedName>
    <definedName name="TABLE_AGE_DEF_1" localSheetId="67">'x-704'!$B$12</definedName>
    <definedName name="TABLE_AGE_DEF_1" localSheetId="68">'x-705'!$B$12</definedName>
    <definedName name="TABLE_AGE_DEF_1" localSheetId="69">'x-706'!$B$12</definedName>
    <definedName name="TABLE_AGE_DEF_1" localSheetId="70">'x-707'!$B$12</definedName>
    <definedName name="TABLE_AGE_DEF_1" localSheetId="71">'x-708'!$B$12</definedName>
    <definedName name="TABLE_AGE_DEF_1" localSheetId="72">'x-709'!$B$12</definedName>
    <definedName name="TABLE_AGE_DEF_1" localSheetId="73">'x-710'!$B$12</definedName>
    <definedName name="TABLE_AGE_DEF_1" localSheetId="74">'x-711'!$B$12</definedName>
    <definedName name="TABLE_AGE_DEF_1" localSheetId="75">'x-712'!$B$12</definedName>
    <definedName name="TABLE_AGE_DEF_1" localSheetId="76">'x-713'!$B$12</definedName>
    <definedName name="TABLE_AGE_DEF_1" localSheetId="77">'x-714'!$B$12</definedName>
    <definedName name="TABLE_AGE_DEF_1" localSheetId="78">'x-715'!$B$12</definedName>
    <definedName name="TABLE_AGE_DEF_1" localSheetId="79">'x-716'!$B$12</definedName>
    <definedName name="TABLE_AGE_DEF_1" localSheetId="80">'x-717'!$B$12</definedName>
    <definedName name="TABLE_AGE_DEF_1" localSheetId="81">'x-718'!$B$12</definedName>
    <definedName name="TABLE_AGE_DEF_1" localSheetId="82">'x-719'!$B$12</definedName>
    <definedName name="TABLE_AGE_DEF_1" localSheetId="83">'x-720'!$B$12</definedName>
    <definedName name="TABLE_AGE_DEF_1" localSheetId="84">'x-721'!$B$12</definedName>
    <definedName name="TABLE_AGE_DEF_1" localSheetId="85">'x-722'!$B$12</definedName>
    <definedName name="TABLE_AGE_DEF_1" localSheetId="86">'x-723'!$B$12</definedName>
    <definedName name="TABLE_AGE_DEF_1" localSheetId="87">'x-801'!$B$12</definedName>
    <definedName name="TABLE_AGE_DEF_1" localSheetId="88">'x-802'!$B$12</definedName>
    <definedName name="TABLE_AGE_DEF_1" localSheetId="89">'x-803'!$B$12</definedName>
    <definedName name="TABLE_AGE_DEF_1" localSheetId="90">'x-804'!$B$12</definedName>
    <definedName name="TABLE_AGE_DEF_1" localSheetId="91">'x-805'!$B$12</definedName>
    <definedName name="TABLE_AGE_DEF_1" localSheetId="92">'x-806'!$B$12</definedName>
    <definedName name="TABLE_AGE_DEF_1" localSheetId="93">'x-807'!$B$12</definedName>
    <definedName name="TABLE_AGE_DEF_1" localSheetId="94">'x-808'!$B$12</definedName>
    <definedName name="TABLE_AGE_DEF_1" localSheetId="95">'x-809'!$B$12</definedName>
    <definedName name="TABLE_AGE_DEF_1" localSheetId="96">'x-810'!$B$12</definedName>
    <definedName name="TABLE_AGE_DEF_1" localSheetId="97">'x-811'!$B$12</definedName>
    <definedName name="TABLE_AGE_DEF_1" localSheetId="98">'x-812'!$B$12</definedName>
    <definedName name="TABLE_AGE_DEF_1" localSheetId="99">'x-813'!$B$12</definedName>
    <definedName name="TABLE_AGE_DEF_1" localSheetId="100">'x-814'!$B$12</definedName>
    <definedName name="TABLE_AGE_DEF_1" localSheetId="101">'x-815'!$B$12</definedName>
    <definedName name="TABLE_AGE_DEF_1" localSheetId="102">'x-816'!$B$12</definedName>
    <definedName name="TABLE_AGE_DEF_1" localSheetId="103">'x-817'!$B$12</definedName>
    <definedName name="TABLE_AGE_DEF_1" localSheetId="104">'x-818'!$B$12</definedName>
    <definedName name="TABLE_AGE_DEF_1" localSheetId="105">'x-819'!$B$12</definedName>
    <definedName name="TABLE_AGE_DEF_1" localSheetId="106">'x-820'!$B$12</definedName>
    <definedName name="TABLE_AGE_DEF_1" localSheetId="107">'x-821'!$B$12</definedName>
    <definedName name="TABLE_AGE_DEF_1" localSheetId="108">'x-822'!$B$12</definedName>
    <definedName name="TABLE_AGE_DEF_1" localSheetId="109">'x-823'!$B$12</definedName>
    <definedName name="TABLE_AGE_DEF_2" localSheetId="15">'x-204'!$I$12</definedName>
    <definedName name="TABLE_AGE_DEF_2" localSheetId="34">'x-403'!$Q$12</definedName>
    <definedName name="TABLE_AGE_DEF_2" localSheetId="35">'x-404'!$Q$12</definedName>
    <definedName name="TABLE_AGE_DEF_2" localSheetId="40">'x-409'!$Q$12</definedName>
    <definedName name="TABLE_AGE_DEF_2" localSheetId="41">'x-410'!$Q$12</definedName>
    <definedName name="TABLE_AGE_DEF_2" localSheetId="46">'x-415'!$Q$12</definedName>
    <definedName name="TABLE_AGE_DEF_2" localSheetId="96">'x-810'!$Q$12</definedName>
    <definedName name="TABLE_AREA" localSheetId="23">'x-219'!$A$26:$B$30</definedName>
    <definedName name="TABLE_AREA" localSheetId="31">'x-308'!#REF!</definedName>
    <definedName name="TABLE_AREA" localSheetId="64">'x-605'!#REF!</definedName>
    <definedName name="TABLE_AREA" localSheetId="65">'x-606'!#REF!</definedName>
    <definedName name="TABLE_AREA">'x-Series Number'!$A$25:$B$64</definedName>
    <definedName name="table_area_1" localSheetId="8">'x-101'!$A$26:$B$78</definedName>
    <definedName name="table_area_1" localSheetId="9">'x-102'!$A$26:$B$78</definedName>
    <definedName name="table_area_1" localSheetId="10">'x-103'!$A$26:$B$78</definedName>
    <definedName name="table_area_1" localSheetId="11">'x-104'!$A$26:$B$78</definedName>
    <definedName name="TABLE_AREA_1" localSheetId="12">'x-201'!$A$26:$D$64</definedName>
    <definedName name="TABLE_AREA_1" localSheetId="13">'x-202'!$A$26:$D$64</definedName>
    <definedName name="TABLE_AREA_1" localSheetId="14">'x-203'!$A$26:$E$73</definedName>
    <definedName name="TABLE_AREA_1" localSheetId="15">'x-204'!$A$26:$E$68</definedName>
    <definedName name="TABLE_AREA_1" localSheetId="16">'x-205'!$A$26:$E$46</definedName>
    <definedName name="TABLE_AREA_1" localSheetId="17">'x-206'!$A$26:$E$46</definedName>
    <definedName name="TABLE_AREA_1" localSheetId="18">'x-207'!$A$26:$E$67</definedName>
    <definedName name="TABLE_AREA_1" localSheetId="19">'x-208'!$A$26:$D$67</definedName>
    <definedName name="TABLE_AREA_1" localSheetId="20">'x-209'!$A$26:$C$76</definedName>
    <definedName name="TABLE_AREA_1" localSheetId="21">'x-217'!$A$26:$B$77</definedName>
    <definedName name="TABLE_AREA_1" localSheetId="22">'x-218'!$A$26:$B$30</definedName>
    <definedName name="TABLE_AREA_1" localSheetId="23">'x-219'!$A$26:$B$30</definedName>
    <definedName name="TABLE_AREA_1" localSheetId="24">'x-301'!$A$26:$G$77</definedName>
    <definedName name="TABLE_AREA_1" localSheetId="25">'x-302'!$A$26:$G$102</definedName>
    <definedName name="TABLE_AREA_1" localSheetId="26">'x-303'!$A$26:$C$31</definedName>
    <definedName name="TABLE_AREA_1" localSheetId="27">'x-304'!$A$26:$E$72</definedName>
    <definedName name="TABLE_AREA_1" localSheetId="28">'x-305'!$A$26:$E$102</definedName>
    <definedName name="TABLE_AREA_1" localSheetId="29">'x-306'!$A$26:$D$67</definedName>
    <definedName name="TABLE_AREA_1" localSheetId="30">'x-307'!$A$26:$B$57</definedName>
    <definedName name="TABLE_AREA_1" localSheetId="31">'x-308'!$A$26:$B$27</definedName>
    <definedName name="TABLE_AREA_1" localSheetId="32">'x-401'!$A$26:$M$37</definedName>
    <definedName name="TABLE_AREA_1" localSheetId="33">'x-402'!$A$26:$M$42</definedName>
    <definedName name="TABLE_AREA_1" localSheetId="34">'x-403'!$A$26:$M$32</definedName>
    <definedName name="TABLE_AREA_1" localSheetId="35">'x-404'!$A$26:$M$32</definedName>
    <definedName name="TABLE_AREA_1" localSheetId="36">'x-405'!$A$26:$M$37</definedName>
    <definedName name="TABLE_AREA_1" localSheetId="37">'x-406'!$A$26:$M$42</definedName>
    <definedName name="TABLE_AREA_1" localSheetId="38">'x-407'!$A$26:$M$37</definedName>
    <definedName name="TABLE_AREA_1" localSheetId="39">'x-408'!$A$26:$M$42</definedName>
    <definedName name="TABLE_AREA_1" localSheetId="40">'x-409'!$A$26:$M$32</definedName>
    <definedName name="TABLE_AREA_1" localSheetId="41">'x-410'!$A$26:$M$32</definedName>
    <definedName name="TABLE_AREA_1" localSheetId="42">'x-411'!$A$26:$M$37</definedName>
    <definedName name="TABLE_AREA_1" localSheetId="43">'x-412'!$A$26:$M$32</definedName>
    <definedName name="TABLE_AREA_1" localSheetId="44">'x-413'!$A$26:$M$32</definedName>
    <definedName name="TABLE_AREA_1" localSheetId="45">'x-414'!$A$26:$M$32</definedName>
    <definedName name="TABLE_AREA_1" localSheetId="46">'x-415'!$A$26:$M$32</definedName>
    <definedName name="TABLE_AREA_1" localSheetId="47">'x-416'!$A$26:$M$37</definedName>
    <definedName name="TABLE_AREA_1" localSheetId="48">'x-417'!$A$26:$M$37</definedName>
    <definedName name="TABLE_AREA_1" localSheetId="49">'x-418'!$A$26:$M$37</definedName>
    <definedName name="TABLE_AREA_1" localSheetId="50">'x-419'!$A$26:$M$37</definedName>
    <definedName name="TABLE_AREA_1" localSheetId="51">'x-420'!$A$26:$M$40</definedName>
    <definedName name="TABLE_AREA_1" localSheetId="52">'x-421'!$A$26:$M$37</definedName>
    <definedName name="TABLE_AREA_1" localSheetId="53">'x-422'!$A$26:$M$37</definedName>
    <definedName name="TABLE_AREA_1" localSheetId="54">'x-423'!$A$26:$B$27</definedName>
    <definedName name="TABLE_AREA_1" localSheetId="55">'x-501'!$A$26:$C$107</definedName>
    <definedName name="TABLE_AREA_1" localSheetId="56">'x-502'!$A$26:$C$107</definedName>
    <definedName name="TABLE_AREA_1" localSheetId="57">'x-503'!$A$26:$C$107</definedName>
    <definedName name="TABLE_AREA_1" localSheetId="58">'x-504'!$A$26:$B$52</definedName>
    <definedName name="TABLE_AREA_1" localSheetId="59">'x-505'!$A$26:$B$27</definedName>
    <definedName name="TABLE_AREA_1" localSheetId="60">'x-601'!$A$26:$C$52</definedName>
    <definedName name="TABLE_AREA_1" localSheetId="61">'x-602'!$A$26:$C$71</definedName>
    <definedName name="TABLE_AREA_1" localSheetId="62">'x-603'!$A$26:$B$47</definedName>
    <definedName name="TABLE_AREA_1" localSheetId="63">'x-604'!$A$26:$B$74</definedName>
    <definedName name="TABLE_AREA_1" localSheetId="64">'x-605'!#REF!</definedName>
    <definedName name="TABLE_AREA_1" localSheetId="65">'x-606'!#REF!</definedName>
    <definedName name="TABLE_AREA_1" localSheetId="66">'x-703'!$A$26:$C$76</definedName>
    <definedName name="TABLE_AREA_1" localSheetId="67">'x-704'!$A$26:$U$69</definedName>
    <definedName name="TABLE_AREA_1" localSheetId="68">'x-705'!$A$26:$U$69</definedName>
    <definedName name="TABLE_AREA_1" localSheetId="69">'x-706'!$A$26:$U$74</definedName>
    <definedName name="TABLE_AREA_1" localSheetId="70">'x-707'!$A$26:$U$74</definedName>
    <definedName name="TABLE_AREA_1" localSheetId="71">'x-708'!$A$26:$U$69</definedName>
    <definedName name="TABLE_AREA_1" localSheetId="72">'x-709'!$A$26:$U$69</definedName>
    <definedName name="TABLE_AREA_1" localSheetId="73">'x-710'!$A$26:$U$74</definedName>
    <definedName name="TABLE_AREA_1" localSheetId="74">'x-711'!$A$26:$U$74</definedName>
    <definedName name="TABLE_AREA_1" localSheetId="75">'x-712'!$A$26:$U$75</definedName>
    <definedName name="TABLE_AREA_1" localSheetId="76">'x-713'!$A$26:$U$76</definedName>
    <definedName name="TABLE_AREA_1" localSheetId="77">'x-714'!$A$26:$U$77</definedName>
    <definedName name="TABLE_AREA_1" localSheetId="78">'x-715'!$A$26:$U$78</definedName>
    <definedName name="TABLE_AREA_1" localSheetId="79">'x-716'!$A$26:$U$75</definedName>
    <definedName name="TABLE_AREA_1" localSheetId="80">'x-717'!$A$26:$U$76</definedName>
    <definedName name="TABLE_AREA_1" localSheetId="81">'x-718'!$A$26:$U$77</definedName>
    <definedName name="TABLE_AREA_1" localSheetId="82">'x-719'!$A$26:$U$78</definedName>
    <definedName name="TABLE_AREA_1" localSheetId="83">'x-720'!$A$26:$D$78</definedName>
    <definedName name="TABLE_AREA_1" localSheetId="84">'x-721'!$A$26:$AA$104</definedName>
    <definedName name="TABLE_AREA_1" localSheetId="85">'x-722'!$A$26:$AA$104</definedName>
    <definedName name="TABLE_AREA_1" localSheetId="86">'x-723'!$A$26:$AU$104</definedName>
    <definedName name="TABLE_AREA_1" localSheetId="87">'x-801'!$A$26:$M$32</definedName>
    <definedName name="TABLE_AREA_1" localSheetId="88">'x-802'!$A$26:$M$78</definedName>
    <definedName name="TABLE_AREA_1" localSheetId="89">'x-803'!$A$26:$M$32</definedName>
    <definedName name="TABLE_AREA_1" localSheetId="90">'x-804'!$A$26:$M$37</definedName>
    <definedName name="TABLE_AREA_1" localSheetId="91">'x-805'!$A$26:$M$78</definedName>
    <definedName name="TABLE_AREA_1" localSheetId="92">'x-806'!$A$26:$M$37</definedName>
    <definedName name="TABLE_AREA_1" localSheetId="93">'x-807'!$A$26:$M$37</definedName>
    <definedName name="TABLE_AREA_1" localSheetId="94">'x-808'!$A$26:$M$37</definedName>
    <definedName name="TABLE_AREA_1" localSheetId="95">'x-809'!$A$26:$M$32</definedName>
    <definedName name="TABLE_AREA_1" localSheetId="96">'x-810'!$A$26:$M$32</definedName>
    <definedName name="TABLE_AREA_1" localSheetId="97">'x-811'!$A$26:$M$32</definedName>
    <definedName name="TABLE_AREA_1" localSheetId="98">'x-812'!$A$26:$M$32</definedName>
    <definedName name="TABLE_AREA_1" localSheetId="99">'x-813'!$A$26:$M$40</definedName>
    <definedName name="TABLE_AREA_1" localSheetId="100">'x-814'!$A$26:$B$82</definedName>
    <definedName name="TABLE_AREA_1" localSheetId="101">'x-815'!$A$26:$C$60</definedName>
    <definedName name="TABLE_AREA_1" localSheetId="102">'x-816'!$A$26:$M$67</definedName>
    <definedName name="TABLE_AREA_1" localSheetId="103">'x-817'!$A$26:$M$72</definedName>
    <definedName name="TABLE_AREA_1" localSheetId="104">'x-818'!$A$26:$M$67</definedName>
    <definedName name="TABLE_AREA_1" localSheetId="105">'x-819'!$A$26:$M$72</definedName>
    <definedName name="TABLE_AREA_1" localSheetId="106">'x-820'!$A$26:$M$62</definedName>
    <definedName name="TABLE_AREA_1" localSheetId="107">'x-821'!$A$26:$M$76</definedName>
    <definedName name="TABLE_AREA_1" localSheetId="108">'x-822'!$A$26:$M$67</definedName>
    <definedName name="TABLE_AREA_1" localSheetId="109">'x-823'!$A$26:$B$29</definedName>
    <definedName name="TABLE_AREA_2" localSheetId="15">'x-204'!$H$26:$L$31</definedName>
    <definedName name="TABLE_AREA_2" localSheetId="34">'x-403'!$P$26:$Q$31</definedName>
    <definedName name="TABLE_AREA_2" localSheetId="35">'x-404'!$P$26:$Q$32</definedName>
    <definedName name="TABLE_AREA_2" localSheetId="40">'x-409'!$P$26:$AB$32</definedName>
    <definedName name="TABLE_AREA_2" localSheetId="41">'x-410'!$P$26:$AB$32</definedName>
    <definedName name="TABLE_AREA_2" localSheetId="46">'x-415'!$P$26:$AB$32</definedName>
    <definedName name="TABLE_AREA_2" localSheetId="96">'x-810'!$P$26:$AB$32</definedName>
    <definedName name="TABLE_ASSUMPTION_SET_1" localSheetId="8">'x-101'!$B$21</definedName>
    <definedName name="TABLE_ASSUMPTION_SET_1" localSheetId="9">'x-102'!$B$21</definedName>
    <definedName name="TABLE_ASSUMPTION_SET_1" localSheetId="10">'x-103'!$B$21</definedName>
    <definedName name="TABLE_ASSUMPTION_SET_1" localSheetId="11">'x-104'!$B$21</definedName>
    <definedName name="TABLE_ASSUMPTION_SET_1" localSheetId="12">'x-201'!$B$21</definedName>
    <definedName name="TABLE_ASSUMPTION_SET_1" localSheetId="13">'x-202'!$B$21</definedName>
    <definedName name="TABLE_ASSUMPTION_SET_1" localSheetId="14">'x-203'!$B$21</definedName>
    <definedName name="TABLE_ASSUMPTION_SET_1" localSheetId="15">'x-204'!$B$21</definedName>
    <definedName name="TABLE_ASSUMPTION_SET_1" localSheetId="16">'x-205'!$B$21</definedName>
    <definedName name="TABLE_ASSUMPTION_SET_1" localSheetId="17">'x-206'!$B$21</definedName>
    <definedName name="TABLE_ASSUMPTION_SET_1" localSheetId="18">'x-207'!$B$21</definedName>
    <definedName name="TABLE_ASSUMPTION_SET_1" localSheetId="19">'x-208'!$B$21</definedName>
    <definedName name="TABLE_ASSUMPTION_SET_1" localSheetId="20">'x-209'!$B$21</definedName>
    <definedName name="TABLE_ASSUMPTION_SET_1" localSheetId="21">'x-217'!$B$21</definedName>
    <definedName name="TABLE_ASSUMPTION_SET_1" localSheetId="22">'x-218'!$B$21</definedName>
    <definedName name="TABLE_ASSUMPTION_SET_1" localSheetId="24">'x-301'!$B$21</definedName>
    <definedName name="TABLE_ASSUMPTION_SET_1" localSheetId="25">'x-302'!$B$21</definedName>
    <definedName name="TABLE_ASSUMPTION_SET_1" localSheetId="26">'x-303'!$B$21</definedName>
    <definedName name="TABLE_ASSUMPTION_SET_1" localSheetId="27">'x-304'!$B$21</definedName>
    <definedName name="TABLE_ASSUMPTION_SET_1" localSheetId="28">'x-305'!$B$21</definedName>
    <definedName name="TABLE_ASSUMPTION_SET_1" localSheetId="29">'x-306'!$B$21</definedName>
    <definedName name="TABLE_ASSUMPTION_SET_1" localSheetId="30">'x-307'!$B$21</definedName>
    <definedName name="TABLE_ASSUMPTION_SET_1" localSheetId="31">'x-308'!$B$21</definedName>
    <definedName name="TABLE_ASSUMPTION_SET_1" localSheetId="32">'x-401'!$B$21</definedName>
    <definedName name="TABLE_ASSUMPTION_SET_1" localSheetId="33">'x-402'!$B$21</definedName>
    <definedName name="TABLE_ASSUMPTION_SET_1" localSheetId="34">'x-403'!$B$21</definedName>
    <definedName name="TABLE_ASSUMPTION_SET_1" localSheetId="35">'x-404'!$B$21</definedName>
    <definedName name="TABLE_ASSUMPTION_SET_1" localSheetId="36">'x-405'!$B$21</definedName>
    <definedName name="TABLE_ASSUMPTION_SET_1" localSheetId="37">'x-406'!$B$21</definedName>
    <definedName name="TABLE_ASSUMPTION_SET_1" localSheetId="38">'x-407'!$B$21</definedName>
    <definedName name="TABLE_ASSUMPTION_SET_1" localSheetId="39">'x-408'!$B$21</definedName>
    <definedName name="TABLE_ASSUMPTION_SET_1" localSheetId="40">'x-409'!$B$21</definedName>
    <definedName name="TABLE_ASSUMPTION_SET_1" localSheetId="41">'x-410'!$B$21</definedName>
    <definedName name="TABLE_ASSUMPTION_SET_1" localSheetId="42">'x-411'!$B$21</definedName>
    <definedName name="TABLE_ASSUMPTION_SET_1" localSheetId="43">'x-412'!$B$21</definedName>
    <definedName name="TABLE_ASSUMPTION_SET_1" localSheetId="44">'x-413'!$B$21</definedName>
    <definedName name="TABLE_ASSUMPTION_SET_1" localSheetId="45">'x-414'!$B$21</definedName>
    <definedName name="TABLE_ASSUMPTION_SET_1" localSheetId="46">'x-415'!$B$21</definedName>
    <definedName name="TABLE_ASSUMPTION_SET_1" localSheetId="47">'x-416'!$B$21</definedName>
    <definedName name="TABLE_ASSUMPTION_SET_1" localSheetId="48">'x-417'!$B$21</definedName>
    <definedName name="TABLE_ASSUMPTION_SET_1" localSheetId="49">'x-418'!$B$21</definedName>
    <definedName name="TABLE_ASSUMPTION_SET_1" localSheetId="50">'x-419'!$B$21</definedName>
    <definedName name="TABLE_ASSUMPTION_SET_1" localSheetId="51">'x-420'!$B$21</definedName>
    <definedName name="TABLE_ASSUMPTION_SET_1" localSheetId="52">'x-421'!$B$21</definedName>
    <definedName name="TABLE_ASSUMPTION_SET_1" localSheetId="53">'x-422'!$B$21</definedName>
    <definedName name="TABLE_ASSUMPTION_SET_1" localSheetId="54">'x-423'!$B$21</definedName>
    <definedName name="TABLE_ASSUMPTION_SET_1" localSheetId="55">'x-501'!$B$21</definedName>
    <definedName name="TABLE_ASSUMPTION_SET_1" localSheetId="56">'x-502'!$B$21</definedName>
    <definedName name="TABLE_ASSUMPTION_SET_1" localSheetId="57">'x-503'!$B$21</definedName>
    <definedName name="TABLE_ASSUMPTION_SET_1" localSheetId="58">'x-504'!$B$21</definedName>
    <definedName name="TABLE_ASSUMPTION_SET_1" localSheetId="59">'x-505'!$B$21</definedName>
    <definedName name="TABLE_ASSUMPTION_SET_1" localSheetId="60">'x-601'!$B$21</definedName>
    <definedName name="TABLE_ASSUMPTION_SET_1" localSheetId="61">'x-602'!$B$21</definedName>
    <definedName name="TABLE_ASSUMPTION_SET_1" localSheetId="62">'x-603'!$B$21</definedName>
    <definedName name="TABLE_ASSUMPTION_SET_1" localSheetId="63">'x-604'!$B$21</definedName>
    <definedName name="TABLE_ASSUMPTION_SET_1" localSheetId="64">'x-605'!$B$21</definedName>
    <definedName name="TABLE_ASSUMPTION_SET_1" localSheetId="65">'x-606'!$B$21</definedName>
    <definedName name="TABLE_ASSUMPTION_SET_1" localSheetId="66">'x-703'!$B$21</definedName>
    <definedName name="TABLE_ASSUMPTION_SET_1" localSheetId="67">'x-704'!$B$21</definedName>
    <definedName name="TABLE_ASSUMPTION_SET_1" localSheetId="68">'x-705'!$B$21</definedName>
    <definedName name="TABLE_ASSUMPTION_SET_1" localSheetId="69">'x-706'!$B$21</definedName>
    <definedName name="TABLE_ASSUMPTION_SET_1" localSheetId="70">'x-707'!$B$21</definedName>
    <definedName name="TABLE_ASSUMPTION_SET_1" localSheetId="71">'x-708'!$B$21</definedName>
    <definedName name="TABLE_ASSUMPTION_SET_1" localSheetId="72">'x-709'!$B$21</definedName>
    <definedName name="TABLE_ASSUMPTION_SET_1" localSheetId="73">'x-710'!$B$21</definedName>
    <definedName name="TABLE_ASSUMPTION_SET_1" localSheetId="74">'x-711'!$B$21</definedName>
    <definedName name="TABLE_ASSUMPTION_SET_1" localSheetId="75">'x-712'!$B$21</definedName>
    <definedName name="TABLE_ASSUMPTION_SET_1" localSheetId="76">'x-713'!$B$21</definedName>
    <definedName name="TABLE_ASSUMPTION_SET_1" localSheetId="77">'x-714'!$B$21</definedName>
    <definedName name="TABLE_ASSUMPTION_SET_1" localSheetId="78">'x-715'!$B$21</definedName>
    <definedName name="TABLE_ASSUMPTION_SET_1" localSheetId="79">'x-716'!$B$21</definedName>
    <definedName name="TABLE_ASSUMPTION_SET_1" localSheetId="80">'x-717'!$B$21</definedName>
    <definedName name="TABLE_ASSUMPTION_SET_1" localSheetId="81">'x-718'!$B$21</definedName>
    <definedName name="TABLE_ASSUMPTION_SET_1" localSheetId="82">'x-719'!$B$21</definedName>
    <definedName name="TABLE_ASSUMPTION_SET_1" localSheetId="83">'x-720'!$B$21</definedName>
    <definedName name="TABLE_ASSUMPTION_SET_1" localSheetId="84">'x-721'!$B$21</definedName>
    <definedName name="TABLE_ASSUMPTION_SET_1" localSheetId="85">'x-722'!$B$21</definedName>
    <definedName name="TABLE_ASSUMPTION_SET_1" localSheetId="86">'x-723'!$B$21</definedName>
    <definedName name="TABLE_ASSUMPTION_SET_1" localSheetId="87">'x-801'!$B$21</definedName>
    <definedName name="TABLE_ASSUMPTION_SET_1" localSheetId="88">'x-802'!$B$21</definedName>
    <definedName name="TABLE_ASSUMPTION_SET_1" localSheetId="89">'x-803'!$B$21</definedName>
    <definedName name="TABLE_ASSUMPTION_SET_1" localSheetId="90">'x-804'!$B$21</definedName>
    <definedName name="TABLE_ASSUMPTION_SET_1" localSheetId="91">'x-805'!$B$21</definedName>
    <definedName name="TABLE_ASSUMPTION_SET_1" localSheetId="92">'x-806'!$B$21</definedName>
    <definedName name="TABLE_ASSUMPTION_SET_1" localSheetId="93">'x-807'!$B$21</definedName>
    <definedName name="TABLE_ASSUMPTION_SET_1" localSheetId="94">'x-808'!$B$21</definedName>
    <definedName name="TABLE_ASSUMPTION_SET_1" localSheetId="95">'x-809'!$B$21</definedName>
    <definedName name="TABLE_ASSUMPTION_SET_1" localSheetId="96">'x-810'!$B$21</definedName>
    <definedName name="TABLE_ASSUMPTION_SET_1" localSheetId="97">'x-811'!$B$21</definedName>
    <definedName name="TABLE_ASSUMPTION_SET_1" localSheetId="98">'x-812'!$B$21</definedName>
    <definedName name="TABLE_ASSUMPTION_SET_1" localSheetId="99">'x-813'!$B$21</definedName>
    <definedName name="TABLE_ASSUMPTION_SET_1" localSheetId="100">'x-814'!$B$21</definedName>
    <definedName name="TABLE_ASSUMPTION_SET_1" localSheetId="101">'x-815'!$B$21</definedName>
    <definedName name="TABLE_ASSUMPTION_SET_1" localSheetId="102">'x-816'!$B$21</definedName>
    <definedName name="TABLE_ASSUMPTION_SET_1" localSheetId="103">'x-817'!$B$21</definedName>
    <definedName name="TABLE_ASSUMPTION_SET_1" localSheetId="104">'x-818'!$B$21</definedName>
    <definedName name="TABLE_ASSUMPTION_SET_1" localSheetId="105">'x-819'!$B$21</definedName>
    <definedName name="TABLE_ASSUMPTION_SET_1" localSheetId="106">'x-820'!$B$21</definedName>
    <definedName name="TABLE_ASSUMPTION_SET_1" localSheetId="107">'x-821'!$B$21</definedName>
    <definedName name="TABLE_ASSUMPTION_SET_1" localSheetId="108">'x-822'!$B$21</definedName>
    <definedName name="TABLE_ASSUMPTION_SET_1" localSheetId="109">'x-823'!$B$21</definedName>
    <definedName name="TABLE_ASSUMPTION_SET_2" localSheetId="15">'x-204'!$I$21</definedName>
    <definedName name="TABLE_ASSUMPTION_SET_2" localSheetId="34">'x-403'!$Q$21</definedName>
    <definedName name="TABLE_ASSUMPTION_SET_2" localSheetId="35">'x-404'!$Q$21</definedName>
    <definedName name="TABLE_ASSUMPTION_SET_2" localSheetId="40">'x-409'!$Q$21</definedName>
    <definedName name="TABLE_ASSUMPTION_SET_2" localSheetId="41">'x-410'!$Q$21</definedName>
    <definedName name="TABLE_ASSUMPTION_SET_2" localSheetId="46">'x-415'!$Q$21</definedName>
    <definedName name="TABLE_ASSUMPTION_SET_2" localSheetId="96">'x-810'!$Q$21</definedName>
    <definedName name="TABLE_CLIENT" localSheetId="23">'x-219'!$B$7</definedName>
    <definedName name="TABLE_CLIENT">'x-Series Number'!$B$7</definedName>
    <definedName name="table_client_1" localSheetId="8">'x-101'!$B$7</definedName>
    <definedName name="table_client_1" localSheetId="9">'x-102'!$B$7</definedName>
    <definedName name="table_client_1" localSheetId="10">'x-103'!$B$7</definedName>
    <definedName name="table_client_1" localSheetId="11">'x-104'!$B$7</definedName>
    <definedName name="TABLE_CLIENT_1" localSheetId="12">'x-201'!$B$7</definedName>
    <definedName name="TABLE_CLIENT_1" localSheetId="13">'x-202'!$B$7</definedName>
    <definedName name="TABLE_CLIENT_1" localSheetId="14">'x-203'!$B$7</definedName>
    <definedName name="TABLE_CLIENT_1" localSheetId="15">'x-204'!$B$7</definedName>
    <definedName name="TABLE_CLIENT_1" localSheetId="16">'x-205'!$B$7</definedName>
    <definedName name="TABLE_CLIENT_1" localSheetId="17">'x-206'!$B$7</definedName>
    <definedName name="TABLE_CLIENT_1" localSheetId="18">'x-207'!$B$7</definedName>
    <definedName name="TABLE_CLIENT_1" localSheetId="19">'x-208'!$B$7</definedName>
    <definedName name="TABLE_CLIENT_1" localSheetId="20">'x-209'!$B$7</definedName>
    <definedName name="TABLE_CLIENT_1" localSheetId="21">'x-217'!$B$7</definedName>
    <definedName name="TABLE_CLIENT_1" localSheetId="22">'x-218'!$B$7</definedName>
    <definedName name="TABLE_CLIENT_1" localSheetId="23">'x-219'!$B$7</definedName>
    <definedName name="TABLE_CLIENT_1" localSheetId="24">'x-301'!$B$7</definedName>
    <definedName name="TABLE_CLIENT_1" localSheetId="25">'x-302'!$B$7</definedName>
    <definedName name="TABLE_CLIENT_1" localSheetId="26">'x-303'!$B$7</definedName>
    <definedName name="TABLE_CLIENT_1" localSheetId="27">'x-304'!$B$7</definedName>
    <definedName name="TABLE_CLIENT_1" localSheetId="28">'x-305'!$B$7</definedName>
    <definedName name="TABLE_CLIENT_1" localSheetId="29">'x-306'!$B$7</definedName>
    <definedName name="TABLE_CLIENT_1" localSheetId="30">'x-307'!$B$7</definedName>
    <definedName name="TABLE_CLIENT_1" localSheetId="31">'x-308'!$B$7</definedName>
    <definedName name="TABLE_CLIENT_1" localSheetId="32">'x-401'!$B$7</definedName>
    <definedName name="TABLE_CLIENT_1" localSheetId="33">'x-402'!$B$7</definedName>
    <definedName name="TABLE_CLIENT_1" localSheetId="34">'x-403'!$B$7</definedName>
    <definedName name="TABLE_CLIENT_1" localSheetId="35">'x-404'!$B$7</definedName>
    <definedName name="TABLE_CLIENT_1" localSheetId="36">'x-405'!$B$7</definedName>
    <definedName name="TABLE_CLIENT_1" localSheetId="37">'x-406'!$B$7</definedName>
    <definedName name="TABLE_CLIENT_1" localSheetId="38">'x-407'!$B$7</definedName>
    <definedName name="TABLE_CLIENT_1" localSheetId="39">'x-408'!$B$7</definedName>
    <definedName name="TABLE_CLIENT_1" localSheetId="40">'x-409'!$B$7</definedName>
    <definedName name="TABLE_CLIENT_1" localSheetId="41">'x-410'!$B$7</definedName>
    <definedName name="TABLE_CLIENT_1" localSheetId="42">'x-411'!$B$7</definedName>
    <definedName name="TABLE_CLIENT_1" localSheetId="43">'x-412'!$B$7</definedName>
    <definedName name="TABLE_CLIENT_1" localSheetId="44">'x-413'!$B$7</definedName>
    <definedName name="TABLE_CLIENT_1" localSheetId="45">'x-414'!$B$7</definedName>
    <definedName name="TABLE_CLIENT_1" localSheetId="46">'x-415'!$B$7</definedName>
    <definedName name="TABLE_CLIENT_1" localSheetId="47">'x-416'!$B$7</definedName>
    <definedName name="TABLE_CLIENT_1" localSheetId="48">'x-417'!$B$7</definedName>
    <definedName name="TABLE_CLIENT_1" localSheetId="49">'x-418'!$B$7</definedName>
    <definedName name="TABLE_CLIENT_1" localSheetId="50">'x-419'!$B$7</definedName>
    <definedName name="TABLE_CLIENT_1" localSheetId="51">'x-420'!$B$7</definedName>
    <definedName name="TABLE_CLIENT_1" localSheetId="52">'x-421'!$B$7</definedName>
    <definedName name="TABLE_CLIENT_1" localSheetId="53">'x-422'!$B$7</definedName>
    <definedName name="TABLE_CLIENT_1" localSheetId="54">'x-423'!$B$7</definedName>
    <definedName name="TABLE_CLIENT_1" localSheetId="55">'x-501'!$B$7</definedName>
    <definedName name="TABLE_CLIENT_1" localSheetId="56">'x-502'!$B$7</definedName>
    <definedName name="TABLE_CLIENT_1" localSheetId="57">'x-503'!$B$7</definedName>
    <definedName name="TABLE_CLIENT_1" localSheetId="58">'x-504'!$B$7</definedName>
    <definedName name="TABLE_CLIENT_1" localSheetId="59">'x-505'!$B$7</definedName>
    <definedName name="TABLE_CLIENT_1" localSheetId="60">'x-601'!$B$7</definedName>
    <definedName name="TABLE_CLIENT_1" localSheetId="61">'x-602'!$B$7</definedName>
    <definedName name="TABLE_CLIENT_1" localSheetId="62">'x-603'!$B$7</definedName>
    <definedName name="TABLE_CLIENT_1" localSheetId="63">'x-604'!$B$7</definedName>
    <definedName name="TABLE_CLIENT_1" localSheetId="64">'x-605'!$B$7</definedName>
    <definedName name="TABLE_CLIENT_1" localSheetId="65">'x-606'!$B$7</definedName>
    <definedName name="TABLE_CLIENT_1" localSheetId="66">'x-703'!$B$7</definedName>
    <definedName name="TABLE_CLIENT_1" localSheetId="67">'x-704'!$B$7</definedName>
    <definedName name="TABLE_CLIENT_1" localSheetId="68">'x-705'!$B$7</definedName>
    <definedName name="TABLE_CLIENT_1" localSheetId="69">'x-706'!$B$7</definedName>
    <definedName name="TABLE_CLIENT_1" localSheetId="70">'x-707'!$B$7</definedName>
    <definedName name="TABLE_CLIENT_1" localSheetId="71">'x-708'!$B$7</definedName>
    <definedName name="TABLE_CLIENT_1" localSheetId="72">'x-709'!$B$7</definedName>
    <definedName name="TABLE_CLIENT_1" localSheetId="73">'x-710'!$B$7</definedName>
    <definedName name="TABLE_CLIENT_1" localSheetId="74">'x-711'!$B$7</definedName>
    <definedName name="TABLE_CLIENT_1" localSheetId="75">'x-712'!$B$7</definedName>
    <definedName name="TABLE_CLIENT_1" localSheetId="76">'x-713'!$B$7</definedName>
    <definedName name="TABLE_CLIENT_1" localSheetId="77">'x-714'!$B$7</definedName>
    <definedName name="TABLE_CLIENT_1" localSheetId="78">'x-715'!$B$7</definedName>
    <definedName name="TABLE_CLIENT_1" localSheetId="79">'x-716'!$B$7</definedName>
    <definedName name="TABLE_CLIENT_1" localSheetId="80">'x-717'!$B$7</definedName>
    <definedName name="TABLE_CLIENT_1" localSheetId="81">'x-718'!$B$7</definedName>
    <definedName name="TABLE_CLIENT_1" localSheetId="82">'x-719'!$B$7</definedName>
    <definedName name="TABLE_CLIENT_1" localSheetId="83">'x-720'!$B$7</definedName>
    <definedName name="TABLE_CLIENT_1" localSheetId="84">'x-721'!$B$7</definedName>
    <definedName name="TABLE_CLIENT_1" localSheetId="85">'x-722'!$B$7</definedName>
    <definedName name="TABLE_CLIENT_1" localSheetId="86">'x-723'!$B$7</definedName>
    <definedName name="TABLE_CLIENT_1" localSheetId="87">'x-801'!$B$7</definedName>
    <definedName name="TABLE_CLIENT_1" localSheetId="88">'x-802'!$B$7</definedName>
    <definedName name="TABLE_CLIENT_1" localSheetId="89">'x-803'!$B$7</definedName>
    <definedName name="TABLE_CLIENT_1" localSheetId="90">'x-804'!$B$7</definedName>
    <definedName name="TABLE_CLIENT_1" localSheetId="91">'x-805'!$B$7</definedName>
    <definedName name="TABLE_CLIENT_1" localSheetId="92">'x-806'!$B$7</definedName>
    <definedName name="TABLE_CLIENT_1" localSheetId="93">'x-807'!$B$7</definedName>
    <definedName name="TABLE_CLIENT_1" localSheetId="94">'x-808'!$B$7</definedName>
    <definedName name="TABLE_CLIENT_1" localSheetId="95">'x-809'!$B$7</definedName>
    <definedName name="TABLE_CLIENT_1" localSheetId="96">'x-810'!$B$7</definedName>
    <definedName name="TABLE_CLIENT_1" localSheetId="97">'x-811'!$B$7</definedName>
    <definedName name="TABLE_CLIENT_1" localSheetId="98">'x-812'!$B$7</definedName>
    <definedName name="TABLE_CLIENT_1" localSheetId="99">'x-813'!$B$7</definedName>
    <definedName name="TABLE_CLIENT_1" localSheetId="100">'x-814'!$B$7</definedName>
    <definedName name="TABLE_CLIENT_1" localSheetId="101">'x-815'!$B$7</definedName>
    <definedName name="TABLE_CLIENT_1" localSheetId="102">'x-816'!$B$7</definedName>
    <definedName name="TABLE_CLIENT_1" localSheetId="103">'x-817'!$B$7</definedName>
    <definedName name="TABLE_CLIENT_1" localSheetId="104">'x-818'!$B$7</definedName>
    <definedName name="TABLE_CLIENT_1" localSheetId="105">'x-819'!$B$7</definedName>
    <definedName name="TABLE_CLIENT_1" localSheetId="106">'x-820'!$B$7</definedName>
    <definedName name="TABLE_CLIENT_1" localSheetId="107">'x-821'!$B$7</definedName>
    <definedName name="TABLE_CLIENT_1" localSheetId="108">'x-822'!$B$7</definedName>
    <definedName name="TABLE_CLIENT_1" localSheetId="109">'x-823'!$B$7</definedName>
    <definedName name="TABLE_CLIENT_2" localSheetId="15">'x-204'!$I$7</definedName>
    <definedName name="TABLE_CLIENT_2" localSheetId="34">'x-403'!$Q$7</definedName>
    <definedName name="TABLE_CLIENT_2" localSheetId="35">'x-404'!$Q$7</definedName>
    <definedName name="TABLE_CLIENT_2" localSheetId="40">'x-409'!$Q$7</definedName>
    <definedName name="TABLE_CLIENT_2" localSheetId="41">'x-410'!$Q$7</definedName>
    <definedName name="TABLE_CLIENT_2" localSheetId="46">'x-415'!$Q$7</definedName>
    <definedName name="TABLE_CLIENT_2" localSheetId="96">'x-810'!$Q$7</definedName>
    <definedName name="TABLE_DATE_IMPLEMENTED" localSheetId="23">'x-219'!$B$19</definedName>
    <definedName name="TABLE_DATE_IMPLEMENTED">'x-Series Number'!$B$19</definedName>
    <definedName name="table_date_implemented_1" localSheetId="8">'x-101'!$B$19</definedName>
    <definedName name="table_date_implemented_1" localSheetId="9">'x-102'!$B$19</definedName>
    <definedName name="table_date_implemented_1" localSheetId="10">'x-103'!$B$19</definedName>
    <definedName name="table_date_implemented_1" localSheetId="11">'x-104'!$B$19</definedName>
    <definedName name="TABLE_DATE_IMPLEMENTED_1" localSheetId="12">'x-201'!$B$19</definedName>
    <definedName name="TABLE_DATE_IMPLEMENTED_1" localSheetId="13">'x-202'!$B$19</definedName>
    <definedName name="TABLE_DATE_IMPLEMENTED_1" localSheetId="14">'x-203'!$B$19</definedName>
    <definedName name="TABLE_DATE_IMPLEMENTED_1" localSheetId="15">'x-204'!$B$19</definedName>
    <definedName name="TABLE_DATE_IMPLEMENTED_1" localSheetId="16">'x-205'!$B$19</definedName>
    <definedName name="TABLE_DATE_IMPLEMENTED_1" localSheetId="17">'x-206'!$B$19</definedName>
    <definedName name="TABLE_DATE_IMPLEMENTED_1" localSheetId="18">'x-207'!$B$19</definedName>
    <definedName name="TABLE_DATE_IMPLEMENTED_1" localSheetId="19">'x-208'!$B$19</definedName>
    <definedName name="TABLE_DATE_IMPLEMENTED_1" localSheetId="20">'x-209'!$B$19</definedName>
    <definedName name="TABLE_DATE_IMPLEMENTED_1" localSheetId="21">'x-217'!$B$19</definedName>
    <definedName name="TABLE_DATE_IMPLEMENTED_1" localSheetId="22">'x-218'!$B$19</definedName>
    <definedName name="TABLE_DATE_IMPLEMENTED_1" localSheetId="23">'x-219'!$B$19</definedName>
    <definedName name="TABLE_DATE_IMPLEMENTED_1" localSheetId="24">'x-301'!$B$19</definedName>
    <definedName name="TABLE_DATE_IMPLEMENTED_1" localSheetId="25">'x-302'!$B$19</definedName>
    <definedName name="TABLE_DATE_IMPLEMENTED_1" localSheetId="26">'x-303'!$B$19</definedName>
    <definedName name="TABLE_DATE_IMPLEMENTED_1" localSheetId="27">'x-304'!$B$19</definedName>
    <definedName name="TABLE_DATE_IMPLEMENTED_1" localSheetId="28">'x-305'!$B$19</definedName>
    <definedName name="TABLE_DATE_IMPLEMENTED_1" localSheetId="29">'x-306'!$B$19</definedName>
    <definedName name="TABLE_DATE_IMPLEMENTED_1" localSheetId="30">'x-307'!$B$19</definedName>
    <definedName name="TABLE_DATE_IMPLEMENTED_1" localSheetId="31">'x-308'!$B$19</definedName>
    <definedName name="TABLE_DATE_IMPLEMENTED_1" localSheetId="32">'x-401'!$B$19</definedName>
    <definedName name="TABLE_DATE_IMPLEMENTED_1" localSheetId="33">'x-402'!$B$19</definedName>
    <definedName name="TABLE_DATE_IMPLEMENTED_1" localSheetId="34">'x-403'!$B$19</definedName>
    <definedName name="TABLE_DATE_IMPLEMENTED_1" localSheetId="35">'x-404'!$B$19</definedName>
    <definedName name="TABLE_DATE_IMPLEMENTED_1" localSheetId="36">'x-405'!$B$19</definedName>
    <definedName name="TABLE_DATE_IMPLEMENTED_1" localSheetId="37">'x-406'!$B$19</definedName>
    <definedName name="TABLE_DATE_IMPLEMENTED_1" localSheetId="38">'x-407'!$B$19</definedName>
    <definedName name="TABLE_DATE_IMPLEMENTED_1" localSheetId="39">'x-408'!$B$19</definedName>
    <definedName name="TABLE_DATE_IMPLEMENTED_1" localSheetId="40">'x-409'!$B$19</definedName>
    <definedName name="TABLE_DATE_IMPLEMENTED_1" localSheetId="41">'x-410'!$B$19</definedName>
    <definedName name="TABLE_DATE_IMPLEMENTED_1" localSheetId="42">'x-411'!$B$19</definedName>
    <definedName name="TABLE_DATE_IMPLEMENTED_1" localSheetId="43">'x-412'!$B$19</definedName>
    <definedName name="TABLE_DATE_IMPLEMENTED_1" localSheetId="44">'x-413'!$B$19</definedName>
    <definedName name="TABLE_DATE_IMPLEMENTED_1" localSheetId="45">'x-414'!$B$19</definedName>
    <definedName name="TABLE_DATE_IMPLEMENTED_1" localSheetId="46">'x-415'!$B$19</definedName>
    <definedName name="TABLE_DATE_IMPLEMENTED_1" localSheetId="47">'x-416'!$B$19</definedName>
    <definedName name="TABLE_DATE_IMPLEMENTED_1" localSheetId="48">'x-417'!$B$19</definedName>
    <definedName name="TABLE_DATE_IMPLEMENTED_1" localSheetId="49">'x-418'!$B$19</definedName>
    <definedName name="TABLE_DATE_IMPLEMENTED_1" localSheetId="50">'x-419'!$B$19</definedName>
    <definedName name="TABLE_DATE_IMPLEMENTED_1" localSheetId="51">'x-420'!$B$19</definedName>
    <definedName name="TABLE_DATE_IMPLEMENTED_1" localSheetId="52">'x-421'!$B$19</definedName>
    <definedName name="TABLE_DATE_IMPLEMENTED_1" localSheetId="53">'x-422'!$B$19</definedName>
    <definedName name="TABLE_DATE_IMPLEMENTED_1" localSheetId="54">'x-423'!$B$19</definedName>
    <definedName name="TABLE_DATE_IMPLEMENTED_1" localSheetId="55">'x-501'!$B$19</definedName>
    <definedName name="TABLE_DATE_IMPLEMENTED_1" localSheetId="56">'x-502'!$B$19</definedName>
    <definedName name="TABLE_DATE_IMPLEMENTED_1" localSheetId="57">'x-503'!$B$19</definedName>
    <definedName name="TABLE_DATE_IMPLEMENTED_1" localSheetId="58">'x-504'!$B$19</definedName>
    <definedName name="TABLE_DATE_IMPLEMENTED_1" localSheetId="59">'x-505'!$B$19</definedName>
    <definedName name="TABLE_DATE_IMPLEMENTED_1" localSheetId="60">'x-601'!$B$19</definedName>
    <definedName name="TABLE_DATE_IMPLEMENTED_1" localSheetId="61">'x-602'!$B$19</definedName>
    <definedName name="TABLE_DATE_IMPLEMENTED_1" localSheetId="62">'x-603'!$B$19</definedName>
    <definedName name="TABLE_DATE_IMPLEMENTED_1" localSheetId="63">'x-604'!$B$19</definedName>
    <definedName name="TABLE_DATE_IMPLEMENTED_1" localSheetId="64">'x-605'!$B$19</definedName>
    <definedName name="TABLE_DATE_IMPLEMENTED_1" localSheetId="65">'x-606'!$B$19</definedName>
    <definedName name="TABLE_DATE_IMPLEMENTED_1" localSheetId="66">'x-703'!$B$19</definedName>
    <definedName name="TABLE_DATE_IMPLEMENTED_1" localSheetId="67">'x-704'!$B$19</definedName>
    <definedName name="TABLE_DATE_IMPLEMENTED_1" localSheetId="68">'x-705'!$B$19</definedName>
    <definedName name="TABLE_DATE_IMPLEMENTED_1" localSheetId="69">'x-706'!$B$19</definedName>
    <definedName name="TABLE_DATE_IMPLEMENTED_1" localSheetId="70">'x-707'!$B$19</definedName>
    <definedName name="TABLE_DATE_IMPLEMENTED_1" localSheetId="71">'x-708'!$B$19</definedName>
    <definedName name="TABLE_DATE_IMPLEMENTED_1" localSheetId="72">'x-709'!$B$19</definedName>
    <definedName name="TABLE_DATE_IMPLEMENTED_1" localSheetId="73">'x-710'!$B$19</definedName>
    <definedName name="TABLE_DATE_IMPLEMENTED_1" localSheetId="74">'x-711'!$B$19</definedName>
    <definedName name="TABLE_DATE_IMPLEMENTED_1" localSheetId="75">'x-712'!$B$19</definedName>
    <definedName name="TABLE_DATE_IMPLEMENTED_1" localSheetId="76">'x-713'!$B$19</definedName>
    <definedName name="TABLE_DATE_IMPLEMENTED_1" localSheetId="77">'x-714'!$B$19</definedName>
    <definedName name="TABLE_DATE_IMPLEMENTED_1" localSheetId="78">'x-715'!$B$19</definedName>
    <definedName name="TABLE_DATE_IMPLEMENTED_1" localSheetId="79">'x-716'!$B$19</definedName>
    <definedName name="TABLE_DATE_IMPLEMENTED_1" localSheetId="80">'x-717'!$B$19</definedName>
    <definedName name="TABLE_DATE_IMPLEMENTED_1" localSheetId="81">'x-718'!$B$19</definedName>
    <definedName name="TABLE_DATE_IMPLEMENTED_1" localSheetId="82">'x-719'!$B$19</definedName>
    <definedName name="TABLE_DATE_IMPLEMENTED_1" localSheetId="83">'x-720'!$B$19</definedName>
    <definedName name="TABLE_DATE_IMPLEMENTED_1" localSheetId="84">'x-721'!$B$19</definedName>
    <definedName name="TABLE_DATE_IMPLEMENTED_1" localSheetId="85">'x-722'!$B$19</definedName>
    <definedName name="TABLE_DATE_IMPLEMENTED_1" localSheetId="86">'x-723'!$B$19</definedName>
    <definedName name="TABLE_DATE_IMPLEMENTED_1" localSheetId="87">'x-801'!$B$19</definedName>
    <definedName name="TABLE_DATE_IMPLEMENTED_1" localSheetId="88">'x-802'!$B$19</definedName>
    <definedName name="TABLE_DATE_IMPLEMENTED_1" localSheetId="89">'x-803'!$B$19</definedName>
    <definedName name="TABLE_DATE_IMPLEMENTED_1" localSheetId="90">'x-804'!$B$19</definedName>
    <definedName name="TABLE_DATE_IMPLEMENTED_1" localSheetId="91">'x-805'!$B$19</definedName>
    <definedName name="TABLE_DATE_IMPLEMENTED_1" localSheetId="92">'x-806'!$B$19</definedName>
    <definedName name="TABLE_DATE_IMPLEMENTED_1" localSheetId="93">'x-807'!$B$19</definedName>
    <definedName name="TABLE_DATE_IMPLEMENTED_1" localSheetId="94">'x-808'!$B$19</definedName>
    <definedName name="TABLE_DATE_IMPLEMENTED_1" localSheetId="95">'x-809'!$B$19</definedName>
    <definedName name="TABLE_DATE_IMPLEMENTED_1" localSheetId="96">'x-810'!$B$19</definedName>
    <definedName name="TABLE_DATE_IMPLEMENTED_1" localSheetId="97">'x-811'!$B$19</definedName>
    <definedName name="TABLE_DATE_IMPLEMENTED_1" localSheetId="98">'x-812'!$B$19</definedName>
    <definedName name="TABLE_DATE_IMPLEMENTED_1" localSheetId="99">'x-813'!$B$19</definedName>
    <definedName name="TABLE_DATE_IMPLEMENTED_1" localSheetId="100">'x-814'!$B$19</definedName>
    <definedName name="TABLE_DATE_IMPLEMENTED_1" localSheetId="101">'x-815'!$B$19</definedName>
    <definedName name="TABLE_DATE_IMPLEMENTED_1" localSheetId="102">'x-816'!$B$19</definedName>
    <definedName name="TABLE_DATE_IMPLEMENTED_1" localSheetId="103">'x-817'!$B$19</definedName>
    <definedName name="TABLE_DATE_IMPLEMENTED_1" localSheetId="104">'x-818'!$B$19</definedName>
    <definedName name="TABLE_DATE_IMPLEMENTED_1" localSheetId="105">'x-819'!$B$19</definedName>
    <definedName name="TABLE_DATE_IMPLEMENTED_1" localSheetId="106">'x-820'!$B$19</definedName>
    <definedName name="TABLE_DATE_IMPLEMENTED_1" localSheetId="107">'x-821'!$B$19</definedName>
    <definedName name="TABLE_DATE_IMPLEMENTED_1" localSheetId="108">'x-822'!$B$19</definedName>
    <definedName name="TABLE_DATE_IMPLEMENTED_1" localSheetId="109">'x-823'!$B$19</definedName>
    <definedName name="TABLE_DATE_IMPLEMENTED_2" localSheetId="15">'x-204'!$I$19</definedName>
    <definedName name="TABLE_DATE_IMPLEMENTED_2" localSheetId="34">'x-403'!$Q$19</definedName>
    <definedName name="TABLE_DATE_IMPLEMENTED_2" localSheetId="35">'x-404'!$Q$19</definedName>
    <definedName name="TABLE_DATE_IMPLEMENTED_2" localSheetId="40">'x-409'!$Q$19</definedName>
    <definedName name="TABLE_DATE_IMPLEMENTED_2" localSheetId="41">'x-410'!$Q$19</definedName>
    <definedName name="TABLE_DATE_IMPLEMENTED_2" localSheetId="46">'x-415'!$Q$19</definedName>
    <definedName name="TABLE_DATE_IMPLEMENTED_2" localSheetId="96">'x-810'!$Q$19</definedName>
    <definedName name="TABLE_DATE_ISSUED" localSheetId="23">'x-219'!$B$18</definedName>
    <definedName name="TABLE_DATE_ISSUED">'x-Series Number'!$B$18</definedName>
    <definedName name="table_date_issued_1" localSheetId="8">'x-101'!$B$18</definedName>
    <definedName name="table_date_issued_1" localSheetId="9">'x-102'!$B$18</definedName>
    <definedName name="table_date_issued_1" localSheetId="10">'x-103'!$B$18</definedName>
    <definedName name="table_date_issued_1" localSheetId="11">'x-104'!$B$18</definedName>
    <definedName name="TABLE_DATE_ISSUED_1" localSheetId="12">'x-201'!$B$18</definedName>
    <definedName name="TABLE_DATE_ISSUED_1" localSheetId="13">'x-202'!$B$18</definedName>
    <definedName name="TABLE_DATE_ISSUED_1" localSheetId="14">'x-203'!$B$18</definedName>
    <definedName name="TABLE_DATE_ISSUED_1" localSheetId="15">'x-204'!$B$18</definedName>
    <definedName name="TABLE_DATE_ISSUED_1" localSheetId="16">'x-205'!$B$18</definedName>
    <definedName name="TABLE_DATE_ISSUED_1" localSheetId="17">'x-206'!$B$18</definedName>
    <definedName name="TABLE_DATE_ISSUED_1" localSheetId="18">'x-207'!$B$18</definedName>
    <definedName name="TABLE_DATE_ISSUED_1" localSheetId="19">'x-208'!$B$18</definedName>
    <definedName name="TABLE_DATE_ISSUED_1" localSheetId="20">'x-209'!$B$18</definedName>
    <definedName name="TABLE_DATE_ISSUED_1" localSheetId="21">'x-217'!$B$18</definedName>
    <definedName name="TABLE_DATE_ISSUED_1" localSheetId="22">'x-218'!$B$18</definedName>
    <definedName name="TABLE_DATE_ISSUED_1" localSheetId="23">'x-219'!$B$18</definedName>
    <definedName name="TABLE_DATE_ISSUED_1" localSheetId="24">'x-301'!$B$18</definedName>
    <definedName name="TABLE_DATE_ISSUED_1" localSheetId="25">'x-302'!$B$18</definedName>
    <definedName name="TABLE_DATE_ISSUED_1" localSheetId="26">'x-303'!$B$18</definedName>
    <definedName name="TABLE_DATE_ISSUED_1" localSheetId="27">'x-304'!$B$18</definedName>
    <definedName name="TABLE_DATE_ISSUED_1" localSheetId="28">'x-305'!$B$18</definedName>
    <definedName name="TABLE_DATE_ISSUED_1" localSheetId="29">'x-306'!$B$18</definedName>
    <definedName name="TABLE_DATE_ISSUED_1" localSheetId="30">'x-307'!$B$18</definedName>
    <definedName name="TABLE_DATE_ISSUED_1" localSheetId="31">'x-308'!$B$18</definedName>
    <definedName name="TABLE_DATE_ISSUED_1" localSheetId="32">'x-401'!$B$18</definedName>
    <definedName name="TABLE_DATE_ISSUED_1" localSheetId="33">'x-402'!$B$18</definedName>
    <definedName name="TABLE_DATE_ISSUED_1" localSheetId="34">'x-403'!$B$18</definedName>
    <definedName name="TABLE_DATE_ISSUED_1" localSheetId="35">'x-404'!$B$18</definedName>
    <definedName name="TABLE_DATE_ISSUED_1" localSheetId="36">'x-405'!$B$18</definedName>
    <definedName name="TABLE_DATE_ISSUED_1" localSheetId="37">'x-406'!$B$18</definedName>
    <definedName name="TABLE_DATE_ISSUED_1" localSheetId="38">'x-407'!$B$18</definedName>
    <definedName name="TABLE_DATE_ISSUED_1" localSheetId="39">'x-408'!$B$18</definedName>
    <definedName name="TABLE_DATE_ISSUED_1" localSheetId="40">'x-409'!$B$18</definedName>
    <definedName name="TABLE_DATE_ISSUED_1" localSheetId="41">'x-410'!$B$18</definedName>
    <definedName name="TABLE_DATE_ISSUED_1" localSheetId="42">'x-411'!$B$18</definedName>
    <definedName name="TABLE_DATE_ISSUED_1" localSheetId="43">'x-412'!$B$18</definedName>
    <definedName name="TABLE_DATE_ISSUED_1" localSheetId="44">'x-413'!$B$18</definedName>
    <definedName name="TABLE_DATE_ISSUED_1" localSheetId="45">'x-414'!$B$18</definedName>
    <definedName name="TABLE_DATE_ISSUED_1" localSheetId="46">'x-415'!$B$18</definedName>
    <definedName name="TABLE_DATE_ISSUED_1" localSheetId="47">'x-416'!$B$18</definedName>
    <definedName name="TABLE_DATE_ISSUED_1" localSheetId="48">'x-417'!$B$18</definedName>
    <definedName name="TABLE_DATE_ISSUED_1" localSheetId="49">'x-418'!$B$18</definedName>
    <definedName name="TABLE_DATE_ISSUED_1" localSheetId="50">'x-419'!$B$18</definedName>
    <definedName name="TABLE_DATE_ISSUED_1" localSheetId="51">'x-420'!$B$18</definedName>
    <definedName name="TABLE_DATE_ISSUED_1" localSheetId="52">'x-421'!$B$18</definedName>
    <definedName name="TABLE_DATE_ISSUED_1" localSheetId="53">'x-422'!$B$18</definedName>
    <definedName name="TABLE_DATE_ISSUED_1" localSheetId="54">'x-423'!$B$18</definedName>
    <definedName name="TABLE_DATE_ISSUED_1" localSheetId="55">'x-501'!$B$18</definedName>
    <definedName name="TABLE_DATE_ISSUED_1" localSheetId="56">'x-502'!$B$18</definedName>
    <definedName name="TABLE_DATE_ISSUED_1" localSheetId="57">'x-503'!$B$18</definedName>
    <definedName name="TABLE_DATE_ISSUED_1" localSheetId="58">'x-504'!$B$18</definedName>
    <definedName name="TABLE_DATE_ISSUED_1" localSheetId="59">'x-505'!$B$18</definedName>
    <definedName name="TABLE_DATE_ISSUED_1" localSheetId="60">'x-601'!$B$18</definedName>
    <definedName name="TABLE_DATE_ISSUED_1" localSheetId="61">'x-602'!$B$18</definedName>
    <definedName name="TABLE_DATE_ISSUED_1" localSheetId="62">'x-603'!$B$18</definedName>
    <definedName name="TABLE_DATE_ISSUED_1" localSheetId="63">'x-604'!$B$18</definedName>
    <definedName name="TABLE_DATE_ISSUED_1" localSheetId="64">'x-605'!$B$18</definedName>
    <definedName name="TABLE_DATE_ISSUED_1" localSheetId="65">'x-606'!$B$18</definedName>
    <definedName name="TABLE_DATE_ISSUED_1" localSheetId="66">'x-703'!$B$18</definedName>
    <definedName name="TABLE_DATE_ISSUED_1" localSheetId="67">'x-704'!$B$18</definedName>
    <definedName name="TABLE_DATE_ISSUED_1" localSheetId="68">'x-705'!$B$18</definedName>
    <definedName name="TABLE_DATE_ISSUED_1" localSheetId="69">'x-706'!$B$18</definedName>
    <definedName name="TABLE_DATE_ISSUED_1" localSheetId="70">'x-707'!$B$18</definedName>
    <definedName name="TABLE_DATE_ISSUED_1" localSheetId="71">'x-708'!$B$18</definedName>
    <definedName name="TABLE_DATE_ISSUED_1" localSheetId="72">'x-709'!$B$18</definedName>
    <definedName name="TABLE_DATE_ISSUED_1" localSheetId="73">'x-710'!$B$18</definedName>
    <definedName name="TABLE_DATE_ISSUED_1" localSheetId="74">'x-711'!$B$18</definedName>
    <definedName name="TABLE_DATE_ISSUED_1" localSheetId="75">'x-712'!$B$18</definedName>
    <definedName name="TABLE_DATE_ISSUED_1" localSheetId="76">'x-713'!$B$18</definedName>
    <definedName name="TABLE_DATE_ISSUED_1" localSheetId="77">'x-714'!$B$18</definedName>
    <definedName name="TABLE_DATE_ISSUED_1" localSheetId="78">'x-715'!$B$18</definedName>
    <definedName name="TABLE_DATE_ISSUED_1" localSheetId="79">'x-716'!$B$18</definedName>
    <definedName name="TABLE_DATE_ISSUED_1" localSheetId="80">'x-717'!$B$18</definedName>
    <definedName name="TABLE_DATE_ISSUED_1" localSheetId="81">'x-718'!$B$18</definedName>
    <definedName name="TABLE_DATE_ISSUED_1" localSheetId="82">'x-719'!$B$18</definedName>
    <definedName name="TABLE_DATE_ISSUED_1" localSheetId="83">'x-720'!$B$18</definedName>
    <definedName name="TABLE_DATE_ISSUED_1" localSheetId="84">'x-721'!$B$18</definedName>
    <definedName name="TABLE_DATE_ISSUED_1" localSheetId="85">'x-722'!$B$18</definedName>
    <definedName name="TABLE_DATE_ISSUED_1" localSheetId="86">'x-723'!$B$18</definedName>
    <definedName name="TABLE_DATE_ISSUED_1" localSheetId="87">'x-801'!$B$18</definedName>
    <definedName name="TABLE_DATE_ISSUED_1" localSheetId="88">'x-802'!$B$18</definedName>
    <definedName name="TABLE_DATE_ISSUED_1" localSheetId="89">'x-803'!$B$18</definedName>
    <definedName name="TABLE_DATE_ISSUED_1" localSheetId="90">'x-804'!$B$18</definedName>
    <definedName name="TABLE_DATE_ISSUED_1" localSheetId="91">'x-805'!$B$18</definedName>
    <definedName name="TABLE_DATE_ISSUED_1" localSheetId="92">'x-806'!$B$18</definedName>
    <definedName name="TABLE_DATE_ISSUED_1" localSheetId="93">'x-807'!$B$18</definedName>
    <definedName name="TABLE_DATE_ISSUED_1" localSheetId="94">'x-808'!$B$18</definedName>
    <definedName name="TABLE_DATE_ISSUED_1" localSheetId="95">'x-809'!$B$18</definedName>
    <definedName name="TABLE_DATE_ISSUED_1" localSheetId="96">'x-810'!$B$18</definedName>
    <definedName name="TABLE_DATE_ISSUED_1" localSheetId="97">'x-811'!$B$18</definedName>
    <definedName name="TABLE_DATE_ISSUED_1" localSheetId="98">'x-812'!$B$18</definedName>
    <definedName name="TABLE_DATE_ISSUED_1" localSheetId="99">'x-813'!$B$18</definedName>
    <definedName name="TABLE_DATE_ISSUED_1" localSheetId="100">'x-814'!$B$18</definedName>
    <definedName name="TABLE_DATE_ISSUED_1" localSheetId="101">'x-815'!$B$18</definedName>
    <definedName name="TABLE_DATE_ISSUED_1" localSheetId="102">'x-816'!$B$18</definedName>
    <definedName name="TABLE_DATE_ISSUED_1" localSheetId="103">'x-817'!$B$18</definedName>
    <definedName name="TABLE_DATE_ISSUED_1" localSheetId="104">'x-818'!$B$18</definedName>
    <definedName name="TABLE_DATE_ISSUED_1" localSheetId="105">'x-819'!$B$18</definedName>
    <definedName name="TABLE_DATE_ISSUED_1" localSheetId="106">'x-820'!$B$18</definedName>
    <definedName name="TABLE_DATE_ISSUED_1" localSheetId="107">'x-821'!$B$18</definedName>
    <definedName name="TABLE_DATE_ISSUED_1" localSheetId="108">'x-822'!$B$18</definedName>
    <definedName name="TABLE_DATE_ISSUED_1" localSheetId="109">'x-823'!$B$18</definedName>
    <definedName name="TABLE_DATE_ISSUED_2" localSheetId="15">'x-204'!$I$18</definedName>
    <definedName name="TABLE_DATE_ISSUED_2" localSheetId="34">'x-403'!$Q$18</definedName>
    <definedName name="TABLE_DATE_ISSUED_2" localSheetId="35">'x-404'!$Q$18</definedName>
    <definedName name="TABLE_DATE_ISSUED_2" localSheetId="40">'x-409'!$Q$18</definedName>
    <definedName name="TABLE_DATE_ISSUED_2" localSheetId="41">'x-410'!$Q$18</definedName>
    <definedName name="TABLE_DATE_ISSUED_2" localSheetId="46">'x-415'!$Q$18</definedName>
    <definedName name="TABLE_DATE_ISSUED_2" localSheetId="96">'x-810'!$Q$18</definedName>
    <definedName name="TABLE_DESCRIPTION" localSheetId="23">'x-219'!$B$10</definedName>
    <definedName name="TABLE_DESCRIPTION">'x-Series Number'!$B$10</definedName>
    <definedName name="table_Description_1" localSheetId="8">'x-101'!$B$10</definedName>
    <definedName name="table_description_1" localSheetId="9">'x-102'!$B$10</definedName>
    <definedName name="table_Description_1" localSheetId="10">'x-103'!$B$10</definedName>
    <definedName name="table_Description_1" localSheetId="11">'x-104'!$B$10</definedName>
    <definedName name="TABLE_DESCRIPTION_1" localSheetId="12">'x-201'!$B$10</definedName>
    <definedName name="TABLE_DESCRIPTION_1" localSheetId="13">'x-202'!$B$10</definedName>
    <definedName name="TABLE_DESCRIPTION_1" localSheetId="14">'x-203'!$B$10</definedName>
    <definedName name="TABLE_DESCRIPTION_1" localSheetId="15">'x-204'!$B$10</definedName>
    <definedName name="TABLE_DESCRIPTION_1" localSheetId="16">'x-205'!$B$10</definedName>
    <definedName name="TABLE_DESCRIPTION_1" localSheetId="17">'x-206'!$B$10</definedName>
    <definedName name="TABLE_DESCRIPTION_1" localSheetId="18">'x-207'!$B$10</definedName>
    <definedName name="TABLE_DESCRIPTION_1" localSheetId="19">'x-208'!$B$10</definedName>
    <definedName name="TABLE_DESCRIPTION_1" localSheetId="20">'x-209'!$B$10</definedName>
    <definedName name="TABLE_DESCRIPTION_1" localSheetId="21">'x-217'!$B$10</definedName>
    <definedName name="TABLE_DESCRIPTION_1" localSheetId="22">'x-218'!$B$10</definedName>
    <definedName name="TABLE_DESCRIPTION_1" localSheetId="23">'x-219'!$B$10</definedName>
    <definedName name="TABLE_DESCRIPTION_1" localSheetId="24">'x-301'!$B$10</definedName>
    <definedName name="TABLE_DESCRIPTION_1" localSheetId="25">'x-302'!$B$10</definedName>
    <definedName name="TABLE_DESCRIPTION_1" localSheetId="26">'x-303'!$B$10</definedName>
    <definedName name="TABLE_DESCRIPTION_1" localSheetId="27">'x-304'!$B$10</definedName>
    <definedName name="TABLE_DESCRIPTION_1" localSheetId="28">'x-305'!$B$10</definedName>
    <definedName name="TABLE_DESCRIPTION_1" localSheetId="29">'x-306'!$B$10</definedName>
    <definedName name="TABLE_DESCRIPTION_1" localSheetId="30">'x-307'!$B$10</definedName>
    <definedName name="TABLE_DESCRIPTION_1" localSheetId="31">'x-308'!$B$10</definedName>
    <definedName name="TABLE_DESCRIPTION_1" localSheetId="32">'x-401'!$B$10</definedName>
    <definedName name="TABLE_DESCRIPTION_1" localSheetId="33">'x-402'!$B$10</definedName>
    <definedName name="TABLE_DESCRIPTION_1" localSheetId="34">'x-403'!$B$10</definedName>
    <definedName name="TABLE_DESCRIPTION_1" localSheetId="35">'x-404'!$B$10</definedName>
    <definedName name="TABLE_DESCRIPTION_1" localSheetId="36">'x-405'!$B$10</definedName>
    <definedName name="TABLE_DESCRIPTION_1" localSheetId="37">'x-406'!$B$10</definedName>
    <definedName name="TABLE_DESCRIPTION_1" localSheetId="38">'x-407'!$B$10</definedName>
    <definedName name="TABLE_DESCRIPTION_1" localSheetId="39">'x-408'!$B$10</definedName>
    <definedName name="TABLE_DESCRIPTION_1" localSheetId="40">'x-409'!$B$10</definedName>
    <definedName name="TABLE_DESCRIPTION_1" localSheetId="41">'x-410'!$B$10</definedName>
    <definedName name="TABLE_DESCRIPTION_1" localSheetId="42">'x-411'!$B$10</definedName>
    <definedName name="TABLE_DESCRIPTION_1" localSheetId="43">'x-412'!$B$10</definedName>
    <definedName name="TABLE_DESCRIPTION_1" localSheetId="44">'x-413'!$B$10</definedName>
    <definedName name="TABLE_DESCRIPTION_1" localSheetId="45">'x-414'!$B$10</definedName>
    <definedName name="TABLE_DESCRIPTION_1" localSheetId="46">'x-415'!$B$10</definedName>
    <definedName name="TABLE_DESCRIPTION_1" localSheetId="47">'x-416'!$B$10</definedName>
    <definedName name="TABLE_DESCRIPTION_1" localSheetId="48">'x-417'!$B$10</definedName>
    <definedName name="TABLE_DESCRIPTION_1" localSheetId="49">'x-418'!$B$10</definedName>
    <definedName name="TABLE_DESCRIPTION_1" localSheetId="50">'x-419'!$B$10</definedName>
    <definedName name="TABLE_DESCRIPTION_1" localSheetId="51">'x-420'!$B$10</definedName>
    <definedName name="TABLE_DESCRIPTION_1" localSheetId="52">'x-421'!$B$10</definedName>
    <definedName name="TABLE_DESCRIPTION_1" localSheetId="53">'x-422'!$B$10</definedName>
    <definedName name="TABLE_DESCRIPTION_1" localSheetId="54">'x-423'!$B$10</definedName>
    <definedName name="TABLE_DESCRIPTION_1" localSheetId="55">'x-501'!$B$10</definedName>
    <definedName name="TABLE_DESCRIPTION_1" localSheetId="56">'x-502'!$B$10</definedName>
    <definedName name="TABLE_DESCRIPTION_1" localSheetId="57">'x-503'!$B$10</definedName>
    <definedName name="TABLE_DESCRIPTION_1" localSheetId="58">'x-504'!$B$10</definedName>
    <definedName name="TABLE_DESCRIPTION_1" localSheetId="59">'x-505'!$B$10</definedName>
    <definedName name="TABLE_DESCRIPTION_1" localSheetId="60">'x-601'!$B$10</definedName>
    <definedName name="TABLE_DESCRIPTION_1" localSheetId="61">'x-602'!$B$10</definedName>
    <definedName name="TABLE_DESCRIPTION_1" localSheetId="62">'x-603'!$B$10</definedName>
    <definedName name="TABLE_DESCRIPTION_1" localSheetId="63">'x-604'!$B$10</definedName>
    <definedName name="TABLE_DESCRIPTION_1" localSheetId="64">'x-605'!$B$10</definedName>
    <definedName name="TABLE_DESCRIPTION_1" localSheetId="65">'x-606'!$B$10</definedName>
    <definedName name="TABLE_DESCRIPTION_1" localSheetId="66">'x-703'!$B$10</definedName>
    <definedName name="TABLE_DESCRIPTION_1" localSheetId="67">'x-704'!$B$10</definedName>
    <definedName name="TABLE_DESCRIPTION_1" localSheetId="68">'x-705'!$B$10</definedName>
    <definedName name="TABLE_DESCRIPTION_1" localSheetId="69">'x-706'!$B$10</definedName>
    <definedName name="TABLE_DESCRIPTION_1" localSheetId="70">'x-707'!$B$10</definedName>
    <definedName name="TABLE_DESCRIPTION_1" localSheetId="71">'x-708'!$B$10</definedName>
    <definedName name="TABLE_DESCRIPTION_1" localSheetId="72">'x-709'!$B$10</definedName>
    <definedName name="TABLE_DESCRIPTION_1" localSheetId="73">'x-710'!$B$10</definedName>
    <definedName name="TABLE_DESCRIPTION_1" localSheetId="74">'x-711'!$B$10</definedName>
    <definedName name="TABLE_DESCRIPTION_1" localSheetId="75">'x-712'!$B$10</definedName>
    <definedName name="TABLE_DESCRIPTION_1" localSheetId="76">'x-713'!$B$10</definedName>
    <definedName name="TABLE_DESCRIPTION_1" localSheetId="77">'x-714'!$B$10</definedName>
    <definedName name="TABLE_DESCRIPTION_1" localSheetId="78">'x-715'!$B$10</definedName>
    <definedName name="TABLE_DESCRIPTION_1" localSheetId="79">'x-716'!$B$10</definedName>
    <definedName name="TABLE_DESCRIPTION_1" localSheetId="80">'x-717'!$B$10</definedName>
    <definedName name="TABLE_DESCRIPTION_1" localSheetId="81">'x-718'!$B$10</definedName>
    <definedName name="TABLE_DESCRIPTION_1" localSheetId="82">'x-719'!$B$10</definedName>
    <definedName name="TABLE_DESCRIPTION_1" localSheetId="83">'x-720'!$B$10</definedName>
    <definedName name="TABLE_DESCRIPTION_1" localSheetId="84">'x-721'!$B$10</definedName>
    <definedName name="TABLE_DESCRIPTION_1" localSheetId="85">'x-722'!$B$10</definedName>
    <definedName name="TABLE_DESCRIPTION_1" localSheetId="86">'x-723'!$B$10</definedName>
    <definedName name="TABLE_DESCRIPTION_1" localSheetId="87">'x-801'!$B$10</definedName>
    <definedName name="TABLE_DESCRIPTION_1" localSheetId="88">'x-802'!$B$10</definedName>
    <definedName name="TABLE_DESCRIPTION_1" localSheetId="89">'x-803'!$B$10</definedName>
    <definedName name="TABLE_DESCRIPTION_1" localSheetId="90">'x-804'!$B$10</definedName>
    <definedName name="TABLE_DESCRIPTION_1" localSheetId="91">'x-805'!$B$10</definedName>
    <definedName name="TABLE_DESCRIPTION_1" localSheetId="92">'x-806'!$B$10</definedName>
    <definedName name="TABLE_DESCRIPTION_1" localSheetId="93">'x-807'!$B$10</definedName>
    <definedName name="TABLE_DESCRIPTION_1" localSheetId="94">'x-808'!$B$10</definedName>
    <definedName name="TABLE_DESCRIPTION_1" localSheetId="95">'x-809'!$B$10</definedName>
    <definedName name="TABLE_DESCRIPTION_1" localSheetId="96">'x-810'!$B$10</definedName>
    <definedName name="TABLE_DESCRIPTION_1" localSheetId="97">'x-811'!$B$10</definedName>
    <definedName name="TABLE_DESCRIPTION_1" localSheetId="98">'x-812'!$B$10</definedName>
    <definedName name="TABLE_DESCRIPTION_1" localSheetId="99">'x-813'!$B$10</definedName>
    <definedName name="TABLE_DESCRIPTION_1" localSheetId="100">'x-814'!$B$10</definedName>
    <definedName name="TABLE_DESCRIPTION_1" localSheetId="101">'x-815'!$B$10</definedName>
    <definedName name="TABLE_DESCRIPTION_1" localSheetId="102">'x-816'!$B$10</definedName>
    <definedName name="TABLE_DESCRIPTION_1" localSheetId="103">'x-817'!$B$10</definedName>
    <definedName name="TABLE_DESCRIPTION_1" localSheetId="104">'x-818'!$B$10</definedName>
    <definedName name="TABLE_DESCRIPTION_1" localSheetId="105">'x-819'!$B$10</definedName>
    <definedName name="TABLE_DESCRIPTION_1" localSheetId="106">'x-820'!$B$10</definedName>
    <definedName name="TABLE_DESCRIPTION_1" localSheetId="107">'x-821'!$B$10</definedName>
    <definedName name="TABLE_DESCRIPTION_1" localSheetId="108">'x-822'!$B$10</definedName>
    <definedName name="TABLE_DESCRIPTION_1" localSheetId="109">'x-823'!$B$10</definedName>
    <definedName name="TABLE_DESCRIPTION_2" localSheetId="15">'x-204'!$I$10</definedName>
    <definedName name="TABLE_DESCRIPTION_2" localSheetId="34">'x-403'!$Q$10</definedName>
    <definedName name="TABLE_DESCRIPTION_2" localSheetId="35">'x-404'!$Q$10</definedName>
    <definedName name="TABLE_DESCRIPTION_2" localSheetId="40">'x-409'!$Q$10</definedName>
    <definedName name="TABLE_DESCRIPTION_2" localSheetId="41">'x-410'!$Q$10</definedName>
    <definedName name="TABLE_DESCRIPTION_2" localSheetId="46">'x-415'!$Q$10</definedName>
    <definedName name="TABLE_DESCRIPTION_2" localSheetId="96">'x-810'!$Q$10</definedName>
    <definedName name="TABLE_FACTOR_STATUS" localSheetId="23">'x-219'!$B$20</definedName>
    <definedName name="TABLE_FACTOR_STATUS">'x-Series Number'!$B$20</definedName>
    <definedName name="table_factor_status_1" localSheetId="8">'x-101'!$B$20</definedName>
    <definedName name="table_factor_status_1" localSheetId="9">'x-102'!$B$20</definedName>
    <definedName name="table_factor_status_1" localSheetId="10">'x-103'!$B$20</definedName>
    <definedName name="table_factor_status_1" localSheetId="11">'x-104'!$B$20</definedName>
    <definedName name="TABLE_FACTOR_STATUS_1" localSheetId="12">'x-201'!$B$20</definedName>
    <definedName name="TABLE_FACTOR_STATUS_1" localSheetId="13">'x-202'!$B$20</definedName>
    <definedName name="TABLE_FACTOR_STATUS_1" localSheetId="14">'x-203'!$B$20</definedName>
    <definedName name="TABLE_FACTOR_STATUS_1" localSheetId="15">'x-204'!$B$20</definedName>
    <definedName name="TABLE_FACTOR_STATUS_1" localSheetId="16">'x-205'!$B$20</definedName>
    <definedName name="TABLE_FACTOR_STATUS_1" localSheetId="17">'x-206'!$B$20</definedName>
    <definedName name="TABLE_FACTOR_STATUS_1" localSheetId="18">'x-207'!$B$20</definedName>
    <definedName name="TABLE_FACTOR_STATUS_1" localSheetId="19">'x-208'!$B$20</definedName>
    <definedName name="TABLE_FACTOR_STATUS_1" localSheetId="20">'x-209'!$B$20</definedName>
    <definedName name="TABLE_FACTOR_STATUS_1" localSheetId="21">'x-217'!$B$20</definedName>
    <definedName name="TABLE_FACTOR_STATUS_1" localSheetId="22">'x-218'!$B$20</definedName>
    <definedName name="TABLE_FACTOR_STATUS_1" localSheetId="23">'x-219'!$B$20</definedName>
    <definedName name="TABLE_FACTOR_STATUS_1" localSheetId="24">'x-301'!$B$20</definedName>
    <definedName name="TABLE_FACTOR_STATUS_1" localSheetId="25">'x-302'!$B$20</definedName>
    <definedName name="TABLE_FACTOR_STATUS_1" localSheetId="26">'x-303'!$B$20</definedName>
    <definedName name="TABLE_FACTOR_STATUS_1" localSheetId="27">'x-304'!$B$20</definedName>
    <definedName name="TABLE_FACTOR_STATUS_1" localSheetId="28">'x-305'!$B$20</definedName>
    <definedName name="TABLE_FACTOR_STATUS_1" localSheetId="29">'x-306'!$B$20</definedName>
    <definedName name="TABLE_FACTOR_STATUS_1" localSheetId="30">'x-307'!$B$20</definedName>
    <definedName name="TABLE_FACTOR_STATUS_1" localSheetId="31">'x-308'!$B$20</definedName>
    <definedName name="TABLE_FACTOR_STATUS_1" localSheetId="32">'x-401'!$B$20</definedName>
    <definedName name="TABLE_FACTOR_STATUS_1" localSheetId="33">'x-402'!$B$20</definedName>
    <definedName name="TABLE_FACTOR_STATUS_1" localSheetId="34">'x-403'!$B$20</definedName>
    <definedName name="TABLE_FACTOR_STATUS_1" localSheetId="35">'x-404'!$B$20</definedName>
    <definedName name="TABLE_FACTOR_STATUS_1" localSheetId="36">'x-405'!$B$20</definedName>
    <definedName name="TABLE_FACTOR_STATUS_1" localSheetId="37">'x-406'!$B$20</definedName>
    <definedName name="TABLE_FACTOR_STATUS_1" localSheetId="38">'x-407'!$B$20</definedName>
    <definedName name="TABLE_FACTOR_STATUS_1" localSheetId="39">'x-408'!$B$20</definedName>
    <definedName name="TABLE_FACTOR_STATUS_1" localSheetId="40">'x-409'!$B$20</definedName>
    <definedName name="TABLE_FACTOR_STATUS_1" localSheetId="41">'x-410'!$B$20</definedName>
    <definedName name="TABLE_FACTOR_STATUS_1" localSheetId="42">'x-411'!$B$20</definedName>
    <definedName name="TABLE_FACTOR_STATUS_1" localSheetId="43">'x-412'!$B$20</definedName>
    <definedName name="TABLE_FACTOR_STATUS_1" localSheetId="44">'x-413'!$B$20</definedName>
    <definedName name="TABLE_FACTOR_STATUS_1" localSheetId="45">'x-414'!$B$20</definedName>
    <definedName name="TABLE_FACTOR_STATUS_1" localSheetId="46">'x-415'!$B$20</definedName>
    <definedName name="TABLE_FACTOR_STATUS_1" localSheetId="47">'x-416'!$B$20</definedName>
    <definedName name="TABLE_FACTOR_STATUS_1" localSheetId="48">'x-417'!$B$20</definedName>
    <definedName name="TABLE_FACTOR_STATUS_1" localSheetId="49">'x-418'!$B$20</definedName>
    <definedName name="TABLE_FACTOR_STATUS_1" localSheetId="50">'x-419'!$B$20</definedName>
    <definedName name="TABLE_FACTOR_STATUS_1" localSheetId="51">'x-420'!$B$20</definedName>
    <definedName name="TABLE_FACTOR_STATUS_1" localSheetId="52">'x-421'!$B$20</definedName>
    <definedName name="TABLE_FACTOR_STATUS_1" localSheetId="53">'x-422'!$B$20</definedName>
    <definedName name="TABLE_FACTOR_STATUS_1" localSheetId="54">'x-423'!$B$20</definedName>
    <definedName name="TABLE_FACTOR_STATUS_1" localSheetId="55">'x-501'!$B$20</definedName>
    <definedName name="TABLE_FACTOR_STATUS_1" localSheetId="56">'x-502'!$B$20</definedName>
    <definedName name="TABLE_FACTOR_STATUS_1" localSheetId="57">'x-503'!$B$20</definedName>
    <definedName name="TABLE_FACTOR_STATUS_1" localSheetId="58">'x-504'!$B$20</definedName>
    <definedName name="TABLE_FACTOR_STATUS_1" localSheetId="59">'x-505'!$B$20</definedName>
    <definedName name="TABLE_FACTOR_STATUS_1" localSheetId="60">'x-601'!$B$20</definedName>
    <definedName name="TABLE_FACTOR_STATUS_1" localSheetId="61">'x-602'!$B$20</definedName>
    <definedName name="TABLE_FACTOR_STATUS_1" localSheetId="62">'x-603'!$B$20</definedName>
    <definedName name="TABLE_FACTOR_STATUS_1" localSheetId="63">'x-604'!$B$20</definedName>
    <definedName name="TABLE_FACTOR_STATUS_1" localSheetId="64">'x-605'!$B$20</definedName>
    <definedName name="TABLE_FACTOR_STATUS_1" localSheetId="65">'x-606'!$B$20</definedName>
    <definedName name="TABLE_FACTOR_STATUS_1" localSheetId="66">'x-703'!$B$20</definedName>
    <definedName name="TABLE_FACTOR_STATUS_1" localSheetId="67">'x-704'!$B$20</definedName>
    <definedName name="TABLE_FACTOR_STATUS_1" localSheetId="68">'x-705'!$B$20</definedName>
    <definedName name="TABLE_FACTOR_STATUS_1" localSheetId="69">'x-706'!$B$20</definedName>
    <definedName name="TABLE_FACTOR_STATUS_1" localSheetId="70">'x-707'!$B$20</definedName>
    <definedName name="TABLE_FACTOR_STATUS_1" localSheetId="71">'x-708'!$B$20</definedName>
    <definedName name="TABLE_FACTOR_STATUS_1" localSheetId="72">'x-709'!$B$20</definedName>
    <definedName name="TABLE_FACTOR_STATUS_1" localSheetId="73">'x-710'!$B$20</definedName>
    <definedName name="TABLE_FACTOR_STATUS_1" localSheetId="74">'x-711'!$B$20</definedName>
    <definedName name="TABLE_FACTOR_STATUS_1" localSheetId="75">'x-712'!$B$20</definedName>
    <definedName name="TABLE_FACTOR_STATUS_1" localSheetId="76">'x-713'!$B$20</definedName>
    <definedName name="TABLE_FACTOR_STATUS_1" localSheetId="77">'x-714'!$B$20</definedName>
    <definedName name="TABLE_FACTOR_STATUS_1" localSheetId="78">'x-715'!$B$20</definedName>
    <definedName name="TABLE_FACTOR_STATUS_1" localSheetId="79">'x-716'!$B$20</definedName>
    <definedName name="TABLE_FACTOR_STATUS_1" localSheetId="80">'x-717'!$B$20</definedName>
    <definedName name="TABLE_FACTOR_STATUS_1" localSheetId="81">'x-718'!$B$20</definedName>
    <definedName name="TABLE_FACTOR_STATUS_1" localSheetId="82">'x-719'!$B$20</definedName>
    <definedName name="TABLE_FACTOR_STATUS_1" localSheetId="83">'x-720'!$B$20</definedName>
    <definedName name="TABLE_FACTOR_STATUS_1" localSheetId="84">'x-721'!$B$20</definedName>
    <definedName name="TABLE_FACTOR_STATUS_1" localSheetId="85">'x-722'!$B$20</definedName>
    <definedName name="TABLE_FACTOR_STATUS_1" localSheetId="86">'x-723'!$B$20</definedName>
    <definedName name="TABLE_FACTOR_STATUS_1" localSheetId="87">'x-801'!$B$20</definedName>
    <definedName name="TABLE_FACTOR_STATUS_1" localSheetId="88">'x-802'!$B$20</definedName>
    <definedName name="TABLE_FACTOR_STATUS_1" localSheetId="89">'x-803'!$B$20</definedName>
    <definedName name="TABLE_FACTOR_STATUS_1" localSheetId="90">'x-804'!$B$20</definedName>
    <definedName name="TABLE_FACTOR_STATUS_1" localSheetId="91">'x-805'!$B$20</definedName>
    <definedName name="TABLE_FACTOR_STATUS_1" localSheetId="92">'x-806'!$B$20</definedName>
    <definedName name="TABLE_FACTOR_STATUS_1" localSheetId="93">'x-807'!$B$20</definedName>
    <definedName name="TABLE_FACTOR_STATUS_1" localSheetId="94">'x-808'!$B$20</definedName>
    <definedName name="TABLE_FACTOR_STATUS_1" localSheetId="95">'x-809'!$B$20</definedName>
    <definedName name="TABLE_FACTOR_STATUS_1" localSheetId="96">'x-810'!$B$20</definedName>
    <definedName name="TABLE_FACTOR_STATUS_1" localSheetId="97">'x-811'!$B$20</definedName>
    <definedName name="TABLE_FACTOR_STATUS_1" localSheetId="98">'x-812'!$B$20</definedName>
    <definedName name="TABLE_FACTOR_STATUS_1" localSheetId="99">'x-813'!$B$20</definedName>
    <definedName name="TABLE_FACTOR_STATUS_1" localSheetId="100">'x-814'!$B$20</definedName>
    <definedName name="TABLE_FACTOR_STATUS_1" localSheetId="101">'x-815'!$B$20</definedName>
    <definedName name="TABLE_FACTOR_STATUS_1" localSheetId="102">'x-816'!$B$20</definedName>
    <definedName name="TABLE_FACTOR_STATUS_1" localSheetId="103">'x-817'!$B$20</definedName>
    <definedName name="TABLE_FACTOR_STATUS_1" localSheetId="104">'x-818'!$B$20</definedName>
    <definedName name="TABLE_FACTOR_STATUS_1" localSheetId="105">'x-819'!$B$20</definedName>
    <definedName name="TABLE_FACTOR_STATUS_1" localSheetId="106">'x-820'!$B$20</definedName>
    <definedName name="TABLE_FACTOR_STATUS_1" localSheetId="107">'x-821'!$B$20</definedName>
    <definedName name="TABLE_FACTOR_STATUS_1" localSheetId="108">'x-822'!$B$20</definedName>
    <definedName name="TABLE_FACTOR_STATUS_1" localSheetId="109">'x-823'!$B$20</definedName>
    <definedName name="TABLE_FACTOR_STATUS_2" localSheetId="15">'x-204'!$I$20</definedName>
    <definedName name="TABLE_FACTOR_STATUS_2" localSheetId="34">'x-403'!$Q$20</definedName>
    <definedName name="TABLE_FACTOR_STATUS_2" localSheetId="35">'x-404'!$Q$20</definedName>
    <definedName name="TABLE_FACTOR_STATUS_2" localSheetId="40">'x-409'!$Q$20</definedName>
    <definedName name="TABLE_FACTOR_STATUS_2" localSheetId="41">'x-410'!$Q$20</definedName>
    <definedName name="TABLE_FACTOR_STATUS_2" localSheetId="46">'x-415'!$Q$20</definedName>
    <definedName name="TABLE_FACTOR_STATUS_2" localSheetId="96">'x-810'!$Q$20</definedName>
    <definedName name="TABLE_FACTOR_TYPE" localSheetId="7">'[1]x-Series Number'!$B$9</definedName>
    <definedName name="TABLE_FACTOR_TYPE" localSheetId="23">'x-219'!$B$9</definedName>
    <definedName name="TABLE_FACTOR_TYPE">'x-Series Number'!$B$9</definedName>
    <definedName name="table_factor_type_1" localSheetId="8">'x-101'!$B$9</definedName>
    <definedName name="table_factor_type_1" localSheetId="9">'x-102'!$B$9</definedName>
    <definedName name="table_factor_type_1" localSheetId="10">'x-103'!$B$9</definedName>
    <definedName name="table_factor_type_1" localSheetId="11">'x-104'!$B$9</definedName>
    <definedName name="TABLE_FACTOR_TYPE_1" localSheetId="12">'x-201'!$B$9</definedName>
    <definedName name="TABLE_FACTOR_TYPE_1" localSheetId="13">'x-202'!$B$9</definedName>
    <definedName name="TABLE_FACTOR_TYPE_1" localSheetId="14">'x-203'!$B$9</definedName>
    <definedName name="TABLE_FACTOR_TYPE_1" localSheetId="15">'x-204'!$B$9</definedName>
    <definedName name="TABLE_FACTOR_TYPE_1" localSheetId="16">'x-205'!$B$9</definedName>
    <definedName name="TABLE_FACTOR_TYPE_1" localSheetId="17">'x-206'!$B$9</definedName>
    <definedName name="TABLE_FACTOR_TYPE_1" localSheetId="18">'x-207'!$B$9</definedName>
    <definedName name="TABLE_FACTOR_TYPE_1" localSheetId="19">'x-208'!$B$9</definedName>
    <definedName name="TABLE_FACTOR_TYPE_1" localSheetId="20">'x-209'!$B$9</definedName>
    <definedName name="TABLE_FACTOR_TYPE_1" localSheetId="21">'x-217'!$B$9</definedName>
    <definedName name="TABLE_FACTOR_TYPE_1" localSheetId="22">'x-218'!$B$9</definedName>
    <definedName name="TABLE_FACTOR_TYPE_1" localSheetId="23">'x-219'!$B$9</definedName>
    <definedName name="TABLE_FACTOR_TYPE_1" localSheetId="24">'x-301'!$B$9</definedName>
    <definedName name="TABLE_FACTOR_TYPE_1" localSheetId="25">'x-302'!$B$9</definedName>
    <definedName name="TABLE_FACTOR_TYPE_1" localSheetId="26">'x-303'!$B$9</definedName>
    <definedName name="TABLE_FACTOR_TYPE_1" localSheetId="27">'x-304'!$B$9</definedName>
    <definedName name="TABLE_FACTOR_TYPE_1" localSheetId="28">'x-305'!$B$9</definedName>
    <definedName name="TABLE_FACTOR_TYPE_1" localSheetId="29">'x-306'!$B$9</definedName>
    <definedName name="TABLE_FACTOR_TYPE_1" localSheetId="30">'x-307'!$B$9</definedName>
    <definedName name="TABLE_FACTOR_TYPE_1" localSheetId="31">'x-308'!$B$9</definedName>
    <definedName name="TABLE_FACTOR_TYPE_1" localSheetId="32">'x-401'!$B$9</definedName>
    <definedName name="TABLE_FACTOR_TYPE_1" localSheetId="33">'x-402'!$B$9</definedName>
    <definedName name="TABLE_FACTOR_TYPE_1" localSheetId="34">'x-403'!$B$9</definedName>
    <definedName name="TABLE_FACTOR_TYPE_1" localSheetId="35">'x-404'!$B$9</definedName>
    <definedName name="TABLE_FACTOR_TYPE_1" localSheetId="36">'x-405'!$B$9</definedName>
    <definedName name="TABLE_FACTOR_TYPE_1" localSheetId="37">'x-406'!$B$9</definedName>
    <definedName name="TABLE_FACTOR_TYPE_1" localSheetId="38">'x-407'!$B$9</definedName>
    <definedName name="TABLE_FACTOR_TYPE_1" localSheetId="39">'x-408'!$B$9</definedName>
    <definedName name="TABLE_FACTOR_TYPE_1" localSheetId="40">'x-409'!$B$9</definedName>
    <definedName name="TABLE_FACTOR_TYPE_1" localSheetId="41">'x-410'!$B$9</definedName>
    <definedName name="TABLE_FACTOR_TYPE_1" localSheetId="42">'x-411'!$B$9</definedName>
    <definedName name="TABLE_FACTOR_TYPE_1" localSheetId="43">'x-412'!$B$9</definedName>
    <definedName name="TABLE_FACTOR_TYPE_1" localSheetId="44">'x-413'!$B$9</definedName>
    <definedName name="TABLE_FACTOR_TYPE_1" localSheetId="45">'x-414'!$B$9</definedName>
    <definedName name="TABLE_FACTOR_TYPE_1" localSheetId="46">'x-415'!$B$9</definedName>
    <definedName name="TABLE_FACTOR_TYPE_1" localSheetId="47">'x-416'!$B$9</definedName>
    <definedName name="TABLE_FACTOR_TYPE_1" localSheetId="48">'x-417'!$B$9</definedName>
    <definedName name="TABLE_FACTOR_TYPE_1" localSheetId="49">'x-418'!$B$9</definedName>
    <definedName name="TABLE_FACTOR_TYPE_1" localSheetId="50">'x-419'!$B$9</definedName>
    <definedName name="TABLE_FACTOR_TYPE_1" localSheetId="51">'x-420'!$B$9</definedName>
    <definedName name="TABLE_FACTOR_TYPE_1" localSheetId="52">'x-421'!$B$9</definedName>
    <definedName name="TABLE_FACTOR_TYPE_1" localSheetId="53">'x-422'!$B$9</definedName>
    <definedName name="TABLE_FACTOR_TYPE_1" localSheetId="54">'x-423'!$B$9</definedName>
    <definedName name="TABLE_FACTOR_TYPE_1" localSheetId="55">'x-501'!$B$9</definedName>
    <definedName name="TABLE_FACTOR_TYPE_1" localSheetId="56">'x-502'!$B$9</definedName>
    <definedName name="TABLE_FACTOR_TYPE_1" localSheetId="57">'x-503'!$B$9</definedName>
    <definedName name="TABLE_FACTOR_TYPE_1" localSheetId="58">'x-504'!$B$9</definedName>
    <definedName name="TABLE_FACTOR_TYPE_1" localSheetId="59">'x-505'!$B$9</definedName>
    <definedName name="TABLE_FACTOR_TYPE_1" localSheetId="60">'x-601'!$B$9</definedName>
    <definedName name="TABLE_FACTOR_TYPE_1" localSheetId="61">'x-602'!$B$9</definedName>
    <definedName name="TABLE_FACTOR_TYPE_1" localSheetId="62">'x-603'!$B$9</definedName>
    <definedName name="TABLE_FACTOR_TYPE_1" localSheetId="63">'x-604'!$B$9</definedName>
    <definedName name="TABLE_FACTOR_TYPE_1" localSheetId="64">'x-605'!$B$9</definedName>
    <definedName name="TABLE_FACTOR_TYPE_1" localSheetId="65">'x-606'!$B$9</definedName>
    <definedName name="TABLE_FACTOR_TYPE_1" localSheetId="66">'x-703'!$B$9</definedName>
    <definedName name="TABLE_FACTOR_TYPE_1" localSheetId="67">'x-704'!$B$9</definedName>
    <definedName name="TABLE_FACTOR_TYPE_1" localSheetId="68">'x-705'!$B$9</definedName>
    <definedName name="TABLE_FACTOR_TYPE_1" localSheetId="69">'x-706'!$B$9</definedName>
    <definedName name="TABLE_FACTOR_TYPE_1" localSheetId="70">'x-707'!$B$9</definedName>
    <definedName name="TABLE_FACTOR_TYPE_1" localSheetId="71">'x-708'!$B$9</definedName>
    <definedName name="TABLE_FACTOR_TYPE_1" localSheetId="72">'x-709'!$B$9</definedName>
    <definedName name="TABLE_FACTOR_TYPE_1" localSheetId="73">'x-710'!$B$9</definedName>
    <definedName name="TABLE_FACTOR_TYPE_1" localSheetId="74">'x-711'!$B$9</definedName>
    <definedName name="TABLE_FACTOR_TYPE_1" localSheetId="75">'x-712'!$B$9</definedName>
    <definedName name="TABLE_FACTOR_TYPE_1" localSheetId="76">'x-713'!$B$9</definedName>
    <definedName name="TABLE_FACTOR_TYPE_1" localSheetId="77">'x-714'!$B$9</definedName>
    <definedName name="TABLE_FACTOR_TYPE_1" localSheetId="78">'x-715'!$B$9</definedName>
    <definedName name="TABLE_FACTOR_TYPE_1" localSheetId="79">'x-716'!$B$9</definedName>
    <definedName name="TABLE_FACTOR_TYPE_1" localSheetId="80">'x-717'!$B$9</definedName>
    <definedName name="TABLE_FACTOR_TYPE_1" localSheetId="81">'x-718'!$B$9</definedName>
    <definedName name="TABLE_FACTOR_TYPE_1" localSheetId="82">'x-719'!$B$9</definedName>
    <definedName name="TABLE_FACTOR_TYPE_1" localSheetId="83">'x-720'!$B$9</definedName>
    <definedName name="TABLE_FACTOR_TYPE_1" localSheetId="84">'x-721'!$B$9</definedName>
    <definedName name="TABLE_FACTOR_TYPE_1" localSheetId="85">'x-722'!$B$9</definedName>
    <definedName name="TABLE_FACTOR_TYPE_1" localSheetId="86">'x-723'!$B$9</definedName>
    <definedName name="TABLE_FACTOR_TYPE_1" localSheetId="87">'x-801'!$B$9</definedName>
    <definedName name="TABLE_FACTOR_TYPE_1" localSheetId="88">'x-802'!$B$9</definedName>
    <definedName name="TABLE_FACTOR_TYPE_1" localSheetId="89">'x-803'!$B$9</definedName>
    <definedName name="TABLE_FACTOR_TYPE_1" localSheetId="90">'x-804'!$B$9</definedName>
    <definedName name="TABLE_FACTOR_TYPE_1" localSheetId="91">'x-805'!$B$9</definedName>
    <definedName name="TABLE_FACTOR_TYPE_1" localSheetId="92">'x-806'!$B$9</definedName>
    <definedName name="TABLE_FACTOR_TYPE_1" localSheetId="93">'x-807'!$B$9</definedName>
    <definedName name="TABLE_FACTOR_TYPE_1" localSheetId="94">'x-808'!$B$9</definedName>
    <definedName name="TABLE_FACTOR_TYPE_1" localSheetId="95">'x-809'!$B$9</definedName>
    <definedName name="TABLE_FACTOR_TYPE_1" localSheetId="96">'x-810'!$B$9</definedName>
    <definedName name="TABLE_FACTOR_TYPE_1" localSheetId="97">'x-811'!$B$9</definedName>
    <definedName name="TABLE_FACTOR_TYPE_1" localSheetId="98">'x-812'!$B$9</definedName>
    <definedName name="TABLE_FACTOR_TYPE_1" localSheetId="99">'x-813'!$B$9</definedName>
    <definedName name="TABLE_FACTOR_TYPE_1" localSheetId="100">'x-814'!$B$9</definedName>
    <definedName name="TABLE_FACTOR_TYPE_1" localSheetId="101">'x-815'!$B$9</definedName>
    <definedName name="TABLE_FACTOR_TYPE_1" localSheetId="102">'x-816'!$B$9</definedName>
    <definedName name="TABLE_FACTOR_TYPE_1" localSheetId="103">'x-817'!$B$9</definedName>
    <definedName name="TABLE_FACTOR_TYPE_1" localSheetId="104">'x-818'!$B$9</definedName>
    <definedName name="TABLE_FACTOR_TYPE_1" localSheetId="105">'x-819'!$B$9</definedName>
    <definedName name="TABLE_FACTOR_TYPE_1" localSheetId="106">'x-820'!$B$9</definedName>
    <definedName name="TABLE_FACTOR_TYPE_1" localSheetId="107">'x-821'!$B$9</definedName>
    <definedName name="TABLE_FACTOR_TYPE_1" localSheetId="108">'x-822'!$B$9</definedName>
    <definedName name="TABLE_FACTOR_TYPE_1" localSheetId="109">'x-823'!$B$9</definedName>
    <definedName name="TABLE_FACTOR_TYPE_2" localSheetId="15">'x-204'!$I$9</definedName>
    <definedName name="TABLE_FACTOR_TYPE_2" localSheetId="34">'x-403'!$Q$9</definedName>
    <definedName name="TABLE_FACTOR_TYPE_2" localSheetId="35">'x-404'!$Q$9</definedName>
    <definedName name="TABLE_FACTOR_TYPE_2" localSheetId="40">'x-409'!$Q$9</definedName>
    <definedName name="TABLE_FACTOR_TYPE_2" localSheetId="41">'x-410'!$Q$9</definedName>
    <definedName name="TABLE_FACTOR_TYPE_2" localSheetId="46">'x-415'!$Q$9</definedName>
    <definedName name="TABLE_FACTOR_TYPE_2" localSheetId="96">'x-810'!$Q$9</definedName>
    <definedName name="TABLE_GENDER" localSheetId="23">'x-219'!$B$11</definedName>
    <definedName name="TABLE_GENDER">'x-Series Number'!$B$11</definedName>
    <definedName name="table_Gender_1" localSheetId="8">'x-101'!$B$11</definedName>
    <definedName name="table_gender_1" localSheetId="9">'x-102'!$B$11</definedName>
    <definedName name="table_Gender_1" localSheetId="10">'x-103'!$B$11</definedName>
    <definedName name="table_Gender_1" localSheetId="11">'x-104'!$B$11</definedName>
    <definedName name="TABLE_GENDER_1" localSheetId="12">'x-201'!$B$11</definedName>
    <definedName name="TABLE_GENDER_1" localSheetId="13">'x-202'!$B$11</definedName>
    <definedName name="TABLE_GENDER_1" localSheetId="14">'x-203'!$B$11</definedName>
    <definedName name="TABLE_GENDER_1" localSheetId="15">'x-204'!$B$11</definedName>
    <definedName name="TABLE_GENDER_1" localSheetId="16">'x-205'!$B$11</definedName>
    <definedName name="TABLE_GENDER_1" localSheetId="17">'x-206'!$B$11</definedName>
    <definedName name="TABLE_GENDER_1" localSheetId="18">'x-207'!$B$11</definedName>
    <definedName name="TABLE_GENDER_1" localSheetId="19">'x-208'!$B$11</definedName>
    <definedName name="TABLE_GENDER_1" localSheetId="20">'x-209'!$B$11</definedName>
    <definedName name="TABLE_GENDER_1" localSheetId="21">'x-217'!$B$11</definedName>
    <definedName name="TABLE_GENDER_1" localSheetId="22">'x-218'!$B$11</definedName>
    <definedName name="TABLE_GENDER_1" localSheetId="23">'x-219'!$B$11</definedName>
    <definedName name="TABLE_GENDER_1" localSheetId="24">'x-301'!$B$11</definedName>
    <definedName name="TABLE_GENDER_1" localSheetId="25">'x-302'!$B$11</definedName>
    <definedName name="TABLE_GENDER_1" localSheetId="26">'x-303'!$B$11</definedName>
    <definedName name="TABLE_GENDER_1" localSheetId="27">'x-304'!$B$11</definedName>
    <definedName name="TABLE_GENDER_1" localSheetId="28">'x-305'!$B$11</definedName>
    <definedName name="TABLE_GENDER_1" localSheetId="29">'x-306'!$B$11</definedName>
    <definedName name="TABLE_GENDER_1" localSheetId="30">'x-307'!$B$11</definedName>
    <definedName name="TABLE_GENDER_1" localSheetId="31">'x-308'!$B$11</definedName>
    <definedName name="TABLE_GENDER_1" localSheetId="32">'x-401'!$B$11</definedName>
    <definedName name="TABLE_GENDER_1" localSheetId="33">'x-402'!$B$11</definedName>
    <definedName name="TABLE_GENDER_1" localSheetId="34">'x-403'!$B$11</definedName>
    <definedName name="TABLE_GENDER_1" localSheetId="35">'x-404'!$B$11</definedName>
    <definedName name="TABLE_GENDER_1" localSheetId="36">'x-405'!$B$11</definedName>
    <definedName name="TABLE_GENDER_1" localSheetId="37">'x-406'!$B$11</definedName>
    <definedName name="TABLE_GENDER_1" localSheetId="38">'x-407'!$B$11</definedName>
    <definedName name="TABLE_GENDER_1" localSheetId="39">'x-408'!$B$11</definedName>
    <definedName name="TABLE_GENDER_1" localSheetId="40">'x-409'!$B$11</definedName>
    <definedName name="TABLE_GENDER_1" localSheetId="41">'x-410'!$B$11</definedName>
    <definedName name="TABLE_GENDER_1" localSheetId="42">'x-411'!$B$11</definedName>
    <definedName name="TABLE_GENDER_1" localSheetId="43">'x-412'!$B$11</definedName>
    <definedName name="TABLE_GENDER_1" localSheetId="44">'x-413'!$B$11</definedName>
    <definedName name="TABLE_GENDER_1" localSheetId="45">'x-414'!$B$11</definedName>
    <definedName name="TABLE_GENDER_1" localSheetId="46">'x-415'!$B$11</definedName>
    <definedName name="TABLE_GENDER_1" localSheetId="47">'x-416'!$B$11</definedName>
    <definedName name="TABLE_GENDER_1" localSheetId="48">'x-417'!$B$11</definedName>
    <definedName name="TABLE_GENDER_1" localSheetId="49">'x-418'!$B$11</definedName>
    <definedName name="TABLE_GENDER_1" localSheetId="50">'x-419'!$B$11</definedName>
    <definedName name="TABLE_GENDER_1" localSheetId="51">'x-420'!$B$11</definedName>
    <definedName name="TABLE_GENDER_1" localSheetId="52">'x-421'!$B$11</definedName>
    <definedName name="TABLE_GENDER_1" localSheetId="53">'x-422'!$B$11</definedName>
    <definedName name="TABLE_GENDER_1" localSheetId="54">'x-423'!$B$11</definedName>
    <definedName name="TABLE_GENDER_1" localSheetId="55">'x-501'!$B$11</definedName>
    <definedName name="TABLE_GENDER_1" localSheetId="56">'x-502'!$B$11</definedName>
    <definedName name="TABLE_GENDER_1" localSheetId="57">'x-503'!$B$11</definedName>
    <definedName name="TABLE_GENDER_1" localSheetId="58">'x-504'!$B$11</definedName>
    <definedName name="TABLE_GENDER_1" localSheetId="59">'x-505'!$B$11</definedName>
    <definedName name="TABLE_GENDER_1" localSheetId="60">'x-601'!$B$11</definedName>
    <definedName name="TABLE_GENDER_1" localSheetId="61">'x-602'!$B$11</definedName>
    <definedName name="TABLE_GENDER_1" localSheetId="62">'x-603'!$B$11</definedName>
    <definedName name="TABLE_GENDER_1" localSheetId="63">'x-604'!$B$11</definedName>
    <definedName name="TABLE_GENDER_1" localSheetId="64">'x-605'!$B$11</definedName>
    <definedName name="TABLE_GENDER_1" localSheetId="65">'x-606'!$B$11</definedName>
    <definedName name="TABLE_GENDER_1" localSheetId="66">'x-703'!$B$11</definedName>
    <definedName name="TABLE_GENDER_1" localSheetId="67">'x-704'!$B$11</definedName>
    <definedName name="TABLE_GENDER_1" localSheetId="68">'x-705'!$B$11</definedName>
    <definedName name="TABLE_GENDER_1" localSheetId="69">'x-706'!$B$11</definedName>
    <definedName name="TABLE_GENDER_1" localSheetId="70">'x-707'!$B$11</definedName>
    <definedName name="TABLE_GENDER_1" localSheetId="71">'x-708'!$B$11</definedName>
    <definedName name="TABLE_GENDER_1" localSheetId="72">'x-709'!$B$11</definedName>
    <definedName name="TABLE_GENDER_1" localSheetId="73">'x-710'!$B$11</definedName>
    <definedName name="TABLE_GENDER_1" localSheetId="74">'x-711'!$B$11</definedName>
    <definedName name="TABLE_GENDER_1" localSheetId="75">'x-712'!$B$11</definedName>
    <definedName name="TABLE_GENDER_1" localSheetId="76">'x-713'!$B$11</definedName>
    <definedName name="TABLE_GENDER_1" localSheetId="77">'x-714'!$B$11</definedName>
    <definedName name="TABLE_GENDER_1" localSheetId="78">'x-715'!$B$11</definedName>
    <definedName name="TABLE_GENDER_1" localSheetId="79">'x-716'!$B$11</definedName>
    <definedName name="TABLE_GENDER_1" localSheetId="80">'x-717'!$B$11</definedName>
    <definedName name="TABLE_GENDER_1" localSheetId="81">'x-718'!$B$11</definedName>
    <definedName name="TABLE_GENDER_1" localSheetId="82">'x-719'!$B$11</definedName>
    <definedName name="TABLE_GENDER_1" localSheetId="83">'x-720'!$B$11</definedName>
    <definedName name="TABLE_GENDER_1" localSheetId="84">'x-721'!$B$11</definedName>
    <definedName name="TABLE_GENDER_1" localSheetId="85">'x-722'!$B$11</definedName>
    <definedName name="TABLE_GENDER_1" localSheetId="86">'x-723'!$B$11</definedName>
    <definedName name="TABLE_GENDER_1" localSheetId="87">'x-801'!$B$11</definedName>
    <definedName name="TABLE_GENDER_1" localSheetId="88">'x-802'!$B$11</definedName>
    <definedName name="TABLE_GENDER_1" localSheetId="89">'x-803'!$B$11</definedName>
    <definedName name="TABLE_GENDER_1" localSheetId="90">'x-804'!$B$11</definedName>
    <definedName name="TABLE_GENDER_1" localSheetId="91">'x-805'!$B$11</definedName>
    <definedName name="TABLE_GENDER_1" localSheetId="92">'x-806'!$B$11</definedName>
    <definedName name="TABLE_GENDER_1" localSheetId="93">'x-807'!$B$11</definedName>
    <definedName name="TABLE_GENDER_1" localSheetId="94">'x-808'!$B$11</definedName>
    <definedName name="TABLE_GENDER_1" localSheetId="95">'x-809'!$B$11</definedName>
    <definedName name="TABLE_GENDER_1" localSheetId="96">'x-810'!$B$11</definedName>
    <definedName name="TABLE_GENDER_1" localSheetId="97">'x-811'!$B$11</definedName>
    <definedName name="TABLE_GENDER_1" localSheetId="98">'x-812'!$B$11</definedName>
    <definedName name="TABLE_GENDER_1" localSheetId="99">'x-813'!$B$11</definedName>
    <definedName name="TABLE_GENDER_1" localSheetId="100">'x-814'!$B$11</definedName>
    <definedName name="TABLE_GENDER_1" localSheetId="101">'x-815'!$B$11</definedName>
    <definedName name="TABLE_GENDER_1" localSheetId="102">'x-816'!$B$11</definedName>
    <definedName name="TABLE_GENDER_1" localSheetId="103">'x-817'!$B$11</definedName>
    <definedName name="TABLE_GENDER_1" localSheetId="104">'x-818'!$B$11</definedName>
    <definedName name="TABLE_GENDER_1" localSheetId="105">'x-819'!$B$11</definedName>
    <definedName name="TABLE_GENDER_1" localSheetId="106">'x-820'!$B$11</definedName>
    <definedName name="TABLE_GENDER_1" localSheetId="107">'x-821'!$B$11</definedName>
    <definedName name="TABLE_GENDER_1" localSheetId="108">'x-822'!$B$11</definedName>
    <definedName name="TABLE_GENDER_1" localSheetId="109">'x-823'!$B$11</definedName>
    <definedName name="TABLE_GENDER_2" localSheetId="15">'x-204'!$I$11</definedName>
    <definedName name="TABLE_GENDER_2" localSheetId="34">'x-403'!$Q$11</definedName>
    <definedName name="TABLE_GENDER_2" localSheetId="35">'x-404'!$Q$11</definedName>
    <definedName name="TABLE_GENDER_2" localSheetId="40">'x-409'!$Q$11</definedName>
    <definedName name="TABLE_GENDER_2" localSheetId="41">'x-410'!$Q$11</definedName>
    <definedName name="TABLE_GENDER_2" localSheetId="46">'x-415'!$Q$11</definedName>
    <definedName name="TABLE_GENDER_2" localSheetId="96">'x-810'!$Q$11</definedName>
    <definedName name="TABLE_INFO" localSheetId="23">'x-219'!$A$6:$B$20</definedName>
    <definedName name="TABLE_INFO">'x-Series Number'!$A$6:$B$20</definedName>
    <definedName name="table_info_1" localSheetId="8">'x-101'!$A$6:$B$21</definedName>
    <definedName name="table_info_1" localSheetId="9">'x-102'!$A$6:$B$21</definedName>
    <definedName name="table_info_1" localSheetId="10">'x-103'!$A$6:$B$21</definedName>
    <definedName name="table_info_1" localSheetId="11">'x-104'!$A$6:$B$21</definedName>
    <definedName name="TABLE_INFO_1" localSheetId="12">'x-201'!$A$6:$B$21</definedName>
    <definedName name="TABLE_INFO_1" localSheetId="13">'x-202'!$A$6:$B$21</definedName>
    <definedName name="TABLE_INFO_1" localSheetId="14">'x-203'!$A$6:$B$21</definedName>
    <definedName name="TABLE_INFO_1" localSheetId="15">'x-204'!$A$6:$B$21</definedName>
    <definedName name="TABLE_INFO_1" localSheetId="16">'x-205'!$A$6:$B$21</definedName>
    <definedName name="TABLE_INFO_1" localSheetId="17">'x-206'!$A$6:$B$21</definedName>
    <definedName name="TABLE_INFO_1" localSheetId="18">'x-207'!$A$6:$B$21</definedName>
    <definedName name="TABLE_INFO_1" localSheetId="19">'x-208'!$A$6:$B$21</definedName>
    <definedName name="TABLE_INFO_1" localSheetId="20">'x-209'!$A$6:$B$21</definedName>
    <definedName name="TABLE_INFO_1" localSheetId="21">'x-217'!$A$6:$B$21</definedName>
    <definedName name="TABLE_INFO_1" localSheetId="22">'x-218'!$A$6:$B$21</definedName>
    <definedName name="TABLE_INFO_1" localSheetId="23">'x-219'!$A$6:$B$20</definedName>
    <definedName name="TABLE_INFO_1" localSheetId="24">'x-301'!$A$6:$B$21</definedName>
    <definedName name="TABLE_INFO_1" localSheetId="25">'x-302'!$A$6:$B$21</definedName>
    <definedName name="TABLE_INFO_1" localSheetId="26">'x-303'!$A$6:$B$21</definedName>
    <definedName name="TABLE_INFO_1" localSheetId="27">'x-304'!$A$6:$B$21</definedName>
    <definedName name="TABLE_INFO_1" localSheetId="28">'x-305'!$A$6:$B$21</definedName>
    <definedName name="TABLE_INFO_1" localSheetId="29">'x-306'!$A$6:$B$21</definedName>
    <definedName name="TABLE_INFO_1" localSheetId="30">'x-307'!$A$6:$B$21</definedName>
    <definedName name="TABLE_INFO_1" localSheetId="31">'x-308'!$A$6:$B$21</definedName>
    <definedName name="TABLE_INFO_1" localSheetId="32">'x-401'!$A$6:$B$21</definedName>
    <definedName name="TABLE_INFO_1" localSheetId="33">'x-402'!$A$6:$B$21</definedName>
    <definedName name="TABLE_INFO_1" localSheetId="34">'x-403'!$A$6:$B$21</definedName>
    <definedName name="TABLE_INFO_1" localSheetId="35">'x-404'!$A$6:$B$21</definedName>
    <definedName name="TABLE_INFO_1" localSheetId="36">'x-405'!$A$6:$B$21</definedName>
    <definedName name="TABLE_INFO_1" localSheetId="37">'x-406'!$A$6:$B$21</definedName>
    <definedName name="TABLE_INFO_1" localSheetId="38">'x-407'!$A$6:$B$21</definedName>
    <definedName name="TABLE_INFO_1" localSheetId="39">'x-408'!$A$6:$B$21</definedName>
    <definedName name="TABLE_INFO_1" localSheetId="40">'x-409'!$A$6:$B$21</definedName>
    <definedName name="TABLE_INFO_1" localSheetId="41">'x-410'!$A$6:$B$21</definedName>
    <definedName name="TABLE_INFO_1" localSheetId="42">'x-411'!$A$6:$B$21</definedName>
    <definedName name="TABLE_INFO_1" localSheetId="43">'x-412'!$A$6:$B$21</definedName>
    <definedName name="TABLE_INFO_1" localSheetId="44">'x-413'!$A$6:$B$21</definedName>
    <definedName name="TABLE_INFO_1" localSheetId="45">'x-414'!$A$6:$B$21</definedName>
    <definedName name="TABLE_INFO_1" localSheetId="46">'x-415'!$A$6:$B$21</definedName>
    <definedName name="TABLE_INFO_1" localSheetId="47">'x-416'!$A$6:$B$21</definedName>
    <definedName name="TABLE_INFO_1" localSheetId="48">'x-417'!$A$6:$B$21</definedName>
    <definedName name="TABLE_INFO_1" localSheetId="49">'x-418'!$A$6:$B$21</definedName>
    <definedName name="TABLE_INFO_1" localSheetId="50">'x-419'!$A$6:$B$21</definedName>
    <definedName name="TABLE_INFO_1" localSheetId="51">'x-420'!$A$6:$B$21</definedName>
    <definedName name="TABLE_INFO_1" localSheetId="52">'x-421'!$A$6:$B$21</definedName>
    <definedName name="TABLE_INFO_1" localSheetId="53">'x-422'!$A$6:$B$21</definedName>
    <definedName name="TABLE_INFO_1" localSheetId="54">'x-423'!$A$6:$B$21</definedName>
    <definedName name="TABLE_INFO_1" localSheetId="55">'x-501'!$A$6:$B$21</definedName>
    <definedName name="TABLE_INFO_1" localSheetId="56">'x-502'!$A$6:$B$21</definedName>
    <definedName name="TABLE_INFO_1" localSheetId="57">'x-503'!$A$6:$B$21</definedName>
    <definedName name="TABLE_INFO_1" localSheetId="58">'x-504'!$A$6:$B$21</definedName>
    <definedName name="TABLE_INFO_1" localSheetId="59">'x-505'!$A$6:$B$21</definedName>
    <definedName name="TABLE_INFO_1" localSheetId="60">'x-601'!$A$6:$B$21</definedName>
    <definedName name="TABLE_INFO_1" localSheetId="61">'x-602'!$A$6:$B$21</definedName>
    <definedName name="TABLE_INFO_1" localSheetId="62">'x-603'!$A$6:$B$21</definedName>
    <definedName name="TABLE_INFO_1" localSheetId="63">'x-604'!$A$6:$B$21</definedName>
    <definedName name="TABLE_INFO_1" localSheetId="64">'x-605'!$A$6:$B$21</definedName>
    <definedName name="TABLE_INFO_1" localSheetId="65">'x-606'!$A$6:$B$21</definedName>
    <definedName name="TABLE_INFO_1" localSheetId="66">'x-703'!$A$6:$B$21</definedName>
    <definedName name="TABLE_INFO_1" localSheetId="67">'x-704'!$A$6:$B$21</definedName>
    <definedName name="TABLE_INFO_1" localSheetId="68">'x-705'!$A$6:$B$21</definedName>
    <definedName name="TABLE_INFO_1" localSheetId="69">'x-706'!$A$6:$B$21</definedName>
    <definedName name="TABLE_INFO_1" localSheetId="70">'x-707'!$A$6:$B$21</definedName>
    <definedName name="TABLE_INFO_1" localSheetId="71">'x-708'!$A$6:$B$21</definedName>
    <definedName name="TABLE_INFO_1" localSheetId="72">'x-709'!$A$6:$B$21</definedName>
    <definedName name="TABLE_INFO_1" localSheetId="73">'x-710'!$A$6:$B$21</definedName>
    <definedName name="TABLE_INFO_1" localSheetId="74">'x-711'!$A$6:$B$21</definedName>
    <definedName name="TABLE_INFO_1" localSheetId="75">'x-712'!$A$6:$B$21</definedName>
    <definedName name="TABLE_INFO_1" localSheetId="76">'x-713'!$A$6:$B$21</definedName>
    <definedName name="TABLE_INFO_1" localSheetId="77">'x-714'!$A$6:$B$21</definedName>
    <definedName name="TABLE_INFO_1" localSheetId="78">'x-715'!$A$6:$B$21</definedName>
    <definedName name="TABLE_INFO_1" localSheetId="79">'x-716'!$A$6:$B$21</definedName>
    <definedName name="TABLE_INFO_1" localSheetId="80">'x-717'!$A$6:$B$21</definedName>
    <definedName name="TABLE_INFO_1" localSheetId="81">'x-718'!$A$6:$B$21</definedName>
    <definedName name="TABLE_INFO_1" localSheetId="82">'x-719'!$A$6:$B$21</definedName>
    <definedName name="TABLE_INFO_1" localSheetId="83">'x-720'!$A$6:$B$21</definedName>
    <definedName name="TABLE_INFO_1" localSheetId="84">'x-721'!$A$6:$B$21</definedName>
    <definedName name="TABLE_INFO_1" localSheetId="85">'x-722'!$A$6:$B$21</definedName>
    <definedName name="TABLE_INFO_1" localSheetId="86">'x-723'!$A$6:$B$21</definedName>
    <definedName name="TABLE_INFO_1" localSheetId="87">'x-801'!$A$6:$B$21</definedName>
    <definedName name="TABLE_INFO_1" localSheetId="88">'x-802'!$A$6:$B$21</definedName>
    <definedName name="TABLE_INFO_1" localSheetId="89">'x-803'!$A$6:$B$21</definedName>
    <definedName name="TABLE_INFO_1" localSheetId="90">'x-804'!$A$6:$B$21</definedName>
    <definedName name="TABLE_INFO_1" localSheetId="91">'x-805'!$A$6:$B$21</definedName>
    <definedName name="TABLE_INFO_1" localSheetId="92">'x-806'!$A$6:$B$21</definedName>
    <definedName name="TABLE_INFO_1" localSheetId="93">'x-807'!$A$6:$B$21</definedName>
    <definedName name="TABLE_INFO_1" localSheetId="94">'x-808'!$A$6:$B$21</definedName>
    <definedName name="TABLE_INFO_1" localSheetId="95">'x-809'!$A$6:$B$21</definedName>
    <definedName name="TABLE_INFO_1" localSheetId="96">'x-810'!$A$6:$B$21</definedName>
    <definedName name="TABLE_INFO_1" localSheetId="97">'x-811'!$A$6:$B$21</definedName>
    <definedName name="TABLE_INFO_1" localSheetId="98">'x-812'!$A$6:$B$21</definedName>
    <definedName name="TABLE_INFO_1" localSheetId="99">'x-813'!$A$6:$B$21</definedName>
    <definedName name="TABLE_INFO_1" localSheetId="100">'x-814'!$A$6:$B$21</definedName>
    <definedName name="TABLE_INFO_1" localSheetId="101">'x-815'!$A$6:$B$21</definedName>
    <definedName name="TABLE_INFO_1" localSheetId="102">'x-816'!$A$6:$B$21</definedName>
    <definedName name="TABLE_INFO_1" localSheetId="103">'x-817'!$A$6:$B$21</definedName>
    <definedName name="TABLE_INFO_1" localSheetId="104">'x-818'!$A$6:$B$21</definedName>
    <definedName name="TABLE_INFO_1" localSheetId="105">'x-819'!$A$6:$B$21</definedName>
    <definedName name="TABLE_INFO_1" localSheetId="106">'x-820'!$A$6:$B$21</definedName>
    <definedName name="TABLE_INFO_1" localSheetId="107">'x-821'!$A$6:$B$21</definedName>
    <definedName name="TABLE_INFO_1" localSheetId="108">'x-822'!$A$6:$B$21</definedName>
    <definedName name="TABLE_INFO_1" localSheetId="109">'x-823'!$A$6:$B$21</definedName>
    <definedName name="TABLE_INFO_2" localSheetId="15">'x-204'!$H$6:$I$21</definedName>
    <definedName name="TABLE_INFO_2" localSheetId="34">'x-403'!$P$6:$Q$21</definedName>
    <definedName name="TABLE_INFO_2" localSheetId="35">'x-404'!$P$6:$Q$21</definedName>
    <definedName name="TABLE_INFO_2" localSheetId="40">'x-409'!$P$6:$Q$21</definedName>
    <definedName name="TABLE_INFO_2" localSheetId="41">'x-410'!$P$6:$Q$21</definedName>
    <definedName name="TABLE_INFO_2" localSheetId="46">'x-415'!$P$6:$Q$21</definedName>
    <definedName name="TABLE_INFO_2" localSheetId="96">'x-810'!$P$6:$Q$21</definedName>
    <definedName name="TABLE_REFERENCE" localSheetId="23">'x-219'!$B$15</definedName>
    <definedName name="TABLE_REFERENCE">'x-Series Number'!$B$15</definedName>
    <definedName name="table_reference_1" localSheetId="8">'x-101'!$B$15</definedName>
    <definedName name="table_reference_1" localSheetId="9">'x-102'!$B$15</definedName>
    <definedName name="table_reference_1" localSheetId="10">'x-103'!$B$15</definedName>
    <definedName name="table_reference_1" localSheetId="11">'x-104'!$B$15</definedName>
    <definedName name="TABLE_REFERENCE_1" localSheetId="12">'x-201'!$B$15</definedName>
    <definedName name="TABLE_REFERENCE_1" localSheetId="13">'x-202'!$B$15</definedName>
    <definedName name="TABLE_REFERENCE_1" localSheetId="14">'x-203'!$B$15</definedName>
    <definedName name="TABLE_REFERENCE_1" localSheetId="15">'x-204'!$B$15</definedName>
    <definedName name="TABLE_REFERENCE_1" localSheetId="16">'x-205'!$B$15</definedName>
    <definedName name="TABLE_REFERENCE_1" localSheetId="17">'x-206'!$B$15</definedName>
    <definedName name="TABLE_REFERENCE_1" localSheetId="18">'x-207'!$B$15</definedName>
    <definedName name="TABLE_REFERENCE_1" localSheetId="19">'x-208'!$B$15</definedName>
    <definedName name="TABLE_REFERENCE_1" localSheetId="20">'x-209'!$B$15</definedName>
    <definedName name="TABLE_REFERENCE_1" localSheetId="21">'x-217'!$B$15</definedName>
    <definedName name="TABLE_REFERENCE_1" localSheetId="22">'x-218'!$B$15</definedName>
    <definedName name="TABLE_REFERENCE_1" localSheetId="23">'x-219'!$B$15</definedName>
    <definedName name="TABLE_REFERENCE_1" localSheetId="24">'x-301'!$B$15</definedName>
    <definedName name="TABLE_REFERENCE_1" localSheetId="25">'x-302'!$B$15</definedName>
    <definedName name="TABLE_REFERENCE_1" localSheetId="26">'x-303'!$B$15</definedName>
    <definedName name="TABLE_REFERENCE_1" localSheetId="27">'x-304'!$B$15</definedName>
    <definedName name="TABLE_REFERENCE_1" localSheetId="28">'x-305'!$B$15</definedName>
    <definedName name="TABLE_REFERENCE_1" localSheetId="29">'x-306'!$B$15</definedName>
    <definedName name="TABLE_REFERENCE_1" localSheetId="30">'x-307'!$B$15</definedName>
    <definedName name="TABLE_REFERENCE_1" localSheetId="31">'x-308'!$B$15</definedName>
    <definedName name="TABLE_REFERENCE_1" localSheetId="32">'x-401'!$B$15</definedName>
    <definedName name="TABLE_REFERENCE_1" localSheetId="33">'x-402'!$B$15</definedName>
    <definedName name="TABLE_REFERENCE_1" localSheetId="34">'x-403'!$B$15</definedName>
    <definedName name="TABLE_REFERENCE_1" localSheetId="35">'x-404'!$B$15</definedName>
    <definedName name="TABLE_REFERENCE_1" localSheetId="36">'x-405'!$B$15</definedName>
    <definedName name="TABLE_REFERENCE_1" localSheetId="37">'x-406'!$B$15</definedName>
    <definedName name="TABLE_REFERENCE_1" localSheetId="38">'x-407'!$B$15</definedName>
    <definedName name="TABLE_REFERENCE_1" localSheetId="39">'x-408'!$B$15</definedName>
    <definedName name="TABLE_REFERENCE_1" localSheetId="40">'x-409'!$B$15</definedName>
    <definedName name="TABLE_REFERENCE_1" localSheetId="41">'x-410'!$B$15</definedName>
    <definedName name="TABLE_REFERENCE_1" localSheetId="42">'x-411'!$B$15</definedName>
    <definedName name="TABLE_REFERENCE_1" localSheetId="43">'x-412'!$B$15</definedName>
    <definedName name="TABLE_REFERENCE_1" localSheetId="44">'x-413'!$B$15</definedName>
    <definedName name="TABLE_REFERENCE_1" localSheetId="45">'x-414'!$B$15</definedName>
    <definedName name="TABLE_REFERENCE_1" localSheetId="46">'x-415'!$B$15</definedName>
    <definedName name="TABLE_REFERENCE_1" localSheetId="47">'x-416'!$B$15</definedName>
    <definedName name="TABLE_REFERENCE_1" localSheetId="48">'x-417'!$B$15</definedName>
    <definedName name="TABLE_REFERENCE_1" localSheetId="49">'x-418'!$B$15</definedName>
    <definedName name="TABLE_REFERENCE_1" localSheetId="50">'x-419'!$B$15</definedName>
    <definedName name="TABLE_REFERENCE_1" localSheetId="51">'x-420'!$B$15</definedName>
    <definedName name="TABLE_REFERENCE_1" localSheetId="52">'x-421'!$B$15</definedName>
    <definedName name="TABLE_REFERENCE_1" localSheetId="53">'x-422'!$B$15</definedName>
    <definedName name="TABLE_REFERENCE_1" localSheetId="54">'x-423'!$B$15</definedName>
    <definedName name="TABLE_REFERENCE_1" localSheetId="55">'x-501'!$B$15</definedName>
    <definedName name="TABLE_REFERENCE_1" localSheetId="56">'x-502'!$B$15</definedName>
    <definedName name="TABLE_REFERENCE_1" localSheetId="57">'x-503'!$B$15</definedName>
    <definedName name="TABLE_REFERENCE_1" localSheetId="58">'x-504'!$B$15</definedName>
    <definedName name="TABLE_REFERENCE_1" localSheetId="59">'x-505'!$B$15</definedName>
    <definedName name="TABLE_REFERENCE_1" localSheetId="60">'x-601'!$B$15</definedName>
    <definedName name="TABLE_REFERENCE_1" localSheetId="61">'x-602'!$B$15</definedName>
    <definedName name="TABLE_REFERENCE_1" localSheetId="62">'x-603'!$B$15</definedName>
    <definedName name="TABLE_REFERENCE_1" localSheetId="63">'x-604'!$B$15</definedName>
    <definedName name="TABLE_REFERENCE_1" localSheetId="64">'x-605'!$B$15</definedName>
    <definedName name="TABLE_REFERENCE_1" localSheetId="65">'x-606'!$B$15</definedName>
    <definedName name="TABLE_REFERENCE_1" localSheetId="66">'x-703'!$B$15</definedName>
    <definedName name="TABLE_REFERENCE_1" localSheetId="67">'x-704'!$B$15</definedName>
    <definedName name="TABLE_REFERENCE_1" localSheetId="68">'x-705'!$B$15</definedName>
    <definedName name="TABLE_REFERENCE_1" localSheetId="69">'x-706'!$B$15</definedName>
    <definedName name="TABLE_REFERENCE_1" localSheetId="70">'x-707'!$B$15</definedName>
    <definedName name="TABLE_REFERENCE_1" localSheetId="71">'x-708'!$B$15</definedName>
    <definedName name="TABLE_REFERENCE_1" localSheetId="72">'x-709'!$B$15</definedName>
    <definedName name="TABLE_REFERENCE_1" localSheetId="73">'x-710'!$B$15</definedName>
    <definedName name="TABLE_REFERENCE_1" localSheetId="74">'x-711'!$B$15</definedName>
    <definedName name="TABLE_REFERENCE_1" localSheetId="75">'x-712'!$B$15</definedName>
    <definedName name="TABLE_REFERENCE_1" localSheetId="76">'x-713'!$B$15</definedName>
    <definedName name="TABLE_REFERENCE_1" localSheetId="77">'x-714'!$B$15</definedName>
    <definedName name="TABLE_REFERENCE_1" localSheetId="78">'x-715'!$B$15</definedName>
    <definedName name="TABLE_REFERENCE_1" localSheetId="79">'x-716'!$B$15</definedName>
    <definedName name="TABLE_REFERENCE_1" localSheetId="80">'x-717'!$B$15</definedName>
    <definedName name="TABLE_REFERENCE_1" localSheetId="81">'x-718'!$B$15</definedName>
    <definedName name="TABLE_REFERENCE_1" localSheetId="82">'x-719'!$B$15</definedName>
    <definedName name="TABLE_REFERENCE_1" localSheetId="83">'x-720'!$B$15</definedName>
    <definedName name="TABLE_REFERENCE_1" localSheetId="84">'x-721'!$B$15</definedName>
    <definedName name="TABLE_REFERENCE_1" localSheetId="85">'x-722'!$B$15</definedName>
    <definedName name="TABLE_REFERENCE_1" localSheetId="86">'x-723'!$B$15</definedName>
    <definedName name="TABLE_REFERENCE_1" localSheetId="87">'x-801'!$B$15</definedName>
    <definedName name="TABLE_REFERENCE_1" localSheetId="88">'x-802'!$B$15</definedName>
    <definedName name="TABLE_REFERENCE_1" localSheetId="89">'x-803'!$B$15</definedName>
    <definedName name="TABLE_REFERENCE_1" localSheetId="90">'x-804'!$B$15</definedName>
    <definedName name="TABLE_REFERENCE_1" localSheetId="91">'x-805'!$B$15</definedName>
    <definedName name="TABLE_REFERENCE_1" localSheetId="92">'x-806'!$B$15</definedName>
    <definedName name="TABLE_REFERENCE_1" localSheetId="93">'x-807'!$B$15</definedName>
    <definedName name="TABLE_REFERENCE_1" localSheetId="94">'x-808'!$B$15</definedName>
    <definedName name="TABLE_REFERENCE_1" localSheetId="95">'x-809'!$B$15</definedName>
    <definedName name="TABLE_REFERENCE_1" localSheetId="96">'x-810'!$B$15</definedName>
    <definedName name="TABLE_REFERENCE_1" localSheetId="97">'x-811'!$B$15</definedName>
    <definedName name="TABLE_REFERENCE_1" localSheetId="98">'x-812'!$B$15</definedName>
    <definedName name="TABLE_REFERENCE_1" localSheetId="99">'x-813'!$B$15</definedName>
    <definedName name="TABLE_REFERENCE_1" localSheetId="100">'x-814'!$B$15</definedName>
    <definedName name="TABLE_REFERENCE_1" localSheetId="101">'x-815'!$B$15</definedName>
    <definedName name="TABLE_REFERENCE_1" localSheetId="102">'x-816'!$B$15</definedName>
    <definedName name="TABLE_REFERENCE_1" localSheetId="103">'x-817'!$B$15</definedName>
    <definedName name="TABLE_REFERENCE_1" localSheetId="104">'x-818'!$B$15</definedName>
    <definedName name="TABLE_REFERENCE_1" localSheetId="105">'x-819'!$B$15</definedName>
    <definedName name="TABLE_REFERENCE_1" localSheetId="106">'x-820'!$B$15</definedName>
    <definedName name="TABLE_REFERENCE_1" localSheetId="107">'x-821'!$B$15</definedName>
    <definedName name="TABLE_REFERENCE_1" localSheetId="108">'x-822'!$B$15</definedName>
    <definedName name="TABLE_REFERENCE_1" localSheetId="109">'x-823'!$B$15</definedName>
    <definedName name="TABLE_REFERENCE_2" localSheetId="15">'x-204'!$I$15</definedName>
    <definedName name="TABLE_REFERENCE_2" localSheetId="34">'x-403'!$Q$15</definedName>
    <definedName name="TABLE_REFERENCE_2" localSheetId="35">'x-404'!$Q$15</definedName>
    <definedName name="TABLE_REFERENCE_2" localSheetId="40">'x-409'!$Q$15</definedName>
    <definedName name="TABLE_REFERENCE_2" localSheetId="41">'x-410'!$Q$15</definedName>
    <definedName name="TABLE_REFERENCE_2" localSheetId="46">'x-415'!$Q$15</definedName>
    <definedName name="TABLE_REFERENCE_2" localSheetId="96">'x-810'!$Q$15</definedName>
    <definedName name="TABLE_REFERENCE_GUIDANCE" localSheetId="23">'x-219'!$B$16</definedName>
    <definedName name="TABLE_REFERENCE_GUIDANCE">'x-Series Number'!$B$16</definedName>
    <definedName name="table_reference_guidance_1" localSheetId="8">'x-101'!$B$16</definedName>
    <definedName name="table_reference_guidance_1" localSheetId="9">'x-102'!$B$16</definedName>
    <definedName name="table_reference_guidance_1" localSheetId="10">'x-103'!$B$16</definedName>
    <definedName name="table_reference_guidance_1" localSheetId="11">'x-104'!$B$16</definedName>
    <definedName name="TABLE_REFERENCE_GUIDANCE_1" localSheetId="12">'x-201'!$B$16</definedName>
    <definedName name="TABLE_REFERENCE_GUIDANCE_1" localSheetId="13">'x-202'!$B$16</definedName>
    <definedName name="TABLE_REFERENCE_GUIDANCE_1" localSheetId="14">'x-203'!$B$16</definedName>
    <definedName name="TABLE_REFERENCE_GUIDANCE_1" localSheetId="15">'x-204'!$B$16</definedName>
    <definedName name="TABLE_REFERENCE_GUIDANCE_1" localSheetId="16">'x-205'!$B$16</definedName>
    <definedName name="TABLE_REFERENCE_GUIDANCE_1" localSheetId="17">'x-206'!$B$16</definedName>
    <definedName name="TABLE_REFERENCE_GUIDANCE_1" localSheetId="18">'x-207'!$B$16</definedName>
    <definedName name="TABLE_REFERENCE_GUIDANCE_1" localSheetId="19">'x-208'!$B$16</definedName>
    <definedName name="TABLE_REFERENCE_GUIDANCE_1" localSheetId="20">'x-209'!$B$16</definedName>
    <definedName name="TABLE_REFERENCE_GUIDANCE_1" localSheetId="21">'x-217'!$B$16</definedName>
    <definedName name="TABLE_REFERENCE_GUIDANCE_1" localSheetId="22">'x-218'!$B$16</definedName>
    <definedName name="TABLE_REFERENCE_GUIDANCE_1" localSheetId="23">'x-219'!$B$16</definedName>
    <definedName name="TABLE_REFERENCE_GUIDANCE_1" localSheetId="24">'x-301'!$B$16</definedName>
    <definedName name="TABLE_REFERENCE_GUIDANCE_1" localSheetId="25">'x-302'!$B$16</definedName>
    <definedName name="TABLE_REFERENCE_GUIDANCE_1" localSheetId="26">'x-303'!$B$16</definedName>
    <definedName name="TABLE_REFERENCE_GUIDANCE_1" localSheetId="27">'x-304'!$B$16</definedName>
    <definedName name="TABLE_REFERENCE_GUIDANCE_1" localSheetId="28">'x-305'!$B$16</definedName>
    <definedName name="TABLE_REFERENCE_GUIDANCE_1" localSheetId="29">'x-306'!$B$16</definedName>
    <definedName name="TABLE_REFERENCE_GUIDANCE_1" localSheetId="30">'x-307'!$B$16</definedName>
    <definedName name="TABLE_REFERENCE_GUIDANCE_1" localSheetId="31">'x-308'!$B$16</definedName>
    <definedName name="TABLE_REFERENCE_GUIDANCE_1" localSheetId="32">'x-401'!$B$16</definedName>
    <definedName name="TABLE_REFERENCE_GUIDANCE_1" localSheetId="33">'x-402'!$B$16</definedName>
    <definedName name="TABLE_REFERENCE_GUIDANCE_1" localSheetId="34">'x-403'!$B$16</definedName>
    <definedName name="TABLE_REFERENCE_GUIDANCE_1" localSheetId="35">'x-404'!$B$16</definedName>
    <definedName name="TABLE_REFERENCE_GUIDANCE_1" localSheetId="36">'x-405'!$B$16</definedName>
    <definedName name="TABLE_REFERENCE_GUIDANCE_1" localSheetId="37">'x-406'!$B$16</definedName>
    <definedName name="TABLE_REFERENCE_GUIDANCE_1" localSheetId="38">'x-407'!$B$16</definedName>
    <definedName name="TABLE_REFERENCE_GUIDANCE_1" localSheetId="39">'x-408'!$B$16</definedName>
    <definedName name="TABLE_REFERENCE_GUIDANCE_1" localSheetId="40">'x-409'!$B$16</definedName>
    <definedName name="TABLE_REFERENCE_GUIDANCE_1" localSheetId="41">'x-410'!$B$16</definedName>
    <definedName name="TABLE_REFERENCE_GUIDANCE_1" localSheetId="42">'x-411'!$B$16</definedName>
    <definedName name="TABLE_REFERENCE_GUIDANCE_1" localSheetId="43">'x-412'!$B$16</definedName>
    <definedName name="TABLE_REFERENCE_GUIDANCE_1" localSheetId="44">'x-413'!$B$16</definedName>
    <definedName name="TABLE_REFERENCE_GUIDANCE_1" localSheetId="45">'x-414'!$B$16</definedName>
    <definedName name="TABLE_REFERENCE_GUIDANCE_1" localSheetId="46">'x-415'!$B$16</definedName>
    <definedName name="TABLE_REFERENCE_GUIDANCE_1" localSheetId="47">'x-416'!$B$16</definedName>
    <definedName name="TABLE_REFERENCE_GUIDANCE_1" localSheetId="48">'x-417'!$B$16</definedName>
    <definedName name="TABLE_REFERENCE_GUIDANCE_1" localSheetId="49">'x-418'!$B$16</definedName>
    <definedName name="TABLE_REFERENCE_GUIDANCE_1" localSheetId="50">'x-419'!$B$16</definedName>
    <definedName name="TABLE_REFERENCE_GUIDANCE_1" localSheetId="51">'x-420'!$B$16</definedName>
    <definedName name="TABLE_REFERENCE_GUIDANCE_1" localSheetId="52">'x-421'!$B$16</definedName>
    <definedName name="TABLE_REFERENCE_GUIDANCE_1" localSheetId="53">'x-422'!$B$16</definedName>
    <definedName name="TABLE_REFERENCE_GUIDANCE_1" localSheetId="54">'x-423'!$B$16</definedName>
    <definedName name="TABLE_REFERENCE_GUIDANCE_1" localSheetId="55">'x-501'!$B$16</definedName>
    <definedName name="TABLE_REFERENCE_GUIDANCE_1" localSheetId="56">'x-502'!$B$16</definedName>
    <definedName name="TABLE_REFERENCE_GUIDANCE_1" localSheetId="57">'x-503'!$B$16</definedName>
    <definedName name="TABLE_REFERENCE_GUIDANCE_1" localSheetId="58">'x-504'!$B$16</definedName>
    <definedName name="TABLE_REFERENCE_GUIDANCE_1" localSheetId="59">'x-505'!$B$16</definedName>
    <definedName name="TABLE_REFERENCE_GUIDANCE_1" localSheetId="60">'x-601'!$B$16</definedName>
    <definedName name="TABLE_REFERENCE_GUIDANCE_1" localSheetId="61">'x-602'!$B$16</definedName>
    <definedName name="TABLE_REFERENCE_GUIDANCE_1" localSheetId="62">'x-603'!$B$16</definedName>
    <definedName name="TABLE_REFERENCE_GUIDANCE_1" localSheetId="63">'x-604'!$B$16</definedName>
    <definedName name="TABLE_REFERENCE_GUIDANCE_1" localSheetId="64">'x-605'!$B$16</definedName>
    <definedName name="TABLE_REFERENCE_GUIDANCE_1" localSheetId="65">'x-606'!$B$16</definedName>
    <definedName name="TABLE_REFERENCE_GUIDANCE_1" localSheetId="66">'x-703'!$B$16</definedName>
    <definedName name="TABLE_REFERENCE_GUIDANCE_1" localSheetId="67">'x-704'!$B$16</definedName>
    <definedName name="TABLE_REFERENCE_GUIDANCE_1" localSheetId="68">'x-705'!$B$16</definedName>
    <definedName name="TABLE_REFERENCE_GUIDANCE_1" localSheetId="69">'x-706'!$B$16</definedName>
    <definedName name="TABLE_REFERENCE_GUIDANCE_1" localSheetId="70">'x-707'!$B$16</definedName>
    <definedName name="TABLE_REFERENCE_GUIDANCE_1" localSheetId="71">'x-708'!$B$16</definedName>
    <definedName name="TABLE_REFERENCE_GUIDANCE_1" localSheetId="72">'x-709'!$B$16</definedName>
    <definedName name="TABLE_REFERENCE_GUIDANCE_1" localSheetId="73">'x-710'!$B$16</definedName>
    <definedName name="TABLE_REFERENCE_GUIDANCE_1" localSheetId="74">'x-711'!$B$16</definedName>
    <definedName name="TABLE_REFERENCE_GUIDANCE_1" localSheetId="75">'x-712'!$B$16</definedName>
    <definedName name="TABLE_REFERENCE_GUIDANCE_1" localSheetId="76">'x-713'!$B$16</definedName>
    <definedName name="TABLE_REFERENCE_GUIDANCE_1" localSheetId="77">'x-714'!$B$16</definedName>
    <definedName name="TABLE_REFERENCE_GUIDANCE_1" localSheetId="78">'x-715'!$B$16</definedName>
    <definedName name="TABLE_REFERENCE_GUIDANCE_1" localSheetId="79">'x-716'!$B$16</definedName>
    <definedName name="TABLE_REFERENCE_GUIDANCE_1" localSheetId="80">'x-717'!$B$16</definedName>
    <definedName name="TABLE_REFERENCE_GUIDANCE_1" localSheetId="81">'x-718'!$B$16</definedName>
    <definedName name="TABLE_REFERENCE_GUIDANCE_1" localSheetId="82">'x-719'!$B$16</definedName>
    <definedName name="TABLE_REFERENCE_GUIDANCE_1" localSheetId="83">'x-720'!$B$16</definedName>
    <definedName name="TABLE_REFERENCE_GUIDANCE_1" localSheetId="84">'x-721'!$B$16</definedName>
    <definedName name="TABLE_REFERENCE_GUIDANCE_1" localSheetId="85">'x-722'!$B$16</definedName>
    <definedName name="TABLE_REFERENCE_GUIDANCE_1" localSheetId="86">'x-723'!$B$16</definedName>
    <definedName name="TABLE_REFERENCE_GUIDANCE_1" localSheetId="87">'x-801'!$B$16</definedName>
    <definedName name="TABLE_REFERENCE_GUIDANCE_1" localSheetId="88">'x-802'!$B$16</definedName>
    <definedName name="TABLE_REFERENCE_GUIDANCE_1" localSheetId="89">'x-803'!$B$16</definedName>
    <definedName name="TABLE_REFERENCE_GUIDANCE_1" localSheetId="90">'x-804'!$B$16</definedName>
    <definedName name="TABLE_REFERENCE_GUIDANCE_1" localSheetId="91">'x-805'!$B$16</definedName>
    <definedName name="TABLE_REFERENCE_GUIDANCE_1" localSheetId="92">'x-806'!$B$16</definedName>
    <definedName name="TABLE_REFERENCE_GUIDANCE_1" localSheetId="93">'x-807'!$B$16</definedName>
    <definedName name="TABLE_REFERENCE_GUIDANCE_1" localSheetId="94">'x-808'!$B$16</definedName>
    <definedName name="TABLE_REFERENCE_GUIDANCE_1" localSheetId="95">'x-809'!$B$16</definedName>
    <definedName name="TABLE_REFERENCE_GUIDANCE_1" localSheetId="96">'x-810'!$B$16</definedName>
    <definedName name="TABLE_REFERENCE_GUIDANCE_1" localSheetId="97">'x-811'!$B$16</definedName>
    <definedName name="TABLE_REFERENCE_GUIDANCE_1" localSheetId="98">'x-812'!$B$16</definedName>
    <definedName name="TABLE_REFERENCE_GUIDANCE_1" localSheetId="99">'x-813'!$B$16</definedName>
    <definedName name="TABLE_REFERENCE_GUIDANCE_1" localSheetId="100">'x-814'!$B$16</definedName>
    <definedName name="TABLE_REFERENCE_GUIDANCE_1" localSheetId="101">'x-815'!$B$16</definedName>
    <definedName name="TABLE_REFERENCE_GUIDANCE_1" localSheetId="102">'x-816'!$B$16</definedName>
    <definedName name="TABLE_REFERENCE_GUIDANCE_1" localSheetId="103">'x-817'!$B$16</definedName>
    <definedName name="TABLE_REFERENCE_GUIDANCE_1" localSheetId="104">'x-818'!$B$16</definedName>
    <definedName name="TABLE_REFERENCE_GUIDANCE_1" localSheetId="105">'x-819'!$B$16</definedName>
    <definedName name="TABLE_REFERENCE_GUIDANCE_1" localSheetId="106">'x-820'!$B$16</definedName>
    <definedName name="TABLE_REFERENCE_GUIDANCE_1" localSheetId="107">'x-821'!$B$16</definedName>
    <definedName name="TABLE_REFERENCE_GUIDANCE_1" localSheetId="108">'x-822'!$B$16</definedName>
    <definedName name="TABLE_REFERENCE_GUIDANCE_1" localSheetId="109">'x-823'!$B$16</definedName>
    <definedName name="TABLE_REFERENCE_GUIDANCE_2" localSheetId="15">'x-204'!$I$16</definedName>
    <definedName name="TABLE_REFERENCE_GUIDANCE_2" localSheetId="34">'x-403'!$Q$16</definedName>
    <definedName name="TABLE_REFERENCE_GUIDANCE_2" localSheetId="35">'x-404'!$Q$16</definedName>
    <definedName name="TABLE_REFERENCE_GUIDANCE_2" localSheetId="40">'x-409'!$Q$16</definedName>
    <definedName name="TABLE_REFERENCE_GUIDANCE_2" localSheetId="41">'x-410'!$Q$16</definedName>
    <definedName name="TABLE_REFERENCE_GUIDANCE_2" localSheetId="46">'x-415'!$Q$16</definedName>
    <definedName name="TABLE_REFERENCE_GUIDANCE_2" localSheetId="96">'x-810'!$Q$16</definedName>
    <definedName name="TABLE_RELATED" localSheetId="23">'x-219'!$B$17</definedName>
    <definedName name="TABLE_RELATED">'x-Series Number'!$B$17</definedName>
    <definedName name="table_related_1" localSheetId="8">'x-101'!$B$17</definedName>
    <definedName name="table_related_1" localSheetId="9">'x-102'!$B$17</definedName>
    <definedName name="table_related_1" localSheetId="10">'x-103'!$B$17</definedName>
    <definedName name="table_related_1" localSheetId="11">'x-104'!$B$17</definedName>
    <definedName name="TABLE_RELATED_1" localSheetId="12">'x-201'!$B$17</definedName>
    <definedName name="TABLE_RELATED_1" localSheetId="13">'x-202'!$B$17</definedName>
    <definedName name="TABLE_RELATED_1" localSheetId="14">'x-203'!$B$17</definedName>
    <definedName name="TABLE_RELATED_1" localSheetId="15">'x-204'!$B$17</definedName>
    <definedName name="TABLE_RELATED_1" localSheetId="16">'x-205'!$B$17</definedName>
    <definedName name="TABLE_RELATED_1" localSheetId="17">'x-206'!$B$17</definedName>
    <definedName name="TABLE_RELATED_1" localSheetId="18">'x-207'!$B$17</definedName>
    <definedName name="TABLE_RELATED_1" localSheetId="19">'x-208'!$B$17</definedName>
    <definedName name="TABLE_RELATED_1" localSheetId="20">'x-209'!$B$17</definedName>
    <definedName name="TABLE_RELATED_1" localSheetId="21">'x-217'!$B$17</definedName>
    <definedName name="TABLE_RELATED_1" localSheetId="22">'x-218'!$B$17</definedName>
    <definedName name="TABLE_RELATED_1" localSheetId="23">'x-219'!$B$17</definedName>
    <definedName name="TABLE_RELATED_1" localSheetId="24">'x-301'!$B$17</definedName>
    <definedName name="TABLE_RELATED_1" localSheetId="25">'x-302'!$B$17</definedName>
    <definedName name="TABLE_RELATED_1" localSheetId="26">'x-303'!$B$17</definedName>
    <definedName name="TABLE_RELATED_1" localSheetId="27">'x-304'!$B$17</definedName>
    <definedName name="TABLE_RELATED_1" localSheetId="28">'x-305'!$B$17</definedName>
    <definedName name="TABLE_RELATED_1" localSheetId="29">'x-306'!$B$17</definedName>
    <definedName name="TABLE_RELATED_1" localSheetId="30">'x-307'!$B$17</definedName>
    <definedName name="TABLE_RELATED_1" localSheetId="31">'x-308'!$B$17</definedName>
    <definedName name="TABLE_RELATED_1" localSheetId="32">'x-401'!$B$17</definedName>
    <definedName name="TABLE_RELATED_1" localSheetId="33">'x-402'!$B$17</definedName>
    <definedName name="TABLE_RELATED_1" localSheetId="34">'x-403'!$B$17</definedName>
    <definedName name="TABLE_RELATED_1" localSheetId="35">'x-404'!$B$17</definedName>
    <definedName name="TABLE_RELATED_1" localSheetId="36">'x-405'!$B$17</definedName>
    <definedName name="TABLE_RELATED_1" localSheetId="37">'x-406'!$B$17</definedName>
    <definedName name="TABLE_RELATED_1" localSheetId="38">'x-407'!$B$17</definedName>
    <definedName name="TABLE_RELATED_1" localSheetId="39">'x-408'!$B$17</definedName>
    <definedName name="TABLE_RELATED_1" localSheetId="40">'x-409'!$B$17</definedName>
    <definedName name="TABLE_RELATED_1" localSheetId="41">'x-410'!$B$17</definedName>
    <definedName name="TABLE_RELATED_1" localSheetId="42">'x-411'!$B$17</definedName>
    <definedName name="TABLE_RELATED_1" localSheetId="43">'x-412'!$B$17</definedName>
    <definedName name="TABLE_RELATED_1" localSheetId="44">'x-413'!$B$17</definedName>
    <definedName name="TABLE_RELATED_1" localSheetId="45">'x-414'!$B$17</definedName>
    <definedName name="TABLE_RELATED_1" localSheetId="46">'x-415'!$B$17</definedName>
    <definedName name="TABLE_RELATED_1" localSheetId="47">'x-416'!$B$17</definedName>
    <definedName name="TABLE_RELATED_1" localSheetId="48">'x-417'!$B$17</definedName>
    <definedName name="TABLE_RELATED_1" localSheetId="49">'x-418'!$B$17</definedName>
    <definedName name="TABLE_RELATED_1" localSheetId="50">'x-419'!$B$17</definedName>
    <definedName name="TABLE_RELATED_1" localSheetId="51">'x-420'!$B$17</definedName>
    <definedName name="TABLE_RELATED_1" localSheetId="52">'x-421'!$B$17</definedName>
    <definedName name="TABLE_RELATED_1" localSheetId="53">'x-422'!$B$17</definedName>
    <definedName name="TABLE_RELATED_1" localSheetId="54">'x-423'!$B$17</definedName>
    <definedName name="TABLE_RELATED_1" localSheetId="55">'x-501'!$B$17</definedName>
    <definedName name="TABLE_RELATED_1" localSheetId="56">'x-502'!$B$17</definedName>
    <definedName name="TABLE_RELATED_1" localSheetId="57">'x-503'!$B$17</definedName>
    <definedName name="TABLE_RELATED_1" localSheetId="58">'x-504'!$B$17</definedName>
    <definedName name="TABLE_RELATED_1" localSheetId="59">'x-505'!$B$17</definedName>
    <definedName name="TABLE_RELATED_1" localSheetId="60">'x-601'!$B$17</definedName>
    <definedName name="TABLE_RELATED_1" localSheetId="61">'x-602'!$B$17</definedName>
    <definedName name="TABLE_RELATED_1" localSheetId="62">'x-603'!$B$17</definedName>
    <definedName name="TABLE_RELATED_1" localSheetId="63">'x-604'!$B$17</definedName>
    <definedName name="TABLE_RELATED_1" localSheetId="64">'x-605'!$B$17</definedName>
    <definedName name="TABLE_RELATED_1" localSheetId="65">'x-606'!$B$17</definedName>
    <definedName name="TABLE_RELATED_1" localSheetId="66">'x-703'!$B$17</definedName>
    <definedName name="TABLE_RELATED_1" localSheetId="67">'x-704'!$B$17</definedName>
    <definedName name="TABLE_RELATED_1" localSheetId="68">'x-705'!$B$17</definedName>
    <definedName name="TABLE_RELATED_1" localSheetId="69">'x-706'!$B$17</definedName>
    <definedName name="TABLE_RELATED_1" localSheetId="70">'x-707'!$B$17</definedName>
    <definedName name="TABLE_RELATED_1" localSheetId="71">'x-708'!$B$17</definedName>
    <definedName name="TABLE_RELATED_1" localSheetId="72">'x-709'!$B$17</definedName>
    <definedName name="TABLE_RELATED_1" localSheetId="73">'x-710'!$B$17</definedName>
    <definedName name="TABLE_RELATED_1" localSheetId="74">'x-711'!$B$17</definedName>
    <definedName name="TABLE_RELATED_1" localSheetId="75">'x-712'!$B$17</definedName>
    <definedName name="TABLE_RELATED_1" localSheetId="76">'x-713'!$B$17</definedName>
    <definedName name="TABLE_RELATED_1" localSheetId="77">'x-714'!$B$17</definedName>
    <definedName name="TABLE_RELATED_1" localSheetId="78">'x-715'!$B$17</definedName>
    <definedName name="TABLE_RELATED_1" localSheetId="79">'x-716'!$B$17</definedName>
    <definedName name="TABLE_RELATED_1" localSheetId="80">'x-717'!$B$17</definedName>
    <definedName name="TABLE_RELATED_1" localSheetId="81">'x-718'!$B$17</definedName>
    <definedName name="TABLE_RELATED_1" localSheetId="82">'x-719'!$B$17</definedName>
    <definedName name="TABLE_RELATED_1" localSheetId="83">'x-720'!$B$17</definedName>
    <definedName name="TABLE_RELATED_1" localSheetId="84">'x-721'!$B$17</definedName>
    <definedName name="TABLE_RELATED_1" localSheetId="85">'x-722'!$B$17</definedName>
    <definedName name="TABLE_RELATED_1" localSheetId="86">'x-723'!$B$17</definedName>
    <definedName name="TABLE_RELATED_1" localSheetId="87">'x-801'!$B$17</definedName>
    <definedName name="TABLE_RELATED_1" localSheetId="88">'x-802'!$B$17</definedName>
    <definedName name="TABLE_RELATED_1" localSheetId="89">'x-803'!$B$17</definedName>
    <definedName name="TABLE_RELATED_1" localSheetId="90">'x-804'!$B$17</definedName>
    <definedName name="TABLE_RELATED_1" localSheetId="91">'x-805'!$B$17</definedName>
    <definedName name="TABLE_RELATED_1" localSheetId="92">'x-806'!$B$17</definedName>
    <definedName name="TABLE_RELATED_1" localSheetId="93">'x-807'!$B$17</definedName>
    <definedName name="TABLE_RELATED_1" localSheetId="94">'x-808'!$B$17</definedName>
    <definedName name="TABLE_RELATED_1" localSheetId="95">'x-809'!$B$17</definedName>
    <definedName name="TABLE_RELATED_1" localSheetId="96">'x-810'!$B$17</definedName>
    <definedName name="TABLE_RELATED_1" localSheetId="97">'x-811'!$B$17</definedName>
    <definedName name="TABLE_RELATED_1" localSheetId="98">'x-812'!$B$17</definedName>
    <definedName name="TABLE_RELATED_1" localSheetId="99">'x-813'!$B$17</definedName>
    <definedName name="TABLE_RELATED_1" localSheetId="100">'x-814'!$B$17</definedName>
    <definedName name="TABLE_RELATED_1" localSheetId="101">'x-815'!$B$17</definedName>
    <definedName name="TABLE_RELATED_1" localSheetId="102">'x-816'!$B$17</definedName>
    <definedName name="TABLE_RELATED_1" localSheetId="103">'x-817'!$B$17</definedName>
    <definedName name="TABLE_RELATED_1" localSheetId="104">'x-818'!$B$17</definedName>
    <definedName name="TABLE_RELATED_1" localSheetId="105">'x-819'!$B$17</definedName>
    <definedName name="TABLE_RELATED_1" localSheetId="106">'x-820'!$B$17</definedName>
    <definedName name="TABLE_RELATED_1" localSheetId="107">'x-821'!$B$17</definedName>
    <definedName name="TABLE_RELATED_1" localSheetId="108">'x-822'!$B$17</definedName>
    <definedName name="TABLE_RELATED_1" localSheetId="109">'x-823'!$B$17</definedName>
    <definedName name="TABLE_RELATED_2" localSheetId="15">'x-204'!$I$17</definedName>
    <definedName name="TABLE_RELATED_2" localSheetId="34">'x-403'!$Q$17</definedName>
    <definedName name="TABLE_RELATED_2" localSheetId="35">'x-404'!$Q$17</definedName>
    <definedName name="TABLE_RELATED_2" localSheetId="40">'x-409'!$Q$17</definedName>
    <definedName name="TABLE_RELATED_2" localSheetId="41">'x-410'!$Q$17</definedName>
    <definedName name="TABLE_RELATED_2" localSheetId="46">'x-415'!$Q$17</definedName>
    <definedName name="TABLE_RELATED_2" localSheetId="96">'x-810'!$Q$17</definedName>
    <definedName name="TABLE_SECTION" localSheetId="23">'x-219'!$B$8</definedName>
    <definedName name="TABLE_SECTION">'x-Series Number'!$B$8</definedName>
    <definedName name="table_section_1" localSheetId="8">'x-101'!$B$8</definedName>
    <definedName name="table_section_1" localSheetId="9">'x-102'!$B$8</definedName>
    <definedName name="table_section_1" localSheetId="10">'x-103'!$B$8</definedName>
    <definedName name="table_section_1" localSheetId="11">'x-104'!$B$8</definedName>
    <definedName name="TABLE_SECTION_1" localSheetId="12">'x-201'!$B$8</definedName>
    <definedName name="TABLE_SECTION_1" localSheetId="13">'x-202'!$B$8</definedName>
    <definedName name="TABLE_SECTION_1" localSheetId="14">'x-203'!$B$8</definedName>
    <definedName name="TABLE_SECTION_1" localSheetId="15">'x-204'!$B$8</definedName>
    <definedName name="TABLE_SECTION_1" localSheetId="16">'x-205'!$B$8</definedName>
    <definedName name="TABLE_SECTION_1" localSheetId="17">'x-206'!$B$8</definedName>
    <definedName name="TABLE_SECTION_1" localSheetId="18">'x-207'!$B$8</definedName>
    <definedName name="TABLE_SECTION_1" localSheetId="19">'x-208'!$B$8</definedName>
    <definedName name="TABLE_SECTION_1" localSheetId="20">'x-209'!$B$8</definedName>
    <definedName name="TABLE_SECTION_1" localSheetId="21">'x-217'!$B$8</definedName>
    <definedName name="TABLE_SECTION_1" localSheetId="22">'x-218'!$B$8</definedName>
    <definedName name="TABLE_SECTION_1" localSheetId="23">'x-219'!$B$8</definedName>
    <definedName name="TABLE_SECTION_1" localSheetId="24">'x-301'!$B$8</definedName>
    <definedName name="TABLE_SECTION_1" localSheetId="25">'x-302'!$B$8</definedName>
    <definedName name="TABLE_SECTION_1" localSheetId="26">'x-303'!$B$8</definedName>
    <definedName name="TABLE_SECTION_1" localSheetId="27">'x-304'!$B$8</definedName>
    <definedName name="TABLE_SECTION_1" localSheetId="28">'x-305'!$B$8</definedName>
    <definedName name="TABLE_SECTION_1" localSheetId="29">'x-306'!$B$8</definedName>
    <definedName name="TABLE_SECTION_1" localSheetId="30">'x-307'!$B$8</definedName>
    <definedName name="TABLE_SECTION_1" localSheetId="31">'x-308'!$B$8</definedName>
    <definedName name="TABLE_SECTION_1" localSheetId="32">'x-401'!$B$8</definedName>
    <definedName name="TABLE_SECTION_1" localSheetId="33">'x-402'!$B$8</definedName>
    <definedName name="TABLE_SECTION_1" localSheetId="34">'x-403'!$B$8</definedName>
    <definedName name="TABLE_SECTION_1" localSheetId="35">'x-404'!$B$8</definedName>
    <definedName name="TABLE_SECTION_1" localSheetId="36">'x-405'!$B$8</definedName>
    <definedName name="TABLE_SECTION_1" localSheetId="37">'x-406'!$B$8</definedName>
    <definedName name="TABLE_SECTION_1" localSheetId="38">'x-407'!$B$8</definedName>
    <definedName name="TABLE_SECTION_1" localSheetId="39">'x-408'!$B$8</definedName>
    <definedName name="TABLE_SECTION_1" localSheetId="40">'x-409'!$B$8</definedName>
    <definedName name="TABLE_SECTION_1" localSheetId="41">'x-410'!$B$8</definedName>
    <definedName name="TABLE_SECTION_1" localSheetId="42">'x-411'!$B$8</definedName>
    <definedName name="TABLE_SECTION_1" localSheetId="43">'x-412'!$B$8</definedName>
    <definedName name="TABLE_SECTION_1" localSheetId="44">'x-413'!$B$8</definedName>
    <definedName name="TABLE_SECTION_1" localSheetId="45">'x-414'!$B$8</definedName>
    <definedName name="TABLE_SECTION_1" localSheetId="46">'x-415'!$B$8</definedName>
    <definedName name="TABLE_SECTION_1" localSheetId="47">'x-416'!$B$8</definedName>
    <definedName name="TABLE_SECTION_1" localSheetId="48">'x-417'!$B$8</definedName>
    <definedName name="TABLE_SECTION_1" localSheetId="49">'x-418'!$B$8</definedName>
    <definedName name="TABLE_SECTION_1" localSheetId="50">'x-419'!$B$8</definedName>
    <definedName name="TABLE_SECTION_1" localSheetId="51">'x-420'!$B$8</definedName>
    <definedName name="TABLE_SECTION_1" localSheetId="52">'x-421'!$B$8</definedName>
    <definedName name="TABLE_SECTION_1" localSheetId="53">'x-422'!$B$8</definedName>
    <definedName name="TABLE_SECTION_1" localSheetId="54">'x-423'!$B$8</definedName>
    <definedName name="TABLE_SECTION_1" localSheetId="55">'x-501'!$B$8</definedName>
    <definedName name="TABLE_SECTION_1" localSheetId="56">'x-502'!$B$8</definedName>
    <definedName name="TABLE_SECTION_1" localSheetId="57">'x-503'!$B$8</definedName>
    <definedName name="TABLE_SECTION_1" localSheetId="58">'x-504'!$B$8</definedName>
    <definedName name="TABLE_SECTION_1" localSheetId="59">'x-505'!$B$8</definedName>
    <definedName name="TABLE_SECTION_1" localSheetId="60">'x-601'!$B$8</definedName>
    <definedName name="TABLE_SECTION_1" localSheetId="61">'x-602'!$B$8</definedName>
    <definedName name="TABLE_SECTION_1" localSheetId="62">'x-603'!$B$8</definedName>
    <definedName name="TABLE_SECTION_1" localSheetId="63">'x-604'!$B$8</definedName>
    <definedName name="TABLE_SECTION_1" localSheetId="64">'x-605'!$B$8</definedName>
    <definedName name="TABLE_SECTION_1" localSheetId="65">'x-606'!$B$8</definedName>
    <definedName name="TABLE_SECTION_1" localSheetId="66">'x-703'!$B$8</definedName>
    <definedName name="TABLE_SECTION_1" localSheetId="67">'x-704'!$B$8</definedName>
    <definedName name="TABLE_SECTION_1" localSheetId="68">'x-705'!$B$8</definedName>
    <definedName name="TABLE_SECTION_1" localSheetId="69">'x-706'!$B$8</definedName>
    <definedName name="TABLE_SECTION_1" localSheetId="70">'x-707'!$B$8</definedName>
    <definedName name="TABLE_SECTION_1" localSheetId="71">'x-708'!$B$8</definedName>
    <definedName name="TABLE_SECTION_1" localSheetId="72">'x-709'!$B$8</definedName>
    <definedName name="TABLE_SECTION_1" localSheetId="73">'x-710'!$B$8</definedName>
    <definedName name="TABLE_SECTION_1" localSheetId="74">'x-711'!$B$8</definedName>
    <definedName name="TABLE_SECTION_1" localSheetId="75">'x-712'!$B$8</definedName>
    <definedName name="TABLE_SECTION_1" localSheetId="76">'x-713'!$B$8</definedName>
    <definedName name="TABLE_SECTION_1" localSheetId="77">'x-714'!$B$8</definedName>
    <definedName name="TABLE_SECTION_1" localSheetId="78">'x-715'!$B$8</definedName>
    <definedName name="TABLE_SECTION_1" localSheetId="79">'x-716'!$B$8</definedName>
    <definedName name="TABLE_SECTION_1" localSheetId="80">'x-717'!$B$8</definedName>
    <definedName name="TABLE_SECTION_1" localSheetId="81">'x-718'!$B$8</definedName>
    <definedName name="TABLE_SECTION_1" localSheetId="82">'x-719'!$B$8</definedName>
    <definedName name="TABLE_SECTION_1" localSheetId="83">'x-720'!$B$8</definedName>
    <definedName name="TABLE_SECTION_1" localSheetId="84">'x-721'!$B$8</definedName>
    <definedName name="TABLE_SECTION_1" localSheetId="85">'x-722'!$B$8</definedName>
    <definedName name="TABLE_SECTION_1" localSheetId="86">'x-723'!$B$8</definedName>
    <definedName name="TABLE_SECTION_1" localSheetId="87">'x-801'!$B$8</definedName>
    <definedName name="TABLE_SECTION_1" localSheetId="88">'x-802'!$B$8</definedName>
    <definedName name="TABLE_SECTION_1" localSheetId="89">'x-803'!$B$8</definedName>
    <definedName name="TABLE_SECTION_1" localSheetId="90">'x-804'!$B$8</definedName>
    <definedName name="TABLE_SECTION_1" localSheetId="91">'x-805'!$B$8</definedName>
    <definedName name="TABLE_SECTION_1" localSheetId="92">'x-806'!$B$8</definedName>
    <definedName name="TABLE_SECTION_1" localSheetId="93">'x-807'!$B$8</definedName>
    <definedName name="TABLE_SECTION_1" localSheetId="94">'x-808'!$B$8</definedName>
    <definedName name="TABLE_SECTION_1" localSheetId="95">'x-809'!$B$8</definedName>
    <definedName name="TABLE_SECTION_1" localSheetId="96">'x-810'!$B$8</definedName>
    <definedName name="TABLE_SECTION_1" localSheetId="97">'x-811'!$B$8</definedName>
    <definedName name="TABLE_SECTION_1" localSheetId="98">'x-812'!$B$8</definedName>
    <definedName name="TABLE_SECTION_1" localSheetId="99">'x-813'!$B$8</definedName>
    <definedName name="TABLE_SECTION_1" localSheetId="100">'x-814'!$B$8</definedName>
    <definedName name="TABLE_SECTION_1" localSheetId="101">'x-815'!$B$8</definedName>
    <definedName name="TABLE_SECTION_1" localSheetId="102">'x-816'!$B$8</definedName>
    <definedName name="TABLE_SECTION_1" localSheetId="103">'x-817'!$B$8</definedName>
    <definedName name="TABLE_SECTION_1" localSheetId="104">'x-818'!$B$8</definedName>
    <definedName name="TABLE_SECTION_1" localSheetId="105">'x-819'!$B$8</definedName>
    <definedName name="TABLE_SECTION_1" localSheetId="106">'x-820'!$B$8</definedName>
    <definedName name="TABLE_SECTION_1" localSheetId="107">'x-821'!$B$8</definedName>
    <definedName name="TABLE_SECTION_1" localSheetId="108">'x-822'!$B$8</definedName>
    <definedName name="TABLE_SECTION_1" localSheetId="109">'x-823'!$B$8</definedName>
    <definedName name="TABLE_SECTION_2" localSheetId="15">'x-204'!$I$8</definedName>
    <definedName name="TABLE_SECTION_2" localSheetId="34">'x-403'!$Q$8</definedName>
    <definedName name="TABLE_SECTION_2" localSheetId="35">'x-404'!$Q$8</definedName>
    <definedName name="TABLE_SECTION_2" localSheetId="40">'x-409'!$Q$8</definedName>
    <definedName name="TABLE_SECTION_2" localSheetId="41">'x-410'!$Q$8</definedName>
    <definedName name="TABLE_SECTION_2" localSheetId="46">'x-415'!$Q$8</definedName>
    <definedName name="TABLE_SECTION_2" localSheetId="96">'x-810'!$Q$8</definedName>
    <definedName name="TABLE_SECTION_NUMBER" localSheetId="23">'x-219'!$B$13</definedName>
    <definedName name="TABLE_SECTION_NUMBER">'x-Series Number'!$B$13</definedName>
    <definedName name="table_Section_Number_1" localSheetId="8">'x-101'!$B$13</definedName>
    <definedName name="table_Section_Number_1" localSheetId="9">'x-102'!$B$13</definedName>
    <definedName name="table_Section_Number_1" localSheetId="10">'x-103'!$B$13</definedName>
    <definedName name="table_Section_Number_1" localSheetId="11">'x-104'!$B$13</definedName>
    <definedName name="TABLE_SECTION_NUMBER_1" localSheetId="12">'x-201'!$B$13</definedName>
    <definedName name="TABLE_SECTION_NUMBER_1" localSheetId="13">'x-202'!$B$13</definedName>
    <definedName name="TABLE_SECTION_NUMBER_1" localSheetId="14">'x-203'!$B$13</definedName>
    <definedName name="TABLE_SECTION_NUMBER_1" localSheetId="15">'x-204'!$B$13</definedName>
    <definedName name="TABLE_SECTION_NUMBER_1" localSheetId="16">'x-205'!$B$13</definedName>
    <definedName name="TABLE_SECTION_NUMBER_1" localSheetId="17">'x-206'!$B$13</definedName>
    <definedName name="TABLE_SECTION_NUMBER_1" localSheetId="18">'x-207'!$B$13</definedName>
    <definedName name="TABLE_SECTION_NUMBER_1" localSheetId="19">'x-208'!$B$13</definedName>
    <definedName name="TABLE_SECTION_NUMBER_1" localSheetId="20">'x-209'!$B$13</definedName>
    <definedName name="TABLE_SECTION_NUMBER_1" localSheetId="21">'x-217'!$B$13</definedName>
    <definedName name="TABLE_SECTION_NUMBER_1" localSheetId="22">'x-218'!$B$13</definedName>
    <definedName name="TABLE_SECTION_NUMBER_1" localSheetId="23">'x-219'!$B$13</definedName>
    <definedName name="TABLE_SECTION_NUMBER_1" localSheetId="24">'x-301'!$B$13</definedName>
    <definedName name="TABLE_SECTION_NUMBER_1" localSheetId="25">'x-302'!$B$13</definedName>
    <definedName name="TABLE_SECTION_NUMBER_1" localSheetId="26">'x-303'!$B$13</definedName>
    <definedName name="TABLE_SECTION_NUMBER_1" localSheetId="27">'x-304'!$B$13</definedName>
    <definedName name="TABLE_SECTION_NUMBER_1" localSheetId="28">'x-305'!$B$13</definedName>
    <definedName name="TABLE_SECTION_NUMBER_1" localSheetId="29">'x-306'!$B$13</definedName>
    <definedName name="TABLE_SECTION_NUMBER_1" localSheetId="30">'x-307'!$B$13</definedName>
    <definedName name="TABLE_SECTION_NUMBER_1" localSheetId="31">'x-308'!$B$13</definedName>
    <definedName name="TABLE_SECTION_NUMBER_1" localSheetId="32">'x-401'!$B$13</definedName>
    <definedName name="TABLE_SECTION_NUMBER_1" localSheetId="33">'x-402'!$B$13</definedName>
    <definedName name="TABLE_SECTION_NUMBER_1" localSheetId="34">'x-403'!$B$13</definedName>
    <definedName name="TABLE_SECTION_NUMBER_1" localSheetId="35">'x-404'!$B$13</definedName>
    <definedName name="TABLE_SECTION_NUMBER_1" localSheetId="36">'x-405'!$B$13</definedName>
    <definedName name="TABLE_SECTION_NUMBER_1" localSheetId="37">'x-406'!$B$13</definedName>
    <definedName name="TABLE_SECTION_NUMBER_1" localSheetId="38">'x-407'!$B$13</definedName>
    <definedName name="TABLE_SECTION_NUMBER_1" localSheetId="39">'x-408'!$B$13</definedName>
    <definedName name="TABLE_SECTION_NUMBER_1" localSheetId="40">'x-409'!$B$13</definedName>
    <definedName name="TABLE_SECTION_NUMBER_1" localSheetId="41">'x-410'!$B$13</definedName>
    <definedName name="TABLE_SECTION_NUMBER_1" localSheetId="42">'x-411'!$B$13</definedName>
    <definedName name="TABLE_SECTION_NUMBER_1" localSheetId="43">'x-412'!$B$13</definedName>
    <definedName name="TABLE_SECTION_NUMBER_1" localSheetId="44">'x-413'!$B$13</definedName>
    <definedName name="TABLE_SECTION_NUMBER_1" localSheetId="45">'x-414'!$B$13</definedName>
    <definedName name="TABLE_SECTION_NUMBER_1" localSheetId="46">'x-415'!$B$13</definedName>
    <definedName name="TABLE_SECTION_NUMBER_1" localSheetId="47">'x-416'!$B$13</definedName>
    <definedName name="TABLE_SECTION_NUMBER_1" localSheetId="48">'x-417'!$B$13</definedName>
    <definedName name="TABLE_SECTION_NUMBER_1" localSheetId="49">'x-418'!$B$13</definedName>
    <definedName name="TABLE_SECTION_NUMBER_1" localSheetId="50">'x-419'!$B$13</definedName>
    <definedName name="TABLE_SECTION_NUMBER_1" localSheetId="51">'x-420'!$B$13</definedName>
    <definedName name="TABLE_SECTION_NUMBER_1" localSheetId="52">'x-421'!$B$13</definedName>
    <definedName name="TABLE_SECTION_NUMBER_1" localSheetId="53">'x-422'!$B$13</definedName>
    <definedName name="TABLE_SECTION_NUMBER_1" localSheetId="54">'x-423'!$B$13</definedName>
    <definedName name="TABLE_SECTION_NUMBER_1" localSheetId="55">'x-501'!$B$13</definedName>
    <definedName name="TABLE_SECTION_NUMBER_1" localSheetId="56">'x-502'!$B$13</definedName>
    <definedName name="TABLE_SECTION_NUMBER_1" localSheetId="57">'x-503'!$B$13</definedName>
    <definedName name="TABLE_SECTION_NUMBER_1" localSheetId="58">'x-504'!$B$13</definedName>
    <definedName name="TABLE_SECTION_NUMBER_1" localSheetId="59">'x-505'!$B$13</definedName>
    <definedName name="TABLE_SECTION_NUMBER_1" localSheetId="60">'x-601'!$B$13</definedName>
    <definedName name="TABLE_SECTION_NUMBER_1" localSheetId="61">'x-602'!$B$13</definedName>
    <definedName name="TABLE_SECTION_NUMBER_1" localSheetId="62">'x-603'!$B$13</definedName>
    <definedName name="TABLE_SECTION_NUMBER_1" localSheetId="63">'x-604'!$B$13</definedName>
    <definedName name="TABLE_SECTION_NUMBER_1" localSheetId="64">'x-605'!$B$13</definedName>
    <definedName name="TABLE_SECTION_NUMBER_1" localSheetId="65">'x-606'!$B$13</definedName>
    <definedName name="TABLE_SECTION_NUMBER_1" localSheetId="66">'x-703'!$B$13</definedName>
    <definedName name="TABLE_SECTION_NUMBER_1" localSheetId="67">'x-704'!$B$13</definedName>
    <definedName name="TABLE_SECTION_NUMBER_1" localSheetId="68">'x-705'!$B$13</definedName>
    <definedName name="TABLE_SECTION_NUMBER_1" localSheetId="69">'x-706'!$B$13</definedName>
    <definedName name="TABLE_SECTION_NUMBER_1" localSheetId="70">'x-707'!$B$13</definedName>
    <definedName name="TABLE_SECTION_NUMBER_1" localSheetId="71">'x-708'!$B$13</definedName>
    <definedName name="TABLE_SECTION_NUMBER_1" localSheetId="72">'x-709'!$B$13</definedName>
    <definedName name="TABLE_SECTION_NUMBER_1" localSheetId="73">'x-710'!$B$13</definedName>
    <definedName name="TABLE_SECTION_NUMBER_1" localSheetId="74">'x-711'!$B$13</definedName>
    <definedName name="TABLE_SECTION_NUMBER_1" localSheetId="75">'x-712'!$B$13</definedName>
    <definedName name="TABLE_SECTION_NUMBER_1" localSheetId="76">'x-713'!$B$13</definedName>
    <definedName name="TABLE_SECTION_NUMBER_1" localSheetId="77">'x-714'!$B$13</definedName>
    <definedName name="TABLE_SECTION_NUMBER_1" localSheetId="78">'x-715'!$B$13</definedName>
    <definedName name="TABLE_SECTION_NUMBER_1" localSheetId="79">'x-716'!$B$13</definedName>
    <definedName name="TABLE_SECTION_NUMBER_1" localSheetId="80">'x-717'!$B$13</definedName>
    <definedName name="TABLE_SECTION_NUMBER_1" localSheetId="81">'x-718'!$B$13</definedName>
    <definedName name="TABLE_SECTION_NUMBER_1" localSheetId="82">'x-719'!$B$13</definedName>
    <definedName name="TABLE_SECTION_NUMBER_1" localSheetId="83">'x-720'!$B$13</definedName>
    <definedName name="TABLE_SECTION_NUMBER_1" localSheetId="84">'x-721'!$B$13</definedName>
    <definedName name="TABLE_SECTION_NUMBER_1" localSheetId="85">'x-722'!$B$13</definedName>
    <definedName name="TABLE_SECTION_NUMBER_1" localSheetId="86">'x-723'!$B$13</definedName>
    <definedName name="TABLE_SECTION_NUMBER_1" localSheetId="87">'x-801'!$B$13</definedName>
    <definedName name="TABLE_SECTION_NUMBER_1" localSheetId="88">'x-802'!$B$13</definedName>
    <definedName name="TABLE_SECTION_NUMBER_1" localSheetId="89">'x-803'!$B$13</definedName>
    <definedName name="TABLE_SECTION_NUMBER_1" localSheetId="90">'x-804'!$B$13</definedName>
    <definedName name="TABLE_SECTION_NUMBER_1" localSheetId="91">'x-805'!$B$13</definedName>
    <definedName name="TABLE_SECTION_NUMBER_1" localSheetId="92">'x-806'!$B$13</definedName>
    <definedName name="TABLE_SECTION_NUMBER_1" localSheetId="93">'x-807'!$B$13</definedName>
    <definedName name="TABLE_SECTION_NUMBER_1" localSheetId="94">'x-808'!$B$13</definedName>
    <definedName name="TABLE_SECTION_NUMBER_1" localSheetId="95">'x-809'!$B$13</definedName>
    <definedName name="TABLE_SECTION_NUMBER_1" localSheetId="96">'x-810'!$B$13</definedName>
    <definedName name="TABLE_SECTION_NUMBER_1" localSheetId="97">'x-811'!$B$13</definedName>
    <definedName name="TABLE_SECTION_NUMBER_1" localSheetId="98">'x-812'!$B$13</definedName>
    <definedName name="TABLE_SECTION_NUMBER_1" localSheetId="99">'x-813'!$B$13</definedName>
    <definedName name="TABLE_SECTION_NUMBER_1" localSheetId="100">'x-814'!$B$13</definedName>
    <definedName name="TABLE_SECTION_NUMBER_1" localSheetId="101">'x-815'!$B$13</definedName>
    <definedName name="TABLE_SECTION_NUMBER_1" localSheetId="102">'x-816'!$B$13</definedName>
    <definedName name="TABLE_SECTION_NUMBER_1" localSheetId="103">'x-817'!$B$13</definedName>
    <definedName name="TABLE_SECTION_NUMBER_1" localSheetId="104">'x-818'!$B$13</definedName>
    <definedName name="TABLE_SECTION_NUMBER_1" localSheetId="105">'x-819'!$B$13</definedName>
    <definedName name="TABLE_SECTION_NUMBER_1" localSheetId="106">'x-820'!$B$13</definedName>
    <definedName name="TABLE_SECTION_NUMBER_1" localSheetId="107">'x-821'!$B$13</definedName>
    <definedName name="TABLE_SECTION_NUMBER_1" localSheetId="108">'x-822'!$B$13</definedName>
    <definedName name="TABLE_SECTION_NUMBER_1" localSheetId="109">'x-823'!$B$13</definedName>
    <definedName name="TABLE_SECTION_NUMBER_2" localSheetId="15">'x-204'!$I$13</definedName>
    <definedName name="TABLE_SECTION_NUMBER_2" localSheetId="34">'x-403'!$Q$13</definedName>
    <definedName name="TABLE_SECTION_NUMBER_2" localSheetId="35">'x-404'!$Q$13</definedName>
    <definedName name="TABLE_SECTION_NUMBER_2" localSheetId="40">'x-409'!$Q$13</definedName>
    <definedName name="TABLE_SECTION_NUMBER_2" localSheetId="41">'x-410'!$Q$13</definedName>
    <definedName name="TABLE_SECTION_NUMBER_2" localSheetId="46">'x-415'!$Q$13</definedName>
    <definedName name="TABLE_SECTION_NUMBER_2" localSheetId="96">'x-810'!$Q$13</definedName>
    <definedName name="TABLE_SERIES_NUMBER" localSheetId="7">'[1]x-Series Number'!$B$14</definedName>
    <definedName name="TABLE_SERIES_NUMBER" localSheetId="23">'x-219'!$B$14</definedName>
    <definedName name="TABLE_SERIES_NUMBER">'x-Series Number'!$B$14</definedName>
    <definedName name="table_Series_Number_1" localSheetId="8">'x-101'!$B$14</definedName>
    <definedName name="table_Series_Number_1" localSheetId="9">'x-102'!$B$14</definedName>
    <definedName name="table_Series_Number_1" localSheetId="10">'x-103'!$B$14</definedName>
    <definedName name="table_Series_Number_1" localSheetId="11">'x-104'!$B$14</definedName>
    <definedName name="TABLE_SERIES_NUMBER_1" localSheetId="12">'x-201'!$B$14</definedName>
    <definedName name="TABLE_SERIES_NUMBER_1" localSheetId="13">'x-202'!$B$14</definedName>
    <definedName name="TABLE_SERIES_NUMBER_1" localSheetId="14">'x-203'!$B$14</definedName>
    <definedName name="TABLE_SERIES_NUMBER_1" localSheetId="15">'x-204'!$B$14</definedName>
    <definedName name="TABLE_SERIES_NUMBER_1" localSheetId="16">'x-205'!$B$14</definedName>
    <definedName name="TABLE_SERIES_NUMBER_1" localSheetId="17">'x-206'!$B$14</definedName>
    <definedName name="TABLE_SERIES_NUMBER_1" localSheetId="18">'x-207'!$B$14</definedName>
    <definedName name="TABLE_SERIES_NUMBER_1" localSheetId="19">'x-208'!$B$14</definedName>
    <definedName name="TABLE_SERIES_NUMBER_1" localSheetId="20">'x-209'!$B$14</definedName>
    <definedName name="TABLE_SERIES_NUMBER_1" localSheetId="21">'x-217'!$B$14</definedName>
    <definedName name="TABLE_SERIES_NUMBER_1" localSheetId="22">'x-218'!$B$14</definedName>
    <definedName name="TABLE_SERIES_NUMBER_1" localSheetId="23">'x-219'!$B$14</definedName>
    <definedName name="TABLE_SERIES_NUMBER_1" localSheetId="24">'x-301'!$B$14</definedName>
    <definedName name="TABLE_SERIES_NUMBER_1" localSheetId="25">'x-302'!$B$14</definedName>
    <definedName name="TABLE_SERIES_NUMBER_1" localSheetId="26">'x-303'!$B$14</definedName>
    <definedName name="TABLE_SERIES_NUMBER_1" localSheetId="27">'x-304'!$B$14</definedName>
    <definedName name="TABLE_SERIES_NUMBER_1" localSheetId="28">'x-305'!$B$14</definedName>
    <definedName name="TABLE_SERIES_NUMBER_1" localSheetId="29">'x-306'!$B$14</definedName>
    <definedName name="TABLE_SERIES_NUMBER_1" localSheetId="30">'x-307'!$B$14</definedName>
    <definedName name="TABLE_SERIES_NUMBER_1" localSheetId="31">'x-308'!$B$14</definedName>
    <definedName name="TABLE_SERIES_NUMBER_1" localSheetId="32">'x-401'!$B$14</definedName>
    <definedName name="TABLE_SERIES_NUMBER_1" localSheetId="33">'x-402'!$B$14</definedName>
    <definedName name="TABLE_SERIES_NUMBER_1" localSheetId="34">'x-403'!$B$14</definedName>
    <definedName name="TABLE_SERIES_NUMBER_1" localSheetId="35">'x-404'!$B$14</definedName>
    <definedName name="TABLE_SERIES_NUMBER_1" localSheetId="36">'x-405'!$B$14</definedName>
    <definedName name="TABLE_SERIES_NUMBER_1" localSheetId="37">'x-406'!$B$14</definedName>
    <definedName name="TABLE_SERIES_NUMBER_1" localSheetId="38">'x-407'!$B$14</definedName>
    <definedName name="TABLE_SERIES_NUMBER_1" localSheetId="39">'x-408'!$B$14</definedName>
    <definedName name="TABLE_SERIES_NUMBER_1" localSheetId="40">'x-409'!$B$14</definedName>
    <definedName name="TABLE_SERIES_NUMBER_1" localSheetId="41">'x-410'!$B$14</definedName>
    <definedName name="TABLE_SERIES_NUMBER_1" localSheetId="42">'x-411'!$B$14</definedName>
    <definedName name="TABLE_SERIES_NUMBER_1" localSheetId="43">'x-412'!$B$14</definedName>
    <definedName name="TABLE_SERIES_NUMBER_1" localSheetId="44">'x-413'!$B$14</definedName>
    <definedName name="TABLE_SERIES_NUMBER_1" localSheetId="45">'x-414'!$B$14</definedName>
    <definedName name="TABLE_SERIES_NUMBER_1" localSheetId="46">'x-415'!$B$14</definedName>
    <definedName name="TABLE_SERIES_NUMBER_1" localSheetId="47">'x-416'!$B$14</definedName>
    <definedName name="TABLE_SERIES_NUMBER_1" localSheetId="48">'x-417'!$B$14</definedName>
    <definedName name="TABLE_SERIES_NUMBER_1" localSheetId="49">'x-418'!$B$14</definedName>
    <definedName name="TABLE_SERIES_NUMBER_1" localSheetId="50">'x-419'!$B$14</definedName>
    <definedName name="TABLE_SERIES_NUMBER_1" localSheetId="51">'x-420'!$B$14</definedName>
    <definedName name="TABLE_SERIES_NUMBER_1" localSheetId="52">'x-421'!$B$14</definedName>
    <definedName name="TABLE_SERIES_NUMBER_1" localSheetId="53">'x-422'!$B$14</definedName>
    <definedName name="TABLE_SERIES_NUMBER_1" localSheetId="54">'x-423'!$B$14</definedName>
    <definedName name="TABLE_SERIES_NUMBER_1" localSheetId="55">'x-501'!$B$14</definedName>
    <definedName name="TABLE_SERIES_NUMBER_1" localSheetId="56">'x-502'!$B$14</definedName>
    <definedName name="TABLE_SERIES_NUMBER_1" localSheetId="57">'x-503'!$B$14</definedName>
    <definedName name="TABLE_SERIES_NUMBER_1" localSheetId="58">'x-504'!$B$14</definedName>
    <definedName name="TABLE_SERIES_NUMBER_1" localSheetId="59">'x-505'!$B$14</definedName>
    <definedName name="TABLE_SERIES_NUMBER_1" localSheetId="60">'x-601'!$B$14</definedName>
    <definedName name="TABLE_SERIES_NUMBER_1" localSheetId="61">'x-602'!$B$14</definedName>
    <definedName name="TABLE_SERIES_NUMBER_1" localSheetId="62">'x-603'!$B$14</definedName>
    <definedName name="TABLE_SERIES_NUMBER_1" localSheetId="63">'x-604'!$B$14</definedName>
    <definedName name="TABLE_SERIES_NUMBER_1" localSheetId="64">'x-605'!$B$14</definedName>
    <definedName name="TABLE_SERIES_NUMBER_1" localSheetId="65">'x-606'!$B$14</definedName>
    <definedName name="TABLE_SERIES_NUMBER_1" localSheetId="66">'x-703'!$B$14</definedName>
    <definedName name="TABLE_SERIES_NUMBER_1" localSheetId="67">'x-704'!$B$14</definedName>
    <definedName name="TABLE_SERIES_NUMBER_1" localSheetId="68">'x-705'!$B$14</definedName>
    <definedName name="TABLE_SERIES_NUMBER_1" localSheetId="69">'x-706'!$B$14</definedName>
    <definedName name="TABLE_SERIES_NUMBER_1" localSheetId="70">'x-707'!$B$14</definedName>
    <definedName name="TABLE_SERIES_NUMBER_1" localSheetId="71">'x-708'!$B$14</definedName>
    <definedName name="TABLE_SERIES_NUMBER_1" localSheetId="72">'x-709'!$B$14</definedName>
    <definedName name="TABLE_SERIES_NUMBER_1" localSheetId="73">'x-710'!$B$14</definedName>
    <definedName name="TABLE_SERIES_NUMBER_1" localSheetId="74">'x-711'!$B$14</definedName>
    <definedName name="TABLE_SERIES_NUMBER_1" localSheetId="75">'x-712'!$B$14</definedName>
    <definedName name="TABLE_SERIES_NUMBER_1" localSheetId="76">'x-713'!$B$14</definedName>
    <definedName name="TABLE_SERIES_NUMBER_1" localSheetId="77">'x-714'!$B$14</definedName>
    <definedName name="TABLE_SERIES_NUMBER_1" localSheetId="78">'x-715'!$B$14</definedName>
    <definedName name="TABLE_SERIES_NUMBER_1" localSheetId="79">'x-716'!$B$14</definedName>
    <definedName name="TABLE_SERIES_NUMBER_1" localSheetId="80">'x-717'!$B$14</definedName>
    <definedName name="TABLE_SERIES_NUMBER_1" localSheetId="81">'x-718'!$B$14</definedName>
    <definedName name="TABLE_SERIES_NUMBER_1" localSheetId="82">'x-719'!$B$14</definedName>
    <definedName name="TABLE_SERIES_NUMBER_1" localSheetId="83">'x-720'!$B$14</definedName>
    <definedName name="TABLE_SERIES_NUMBER_1" localSheetId="84">'x-721'!$B$14</definedName>
    <definedName name="TABLE_SERIES_NUMBER_1" localSheetId="85">'x-722'!$B$14</definedName>
    <definedName name="TABLE_SERIES_NUMBER_1" localSheetId="86">'x-723'!$B$14</definedName>
    <definedName name="TABLE_SERIES_NUMBER_1" localSheetId="87">'x-801'!$B$14</definedName>
    <definedName name="TABLE_SERIES_NUMBER_1" localSheetId="88">'x-802'!$B$14</definedName>
    <definedName name="TABLE_SERIES_NUMBER_1" localSheetId="89">'x-803'!$B$14</definedName>
    <definedName name="TABLE_SERIES_NUMBER_1" localSheetId="90">'x-804'!$B$14</definedName>
    <definedName name="TABLE_SERIES_NUMBER_1" localSheetId="91">'x-805'!$B$14</definedName>
    <definedName name="TABLE_SERIES_NUMBER_1" localSheetId="92">'x-806'!$B$14</definedName>
    <definedName name="TABLE_SERIES_NUMBER_1" localSheetId="93">'x-807'!$B$14</definedName>
    <definedName name="TABLE_SERIES_NUMBER_1" localSheetId="94">'x-808'!$B$14</definedName>
    <definedName name="TABLE_SERIES_NUMBER_1" localSheetId="95">'x-809'!$B$14</definedName>
    <definedName name="TABLE_SERIES_NUMBER_1" localSheetId="96">'x-810'!$B$14</definedName>
    <definedName name="TABLE_SERIES_NUMBER_1" localSheetId="97">'x-811'!$B$14</definedName>
    <definedName name="TABLE_SERIES_NUMBER_1" localSheetId="98">'x-812'!$B$14</definedName>
    <definedName name="TABLE_SERIES_NUMBER_1" localSheetId="99">'x-813'!$B$14</definedName>
    <definedName name="TABLE_SERIES_NUMBER_1" localSheetId="100">'x-814'!$B$14</definedName>
    <definedName name="TABLE_SERIES_NUMBER_1" localSheetId="101">'x-815'!$B$14</definedName>
    <definedName name="TABLE_SERIES_NUMBER_1" localSheetId="102">'x-816'!$B$14</definedName>
    <definedName name="TABLE_SERIES_NUMBER_1" localSheetId="103">'x-817'!$B$14</definedName>
    <definedName name="TABLE_SERIES_NUMBER_1" localSheetId="104">'x-818'!$B$14</definedName>
    <definedName name="TABLE_SERIES_NUMBER_1" localSheetId="105">'x-819'!$B$14</definedName>
    <definedName name="TABLE_SERIES_NUMBER_1" localSheetId="106">'x-820'!$B$14</definedName>
    <definedName name="TABLE_SERIES_NUMBER_1" localSheetId="107">'x-821'!$B$14</definedName>
    <definedName name="TABLE_SERIES_NUMBER_1" localSheetId="108">'x-822'!$B$14</definedName>
    <definedName name="TABLE_SERIES_NUMBER_1" localSheetId="109">'x-823'!$B$14</definedName>
    <definedName name="TABLE_SERIES_NUMBER_2" localSheetId="15">'x-204'!$I$14</definedName>
    <definedName name="TABLE_SERIES_NUMBER_2" localSheetId="34">'x-403'!$Q$14</definedName>
    <definedName name="TABLE_SERIES_NUMBER_2" localSheetId="35">'x-404'!$Q$14</definedName>
    <definedName name="TABLE_SERIES_NUMBER_2" localSheetId="40">'x-409'!$Q$14</definedName>
    <definedName name="TABLE_SERIES_NUMBER_2" localSheetId="41">'x-410'!$Q$14</definedName>
    <definedName name="TABLE_SERIES_NUMBER_2" localSheetId="46">'x-415'!$Q$14</definedName>
    <definedName name="TABLE_SERIES_NUMBER_2" localSheetId="96">'x-810'!$Q$14</definedName>
    <definedName name="ti" localSheetId="23">[2]Cover!$A$2</definedName>
    <definedName name="ti">Cover!$A$2</definedName>
    <definedName name="tit" localSheetId="23">[2]Cover!$A$2</definedName>
    <definedName name="tit">Cover!$A$2</definedName>
    <definedName name="title" localSheetId="7">[1]Cover!$A$2</definedName>
    <definedName name="title" localSheetId="22">[3]Cover!$A$2</definedName>
    <definedName name="title" localSheetId="23">[3]Cover!$A$2</definedName>
    <definedName name="title" localSheetId="29">[4]Cover!$A$2</definedName>
    <definedName name="title" localSheetId="30">[4]Cover!$A$2</definedName>
    <definedName name="title" localSheetId="31">[4]Cover!$A$2</definedName>
    <definedName name="title" localSheetId="52">[5]Cover!$A$2</definedName>
    <definedName name="title" localSheetId="83">[6]Cover!$A$2</definedName>
    <definedName name="title" localSheetId="100">[7]Cover!$A$2</definedName>
    <definedName name="title" localSheetId="109">[8]Cover!$A$2</definedName>
    <definedName name="title">Cover!$A$2</definedName>
    <definedName name="title_new" localSheetId="22">[3]Cover!$A$2</definedName>
    <definedName name="title_new" localSheetId="23">[3]Cover!$A$2</definedName>
    <definedName name="title_new" localSheetId="109">[3]Cover!$A$2</definedName>
    <definedName name="title_new">Cover!$A$2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220" l="1"/>
  <c r="A3" i="220"/>
  <c r="A2" i="220"/>
  <c r="A3" i="210" l="1"/>
  <c r="A3" i="211"/>
  <c r="A3" i="212"/>
  <c r="A3" i="104"/>
  <c r="A3" i="105"/>
  <c r="A3" i="106"/>
  <c r="A3" i="107"/>
  <c r="A3" i="108"/>
  <c r="A3" i="109"/>
  <c r="A3" i="110"/>
  <c r="A3" i="111"/>
  <c r="A3" i="114"/>
  <c r="A3" i="200"/>
  <c r="A3" i="217"/>
  <c r="A3" i="115"/>
  <c r="A3" i="116"/>
  <c r="A3" i="117"/>
  <c r="A3" i="118"/>
  <c r="A3" i="119"/>
  <c r="A3" i="143"/>
  <c r="A3" i="144"/>
  <c r="A3" i="214"/>
  <c r="A3" i="120"/>
  <c r="A3" i="121"/>
  <c r="A3" i="122"/>
  <c r="A3" i="123"/>
  <c r="A3" i="124"/>
  <c r="A3" i="125"/>
  <c r="A3" i="126"/>
  <c r="A3" i="127"/>
  <c r="A3" i="128"/>
  <c r="A3" i="129"/>
  <c r="A3" i="130"/>
  <c r="A3" i="131"/>
  <c r="A3" i="132"/>
  <c r="A3" i="133"/>
  <c r="A3" i="134"/>
  <c r="A3" i="135"/>
  <c r="A3" i="136"/>
  <c r="A3" i="137"/>
  <c r="A3" i="138"/>
  <c r="A3" i="139"/>
  <c r="A3" i="142"/>
  <c r="A3" i="141"/>
  <c r="A3" i="215"/>
  <c r="A3" i="145"/>
  <c r="A3" i="146"/>
  <c r="A3" i="147"/>
  <c r="A3" i="148"/>
  <c r="A3" i="216"/>
  <c r="A3" i="203"/>
  <c r="A3" i="204"/>
  <c r="A3" i="205"/>
  <c r="A3" i="206"/>
  <c r="A3" i="207"/>
  <c r="A3" i="208"/>
  <c r="A3" i="165"/>
  <c r="A3" i="166"/>
  <c r="A3" i="167"/>
  <c r="A3" i="168"/>
  <c r="A3" i="169"/>
  <c r="A3" i="170"/>
  <c r="A3" i="171"/>
  <c r="A3" i="172"/>
  <c r="A3" i="173"/>
  <c r="A3" i="174"/>
  <c r="A3" i="175"/>
  <c r="A3" i="176"/>
  <c r="A3" i="177"/>
  <c r="A3" i="178"/>
  <c r="A3" i="179"/>
  <c r="A3" i="180"/>
  <c r="A3" i="181"/>
  <c r="A3" i="162"/>
  <c r="A3" i="192"/>
  <c r="A3" i="193"/>
  <c r="A3" i="194"/>
  <c r="A3" i="149"/>
  <c r="A3" i="150"/>
  <c r="A3" i="151"/>
  <c r="A3" i="152"/>
  <c r="A3" i="153"/>
  <c r="A3" i="154"/>
  <c r="A3" i="155"/>
  <c r="A3" i="156"/>
  <c r="A3" i="157"/>
  <c r="A3" i="158"/>
  <c r="A3" i="159"/>
  <c r="A3" i="160"/>
  <c r="A3" i="161"/>
  <c r="A3" i="191"/>
  <c r="A3" i="183"/>
  <c r="A3" i="184"/>
  <c r="A3" i="185"/>
  <c r="A3" i="186"/>
  <c r="A3" i="187"/>
  <c r="A3" i="188"/>
  <c r="A3" i="189"/>
  <c r="A3" i="190"/>
  <c r="A3" i="219"/>
  <c r="A3" i="209"/>
  <c r="A115" i="55"/>
  <c r="A114" i="55"/>
  <c r="A113" i="55"/>
  <c r="A112" i="55"/>
  <c r="A111" i="55"/>
  <c r="A110" i="55"/>
  <c r="A109" i="55"/>
  <c r="A108" i="55"/>
  <c r="A107" i="55"/>
  <c r="A106" i="55"/>
  <c r="A105" i="55"/>
  <c r="A104" i="55"/>
  <c r="A103" i="55"/>
  <c r="A102" i="55"/>
  <c r="A101" i="55"/>
  <c r="A100" i="55"/>
  <c r="A99" i="55"/>
  <c r="A98" i="55"/>
  <c r="A97" i="55"/>
  <c r="A96" i="55"/>
  <c r="A95" i="55"/>
  <c r="A94" i="55"/>
  <c r="A93" i="55"/>
  <c r="A92" i="55"/>
  <c r="A91" i="55"/>
  <c r="A90" i="55"/>
  <c r="A89" i="55"/>
  <c r="A88" i="55"/>
  <c r="A87" i="55"/>
  <c r="A86" i="55"/>
  <c r="A85" i="55"/>
  <c r="A84" i="55"/>
  <c r="A83" i="55"/>
  <c r="A82" i="55"/>
  <c r="A81" i="55"/>
  <c r="A80" i="55"/>
  <c r="A79" i="55"/>
  <c r="A78" i="55"/>
  <c r="A77" i="55"/>
  <c r="A76" i="55"/>
  <c r="A75" i="55"/>
  <c r="A74" i="55"/>
  <c r="A73" i="55"/>
  <c r="A72" i="55"/>
  <c r="A71" i="55"/>
  <c r="A70" i="55"/>
  <c r="A69" i="55"/>
  <c r="A68" i="55"/>
  <c r="A67" i="55"/>
  <c r="A66" i="55"/>
  <c r="A65" i="55"/>
  <c r="A64" i="55"/>
  <c r="A63" i="55"/>
  <c r="A62" i="55"/>
  <c r="A61" i="55"/>
  <c r="A60" i="55"/>
  <c r="A59" i="55"/>
  <c r="A58" i="55"/>
  <c r="A57" i="55"/>
  <c r="A56" i="55"/>
  <c r="A55" i="55"/>
  <c r="A54" i="55"/>
  <c r="A53" i="55"/>
  <c r="A52" i="55"/>
  <c r="A51" i="55"/>
  <c r="A50" i="55"/>
  <c r="A49" i="55"/>
  <c r="A48" i="55"/>
  <c r="A47" i="55"/>
  <c r="A46" i="55"/>
  <c r="A45" i="55"/>
  <c r="A44" i="55"/>
  <c r="A43" i="55"/>
  <c r="A42" i="55"/>
  <c r="A41" i="55"/>
  <c r="A40" i="55"/>
  <c r="A39" i="55"/>
  <c r="A38" i="55"/>
  <c r="A37" i="55"/>
  <c r="A36" i="55"/>
  <c r="A35" i="55"/>
  <c r="A34" i="55"/>
  <c r="A33" i="55"/>
  <c r="A32" i="55"/>
  <c r="A31" i="55"/>
  <c r="A30" i="55"/>
  <c r="A29" i="55"/>
  <c r="A28" i="55"/>
  <c r="A27" i="55"/>
  <c r="A26" i="55"/>
  <c r="A25" i="55"/>
  <c r="A24" i="55"/>
  <c r="A23" i="55"/>
  <c r="A22" i="55"/>
  <c r="A21" i="55"/>
  <c r="A20" i="55"/>
  <c r="A19" i="55"/>
  <c r="A18" i="55"/>
  <c r="A17" i="55"/>
  <c r="A16" i="55"/>
  <c r="A15" i="55"/>
  <c r="A14" i="55"/>
  <c r="A13" i="55"/>
  <c r="A12" i="55"/>
  <c r="A11" i="55"/>
  <c r="A10" i="55"/>
  <c r="A9" i="55"/>
  <c r="A8" i="55"/>
  <c r="A2" i="217" l="1"/>
  <c r="A2" i="219"/>
  <c r="B23" i="219"/>
  <c r="B23" i="217"/>
  <c r="B23" i="216"/>
  <c r="B23" i="215"/>
  <c r="B23" i="214"/>
  <c r="A2" i="216"/>
  <c r="A2" i="215"/>
  <c r="A2" i="214"/>
  <c r="A2" i="213"/>
  <c r="V130" i="179"/>
  <c r="V131" i="179"/>
  <c r="V132" i="179"/>
  <c r="V133" i="179"/>
  <c r="V134" i="179"/>
  <c r="V135" i="179"/>
  <c r="V136" i="179"/>
  <c r="V137" i="179"/>
  <c r="V138" i="179"/>
  <c r="V139" i="179"/>
  <c r="V140" i="179"/>
  <c r="V141" i="179"/>
  <c r="V142" i="179"/>
  <c r="V143" i="179"/>
  <c r="V144" i="179"/>
  <c r="V145" i="179"/>
  <c r="V146" i="179"/>
  <c r="V147" i="179"/>
  <c r="V148" i="179"/>
  <c r="V149" i="179"/>
  <c r="V150" i="179"/>
  <c r="V151" i="179"/>
  <c r="V152" i="179"/>
  <c r="V153" i="179"/>
  <c r="V154" i="179"/>
  <c r="V155" i="179"/>
  <c r="V156" i="179"/>
  <c r="V157" i="179"/>
  <c r="V158" i="179"/>
  <c r="V159" i="179"/>
  <c r="V160" i="179"/>
  <c r="V161" i="179"/>
  <c r="V162" i="179"/>
  <c r="V163" i="179"/>
  <c r="V164" i="179"/>
  <c r="V165" i="179"/>
  <c r="V166" i="179"/>
  <c r="V167" i="179"/>
  <c r="V168" i="179"/>
  <c r="V169" i="179"/>
  <c r="V170" i="179"/>
  <c r="V171" i="179"/>
  <c r="V172" i="179"/>
  <c r="V173" i="179"/>
  <c r="V174" i="179"/>
  <c r="V175" i="179"/>
  <c r="V176" i="179"/>
  <c r="V177" i="179"/>
  <c r="V178" i="179"/>
  <c r="V129" i="179"/>
  <c r="V126" i="172"/>
  <c r="V127" i="172"/>
  <c r="V128" i="172"/>
  <c r="V129" i="172"/>
  <c r="V130" i="172"/>
  <c r="V131" i="172"/>
  <c r="V132" i="172"/>
  <c r="V133" i="172"/>
  <c r="V134" i="172"/>
  <c r="V135" i="172"/>
  <c r="V136" i="172"/>
  <c r="V137" i="172"/>
  <c r="V138" i="172"/>
  <c r="V139" i="172"/>
  <c r="V140" i="172"/>
  <c r="V141" i="172"/>
  <c r="V142" i="172"/>
  <c r="V143" i="172"/>
  <c r="V144" i="172"/>
  <c r="V145" i="172"/>
  <c r="V146" i="172"/>
  <c r="V147" i="172"/>
  <c r="V148" i="172"/>
  <c r="V149" i="172"/>
  <c r="V150" i="172"/>
  <c r="V151" i="172"/>
  <c r="V152" i="172"/>
  <c r="V153" i="172"/>
  <c r="V154" i="172"/>
  <c r="V155" i="172"/>
  <c r="V156" i="172"/>
  <c r="V157" i="172"/>
  <c r="V158" i="172"/>
  <c r="V159" i="172"/>
  <c r="V160" i="172"/>
  <c r="V161" i="172"/>
  <c r="V162" i="172"/>
  <c r="V163" i="172"/>
  <c r="V164" i="172"/>
  <c r="V165" i="172"/>
  <c r="V166" i="172"/>
  <c r="V167" i="172"/>
  <c r="V168" i="172"/>
  <c r="V169" i="172"/>
  <c r="V170" i="172"/>
  <c r="V171" i="172"/>
  <c r="V172" i="172"/>
  <c r="V125" i="172"/>
  <c r="V116" i="170"/>
  <c r="V127" i="169"/>
  <c r="V128" i="169"/>
  <c r="V129" i="169"/>
  <c r="V130" i="169"/>
  <c r="V131" i="169"/>
  <c r="V132" i="169"/>
  <c r="V133" i="169"/>
  <c r="V134" i="169"/>
  <c r="V135" i="169"/>
  <c r="V136" i="169"/>
  <c r="V137" i="169"/>
  <c r="V138" i="169"/>
  <c r="V139" i="169"/>
  <c r="V140" i="169"/>
  <c r="V141" i="169"/>
  <c r="V142" i="169"/>
  <c r="V143" i="169"/>
  <c r="V144" i="169"/>
  <c r="V145" i="169"/>
  <c r="V146" i="169"/>
  <c r="V147" i="169"/>
  <c r="V148" i="169"/>
  <c r="V149" i="169"/>
  <c r="V150" i="169"/>
  <c r="V151" i="169"/>
  <c r="V152" i="169"/>
  <c r="V153" i="169"/>
  <c r="V154" i="169"/>
  <c r="V155" i="169"/>
  <c r="V156" i="169"/>
  <c r="V157" i="169"/>
  <c r="V158" i="169"/>
  <c r="V159" i="169"/>
  <c r="V160" i="169"/>
  <c r="V161" i="169"/>
  <c r="V162" i="169"/>
  <c r="V163" i="169"/>
  <c r="V164" i="169"/>
  <c r="V165" i="169"/>
  <c r="V166" i="169"/>
  <c r="V167" i="169"/>
  <c r="V168" i="169"/>
  <c r="V169" i="169"/>
  <c r="V170" i="169"/>
  <c r="V171" i="169"/>
  <c r="V172" i="169"/>
  <c r="V173" i="169"/>
  <c r="V126" i="169"/>
  <c r="V117" i="167"/>
  <c r="V118" i="167"/>
  <c r="V119" i="167"/>
  <c r="V120" i="167"/>
  <c r="V121" i="167"/>
  <c r="V122" i="167"/>
  <c r="V123" i="167"/>
  <c r="V124" i="167"/>
  <c r="V125" i="167"/>
  <c r="V126" i="167"/>
  <c r="V127" i="167"/>
  <c r="V128" i="167"/>
  <c r="V129" i="167"/>
  <c r="V130" i="167"/>
  <c r="V131" i="167"/>
  <c r="V132" i="167"/>
  <c r="V133" i="167"/>
  <c r="V134" i="167"/>
  <c r="V135" i="167"/>
  <c r="V136" i="167"/>
  <c r="V137" i="167"/>
  <c r="V138" i="167"/>
  <c r="V139" i="167"/>
  <c r="V140" i="167"/>
  <c r="V141" i="167"/>
  <c r="V142" i="167"/>
  <c r="V143" i="167"/>
  <c r="V144" i="167"/>
  <c r="V145" i="167"/>
  <c r="V146" i="167"/>
  <c r="V147" i="167"/>
  <c r="V148" i="167"/>
  <c r="V149" i="167"/>
  <c r="V150" i="167"/>
  <c r="V151" i="167"/>
  <c r="V152" i="167"/>
  <c r="V153" i="167"/>
  <c r="V154" i="167"/>
  <c r="V155" i="167"/>
  <c r="V156" i="167"/>
  <c r="V157" i="167"/>
  <c r="V158" i="167"/>
  <c r="V116" i="167"/>
  <c r="B23" i="190" l="1"/>
  <c r="B23" i="189"/>
  <c r="B23" i="188"/>
  <c r="B23" i="187"/>
  <c r="B23" i="186"/>
  <c r="B23" i="185"/>
  <c r="B23" i="184"/>
  <c r="B23" i="183"/>
  <c r="B23" i="191"/>
  <c r="B23" i="161"/>
  <c r="B23" i="160"/>
  <c r="B23" i="159"/>
  <c r="B23" i="158"/>
  <c r="B23" i="157"/>
  <c r="B23" i="156"/>
  <c r="B23" i="155"/>
  <c r="B23" i="154"/>
  <c r="B23" i="153"/>
  <c r="B23" i="152"/>
  <c r="B23" i="151"/>
  <c r="B23" i="150"/>
  <c r="B23" i="149"/>
  <c r="B23" i="194"/>
  <c r="B23" i="193"/>
  <c r="B23" i="192"/>
  <c r="B23" i="162"/>
  <c r="B23" i="181"/>
  <c r="B23" i="180"/>
  <c r="B23" i="179"/>
  <c r="B23" i="178"/>
  <c r="B23" i="177"/>
  <c r="B23" i="176"/>
  <c r="B23" i="175"/>
  <c r="B23" i="174"/>
  <c r="B23" i="173"/>
  <c r="B23" i="172"/>
  <c r="B23" i="171"/>
  <c r="B23" i="170"/>
  <c r="B23" i="169"/>
  <c r="B23" i="168"/>
  <c r="B23" i="167"/>
  <c r="B23" i="166"/>
  <c r="B23" i="165"/>
  <c r="B23" i="208"/>
  <c r="B23" i="207"/>
  <c r="B23" i="206"/>
  <c r="B23" i="205"/>
  <c r="B23" i="204"/>
  <c r="B23" i="203"/>
  <c r="B23" i="148"/>
  <c r="B23" i="147"/>
  <c r="B23" i="146"/>
  <c r="B23" i="145"/>
  <c r="B23" i="141"/>
  <c r="B23" i="142"/>
  <c r="B23" i="139"/>
  <c r="B23" i="138"/>
  <c r="B23" i="137"/>
  <c r="B23" i="136"/>
  <c r="B23" i="135"/>
  <c r="B23" i="134"/>
  <c r="B23" i="133"/>
  <c r="B23" i="132"/>
  <c r="B23" i="131"/>
  <c r="B23" i="130"/>
  <c r="B23" i="129"/>
  <c r="B23" i="128"/>
  <c r="B23" i="127"/>
  <c r="B23" i="126"/>
  <c r="B23" i="125"/>
  <c r="B23" i="124"/>
  <c r="B23" i="123"/>
  <c r="B23" i="122"/>
  <c r="B23" i="121"/>
  <c r="B23" i="120"/>
  <c r="B23" i="144"/>
  <c r="B23" i="143"/>
  <c r="B23" i="119"/>
  <c r="B23" i="118"/>
  <c r="B23" i="117"/>
  <c r="B23" i="116"/>
  <c r="B23" i="115"/>
  <c r="B23" i="200"/>
  <c r="B23" i="114"/>
  <c r="B23" i="111"/>
  <c r="B23" i="110"/>
  <c r="B23" i="109"/>
  <c r="B23" i="108"/>
  <c r="B23" i="107"/>
  <c r="B23" i="106"/>
  <c r="B23" i="105"/>
  <c r="B23" i="104"/>
  <c r="B23" i="212"/>
  <c r="B23" i="211"/>
  <c r="B23" i="210"/>
  <c r="B23" i="209"/>
  <c r="B22" i="102"/>
  <c r="B18" i="109" l="1"/>
  <c r="B16" i="194"/>
  <c r="B16" i="193"/>
  <c r="B16" i="192"/>
  <c r="A28" i="212" l="1"/>
  <c r="A29" i="212" s="1"/>
  <c r="A30" i="212" s="1"/>
  <c r="A31" i="212" s="1"/>
  <c r="A32" i="212" s="1"/>
  <c r="A33" i="212" s="1"/>
  <c r="A34" i="212" s="1"/>
  <c r="A35" i="212" s="1"/>
  <c r="A36" i="212" s="1"/>
  <c r="A37" i="212" s="1"/>
  <c r="A38" i="212" s="1"/>
  <c r="A39" i="212" s="1"/>
  <c r="A40" i="212" s="1"/>
  <c r="A41" i="212" s="1"/>
  <c r="A42" i="212" s="1"/>
  <c r="A43" i="212" s="1"/>
  <c r="A44" i="212" s="1"/>
  <c r="A45" i="212" s="1"/>
  <c r="A46" i="212" s="1"/>
  <c r="A47" i="212" s="1"/>
  <c r="A48" i="212" s="1"/>
  <c r="A49" i="212" s="1"/>
  <c r="A50" i="212" s="1"/>
  <c r="A51" i="212" s="1"/>
  <c r="A52" i="212" s="1"/>
  <c r="A53" i="212" s="1"/>
  <c r="A54" i="212" s="1"/>
  <c r="A55" i="212" s="1"/>
  <c r="A56" i="212" s="1"/>
  <c r="A57" i="212" s="1"/>
  <c r="A58" i="212" s="1"/>
  <c r="A59" i="212" s="1"/>
  <c r="A60" i="212" s="1"/>
  <c r="A61" i="212" s="1"/>
  <c r="A62" i="212" s="1"/>
  <c r="A63" i="212" s="1"/>
  <c r="A64" i="212" s="1"/>
  <c r="A65" i="212" s="1"/>
  <c r="A66" i="212" s="1"/>
  <c r="A67" i="212" s="1"/>
  <c r="A68" i="212" s="1"/>
  <c r="A69" i="212" s="1"/>
  <c r="A70" i="212" s="1"/>
  <c r="A71" i="212" s="1"/>
  <c r="A72" i="212" s="1"/>
  <c r="A73" i="212" s="1"/>
  <c r="A74" i="212" s="1"/>
  <c r="A75" i="212" s="1"/>
  <c r="A76" i="212" s="1"/>
  <c r="A77" i="212" s="1"/>
  <c r="A78" i="212" s="1"/>
  <c r="A2" i="212"/>
  <c r="A28" i="211"/>
  <c r="A29" i="211" s="1"/>
  <c r="A30" i="211" s="1"/>
  <c r="A31" i="211" s="1"/>
  <c r="A32" i="211" s="1"/>
  <c r="A33" i="211" s="1"/>
  <c r="A34" i="211" s="1"/>
  <c r="A35" i="211" s="1"/>
  <c r="A36" i="211" s="1"/>
  <c r="A37" i="211" s="1"/>
  <c r="A38" i="211" s="1"/>
  <c r="A39" i="211" s="1"/>
  <c r="A40" i="211" s="1"/>
  <c r="A41" i="211" s="1"/>
  <c r="A42" i="211" s="1"/>
  <c r="A43" i="211" s="1"/>
  <c r="A44" i="211" s="1"/>
  <c r="A45" i="211" s="1"/>
  <c r="A46" i="211" s="1"/>
  <c r="A47" i="211" s="1"/>
  <c r="A48" i="211" s="1"/>
  <c r="A49" i="211" s="1"/>
  <c r="A50" i="211" s="1"/>
  <c r="A51" i="211" s="1"/>
  <c r="A52" i="211" s="1"/>
  <c r="A53" i="211" s="1"/>
  <c r="A54" i="211" s="1"/>
  <c r="A55" i="211" s="1"/>
  <c r="A56" i="211" s="1"/>
  <c r="A57" i="211" s="1"/>
  <c r="A58" i="211" s="1"/>
  <c r="A59" i="211" s="1"/>
  <c r="A60" i="211" s="1"/>
  <c r="A61" i="211" s="1"/>
  <c r="A62" i="211" s="1"/>
  <c r="A63" i="211" s="1"/>
  <c r="A64" i="211" s="1"/>
  <c r="A65" i="211" s="1"/>
  <c r="A66" i="211" s="1"/>
  <c r="A67" i="211" s="1"/>
  <c r="A68" i="211" s="1"/>
  <c r="A69" i="211" s="1"/>
  <c r="A70" i="211" s="1"/>
  <c r="A71" i="211" s="1"/>
  <c r="A72" i="211" s="1"/>
  <c r="A73" i="211" s="1"/>
  <c r="A74" i="211" s="1"/>
  <c r="A75" i="211" s="1"/>
  <c r="A76" i="211" s="1"/>
  <c r="A77" i="211" s="1"/>
  <c r="A78" i="211" s="1"/>
  <c r="A2" i="211"/>
  <c r="A28" i="210"/>
  <c r="A29" i="210" s="1"/>
  <c r="A30" i="210" s="1"/>
  <c r="A31" i="210" s="1"/>
  <c r="A32" i="210" s="1"/>
  <c r="A33" i="210" s="1"/>
  <c r="A34" i="210" s="1"/>
  <c r="A35" i="210" s="1"/>
  <c r="A36" i="210" s="1"/>
  <c r="A37" i="210" s="1"/>
  <c r="A38" i="210" s="1"/>
  <c r="A39" i="210" s="1"/>
  <c r="A40" i="210" s="1"/>
  <c r="A41" i="210" s="1"/>
  <c r="A42" i="210" s="1"/>
  <c r="A43" i="210" s="1"/>
  <c r="A44" i="210" s="1"/>
  <c r="A45" i="210" s="1"/>
  <c r="A46" i="210" s="1"/>
  <c r="A47" i="210" s="1"/>
  <c r="A48" i="210" s="1"/>
  <c r="A49" i="210" s="1"/>
  <c r="A50" i="210" s="1"/>
  <c r="A51" i="210" s="1"/>
  <c r="A52" i="210" s="1"/>
  <c r="A53" i="210" s="1"/>
  <c r="A54" i="210" s="1"/>
  <c r="A55" i="210" s="1"/>
  <c r="A56" i="210" s="1"/>
  <c r="A57" i="210" s="1"/>
  <c r="A58" i="210" s="1"/>
  <c r="A59" i="210" s="1"/>
  <c r="A60" i="210" s="1"/>
  <c r="A61" i="210" s="1"/>
  <c r="A62" i="210" s="1"/>
  <c r="A63" i="210" s="1"/>
  <c r="A64" i="210" s="1"/>
  <c r="A65" i="210" s="1"/>
  <c r="A66" i="210" s="1"/>
  <c r="A67" i="210" s="1"/>
  <c r="A68" i="210" s="1"/>
  <c r="A69" i="210" s="1"/>
  <c r="A70" i="210" s="1"/>
  <c r="A71" i="210" s="1"/>
  <c r="A72" i="210" s="1"/>
  <c r="A73" i="210" s="1"/>
  <c r="A74" i="210" s="1"/>
  <c r="A75" i="210" s="1"/>
  <c r="A76" i="210" s="1"/>
  <c r="A77" i="210" s="1"/>
  <c r="A78" i="210" s="1"/>
  <c r="A2" i="210"/>
  <c r="A28" i="209"/>
  <c r="A29" i="209" s="1"/>
  <c r="A30" i="209" s="1"/>
  <c r="A31" i="209" s="1"/>
  <c r="A32" i="209" s="1"/>
  <c r="A33" i="209" s="1"/>
  <c r="A34" i="209" s="1"/>
  <c r="A35" i="209" s="1"/>
  <c r="A36" i="209" s="1"/>
  <c r="A37" i="209" s="1"/>
  <c r="A38" i="209" s="1"/>
  <c r="A39" i="209" s="1"/>
  <c r="A40" i="209" s="1"/>
  <c r="A41" i="209" s="1"/>
  <c r="A42" i="209" s="1"/>
  <c r="A43" i="209" s="1"/>
  <c r="A44" i="209" s="1"/>
  <c r="A45" i="209" s="1"/>
  <c r="A46" i="209" s="1"/>
  <c r="A47" i="209" s="1"/>
  <c r="A48" i="209" s="1"/>
  <c r="A49" i="209" s="1"/>
  <c r="A50" i="209" s="1"/>
  <c r="A51" i="209" s="1"/>
  <c r="A52" i="209" s="1"/>
  <c r="A53" i="209" s="1"/>
  <c r="A54" i="209" s="1"/>
  <c r="A55" i="209" s="1"/>
  <c r="A56" i="209" s="1"/>
  <c r="A57" i="209" s="1"/>
  <c r="A58" i="209" s="1"/>
  <c r="A59" i="209" s="1"/>
  <c r="A60" i="209" s="1"/>
  <c r="A61" i="209" s="1"/>
  <c r="A62" i="209" s="1"/>
  <c r="A63" i="209" s="1"/>
  <c r="A64" i="209" s="1"/>
  <c r="A65" i="209" s="1"/>
  <c r="A66" i="209" s="1"/>
  <c r="A67" i="209" s="1"/>
  <c r="A68" i="209" s="1"/>
  <c r="A69" i="209" s="1"/>
  <c r="A70" i="209" s="1"/>
  <c r="A71" i="209" s="1"/>
  <c r="A72" i="209" s="1"/>
  <c r="A73" i="209" s="1"/>
  <c r="A74" i="209" s="1"/>
  <c r="A75" i="209" s="1"/>
  <c r="A76" i="209" s="1"/>
  <c r="A77" i="209" s="1"/>
  <c r="A78" i="209" s="1"/>
  <c r="A2" i="209"/>
  <c r="A2" i="208" l="1"/>
  <c r="A2" i="207"/>
  <c r="A2" i="206"/>
  <c r="A2" i="205"/>
  <c r="A2" i="204"/>
  <c r="A2" i="203"/>
  <c r="A2" i="200" l="1"/>
  <c r="A2" i="194" l="1"/>
  <c r="A2" i="193"/>
  <c r="A2" i="192"/>
  <c r="A2" i="191" l="1"/>
  <c r="A2" i="190" l="1"/>
  <c r="A2" i="189"/>
  <c r="A2" i="188"/>
  <c r="A2" i="187"/>
  <c r="A2" i="186"/>
  <c r="A2" i="185"/>
  <c r="A2" i="184"/>
  <c r="A2" i="183"/>
  <c r="A2" i="181" l="1"/>
  <c r="A2" i="180"/>
  <c r="A2" i="179"/>
  <c r="A2" i="178"/>
  <c r="A2" i="177"/>
  <c r="A2" i="176"/>
  <c r="A2" i="175"/>
  <c r="A2" i="174"/>
  <c r="A2" i="173"/>
  <c r="A2" i="172"/>
  <c r="A2" i="171"/>
  <c r="A2" i="170"/>
  <c r="A2" i="169"/>
  <c r="A2" i="168"/>
  <c r="A2" i="167"/>
  <c r="A2" i="166"/>
  <c r="A2" i="165"/>
  <c r="A2" i="162" l="1"/>
  <c r="A2" i="161" l="1"/>
  <c r="A2" i="160"/>
  <c r="A2" i="159"/>
  <c r="A2" i="158"/>
  <c r="A2" i="157"/>
  <c r="A2" i="156"/>
  <c r="A2" i="155"/>
  <c r="A2" i="154"/>
  <c r="A2" i="153"/>
  <c r="A2" i="152"/>
  <c r="A2" i="151"/>
  <c r="A2" i="150"/>
  <c r="A2" i="149"/>
  <c r="A2" i="148" l="1"/>
  <c r="A2" i="147"/>
  <c r="A2" i="146"/>
  <c r="A2" i="145"/>
  <c r="A2" i="144"/>
  <c r="A2" i="143"/>
  <c r="A2" i="142" l="1"/>
  <c r="A2" i="141" l="1"/>
  <c r="A2" i="139"/>
  <c r="A2" i="138"/>
  <c r="A2" i="137"/>
  <c r="A2" i="136"/>
  <c r="A2" i="135"/>
  <c r="A2" i="134"/>
  <c r="A2" i="133"/>
  <c r="A2" i="132"/>
  <c r="A2" i="131"/>
  <c r="A2" i="130"/>
  <c r="A2" i="129"/>
  <c r="A2" i="128"/>
  <c r="A2" i="127"/>
  <c r="A2" i="126"/>
  <c r="A2" i="125"/>
  <c r="A2" i="124"/>
  <c r="A2" i="123"/>
  <c r="A2" i="122"/>
  <c r="A2" i="121"/>
  <c r="A2" i="120"/>
  <c r="A2" i="119" l="1"/>
  <c r="A2" i="118"/>
  <c r="A2" i="117"/>
  <c r="A2" i="116"/>
  <c r="A2" i="115"/>
  <c r="A2" i="114"/>
  <c r="A2" i="111"/>
  <c r="A2" i="110"/>
  <c r="A2" i="109"/>
  <c r="A2" i="108"/>
  <c r="A2" i="107"/>
  <c r="A2" i="106"/>
  <c r="A2" i="105"/>
  <c r="A2" i="104"/>
  <c r="A3" i="102" l="1"/>
  <c r="A4" i="102" l="1"/>
  <c r="A2" i="102"/>
  <c r="A4" i="78" l="1"/>
  <c r="A2" i="78"/>
  <c r="A4" i="77"/>
  <c r="A2" i="77"/>
  <c r="A4" i="56" l="1"/>
  <c r="A2" i="56"/>
  <c r="A2" i="55"/>
  <c r="A4" i="1" l="1"/>
</calcChain>
</file>

<file path=xl/sharedStrings.xml><?xml version="1.0" encoding="utf-8"?>
<sst xmlns="http://schemas.openxmlformats.org/spreadsheetml/2006/main" count="5517" uniqueCount="808">
  <si>
    <t>Government Actuary's Department</t>
  </si>
  <si>
    <t>NHSPS_NI - Consolidated Factor Spreadsheet</t>
  </si>
  <si>
    <t>Cover</t>
  </si>
  <si>
    <t>Specification</t>
  </si>
  <si>
    <t>This spreadsheet contains the suite of factors that are in force for the NHSPS_NI (HSC Pension Scheme).</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</si>
  <si>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</si>
  <si>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</si>
  <si>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</si>
  <si>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</si>
  <si>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</si>
  <si>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</si>
  <si>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Summary - NHSPS_NI</t>
  </si>
  <si>
    <t>This sheet summaries the full suite of factors that are in force and the date when the factors were implemented.</t>
  </si>
  <si>
    <t>Factor List</t>
  </si>
  <si>
    <t xml:space="preserve">This sheet lists the full suite of factors that are in force together with the following information: </t>
  </si>
  <si>
    <t>Assumptions</t>
  </si>
  <si>
    <t>This sheet lists the suite of key assumptions underlying the factors set out in this speadsheet.</t>
  </si>
  <si>
    <t>x-101 and onwards</t>
  </si>
  <si>
    <t>The 100 series factors contain the club transfer factors. Each different type of club transfer factor is set out on a separate sheet starting with sheet x-101, where x relates to the scheme section (if applicable). Male and female factors for the same type of factor are shown on the same sheet.</t>
  </si>
  <si>
    <t>x-201 and onwards</t>
  </si>
  <si>
    <t>The 200 series factors contain the non club transfer factors. Each different type of non club transfer factor is set out on a separate sheet starting with sheet x-201, where x relates to the scheme section (if applicable). Male and female factors for the same type of factor are shown on the same sheet.</t>
  </si>
  <si>
    <t>x-301 and onwards</t>
  </si>
  <si>
    <t>The 300 series factors contain the pension sharing on divorce factors. Each different type of pension sharing on divorce factor is set out on a separate sheet starting with sheet x-301, where x relates to the scheme section (if applicable). Male and female factors for the same type of factor are shown on the same sheet.</t>
  </si>
  <si>
    <t>x-401 and onwards</t>
  </si>
  <si>
    <t>The 400 series factors contain the early of late retirement factors. Each different type of early or late retirement factor is set out on a separate sheet starting with sheet x-401, where x relates to the scheme section (if applicable). Male and female factors for the same type of factor are shown on the same sheet.</t>
  </si>
  <si>
    <t>x-501 and onwards</t>
  </si>
  <si>
    <t>The 500 series factors contain the commutation factors. Each different type of commutation factor is set out on a separate sheet starting with sheet x-501, where x relates to the scheme section (if applicable). Male and female factors for the same type of factor are shown on the same sheet.</t>
  </si>
  <si>
    <t>x-601 and onwards</t>
  </si>
  <si>
    <t>The 600 series factors contain the scheme pays factors. Each different type of scheme pays factor is set out on a separate sheet starting with sheet x-601, where x relates to the scheme section (if applicable). Male and female factors for the same type of factor are shown on the same sheet.</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</si>
  <si>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</si>
  <si>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 Male and female factors for the same type of factor are shown on the same sheet.</t>
  </si>
  <si>
    <t>x-801 and onwards</t>
  </si>
  <si>
    <t>The 800 series factors contain the other scheme specific factors. Each different type of other scheme specific factor is set out on a separate sheet starting with sheet x-801, where x relates to the scheme section (if applicable). Male and female factors for the same type of factor are shown on the same sheet.</t>
  </si>
  <si>
    <t>Purpose of Spreadsheet</t>
  </si>
  <si>
    <t>Purpose of the Department of Health (NI) ("the Department") Consolidated Factor Spreadsheet</t>
  </si>
  <si>
    <t xml:space="preserve">This spreadsheet is provided by GAD at the request of the Department.  Its purpose is to set out in one place for convenience the actuarial factors provided by GAD to the Department from time to time in respect of HSC Pension Scheme (Northern Ireland)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Department of Health (NI) ("the Department")).   
GAD has no liability for any changes made to this spreadsheet whilst being used by Department of Health (NI) ("the Department") or any other third party.
This spreadsheet should not be made available online without the express permission of GAD. 
This spreadsheet is password protected. 
</t>
  </si>
  <si>
    <t>Version Control</t>
  </si>
  <si>
    <t>Version control</t>
  </si>
  <si>
    <t xml:space="preserve">This sheet is intended to assist the Department in understanding which factors have changed and when. </t>
  </si>
  <si>
    <t>Version control on this sheet commences with the 2017/18 factor review (version 2018-1)</t>
  </si>
  <si>
    <t>Version 2018 - 7  (28 April 2020)</t>
  </si>
  <si>
    <t>Provides the following new factor tables:</t>
  </si>
  <si>
    <t>Not applicable.</t>
  </si>
  <si>
    <t>Provides the following revised factors:</t>
  </si>
  <si>
    <t>101-104 (Club transfers), 201-211 (CETV), 212-219 (Transfer-in), 301-307 (Divorce), 401-422 (ERF &amp; LRF), 501-504 (Commutation), 601-606 (Tax factors), 701-719 (Added Pension), 720 (ERRBO), 721-723 (Allocation), 801-813 (Compulsory Early Retirement), 814-815 (FPC) and 816-822 (Abatement).</t>
  </si>
  <si>
    <t>Confirms that the following factor table is no longer required by the Department:</t>
  </si>
  <si>
    <t>Factors still to follow:</t>
  </si>
  <si>
    <t>None.</t>
  </si>
  <si>
    <t>Methodology changes:</t>
  </si>
  <si>
    <t>Date modified:</t>
  </si>
  <si>
    <t>Version 2023-01</t>
  </si>
  <si>
    <t>Provides the following updated factor tables:</t>
  </si>
  <si>
    <t xml:space="preserve">x-201 to x-209, x-301 to x-307, x-601 to x-606
</t>
  </si>
  <si>
    <t>Withdrawn factor tables:</t>
  </si>
  <si>
    <t xml:space="preserve">x-210 to x-211 removed (GMP), x-218 to x-219 removed (GMP)  </t>
  </si>
  <si>
    <t>Date Modified:</t>
  </si>
  <si>
    <t>Version 2023-02</t>
  </si>
  <si>
    <t>x-217
x-401 to x-422</t>
  </si>
  <si>
    <t>x-212 to x-216 removed (final salary transfer in factors)</t>
  </si>
  <si>
    <t>Version 2023-03</t>
  </si>
  <si>
    <t>x-501 to x-504,
x-801 to x-822</t>
  </si>
  <si>
    <t>Version 2023-04</t>
  </si>
  <si>
    <t>x-101 to x-104, x-703 to x-723</t>
  </si>
  <si>
    <t>x-701, x-702 (1995/2008 scheme lump sum AP contributions)</t>
  </si>
  <si>
    <t>Version 2025-01</t>
  </si>
  <si>
    <t>x-308, x-423, x-505, x-218, x-219, x-823</t>
  </si>
  <si>
    <t>Other changes:</t>
  </si>
  <si>
    <t>The key assumptions underlying the factors have been added on a separate tab called "Assumptions".</t>
  </si>
  <si>
    <t>x-605, x-606</t>
  </si>
  <si>
    <t>Removed LTA tables and set to withdrawn</t>
  </si>
  <si>
    <t xml:space="preserve">Summary of Factors </t>
  </si>
  <si>
    <t>x=0</t>
  </si>
  <si>
    <t>x=1</t>
  </si>
  <si>
    <t>NHSPS_EW</t>
  </si>
  <si>
    <t>NHSPS 2015</t>
  </si>
  <si>
    <t>NHSPS</t>
  </si>
  <si>
    <t>100 Series - Club Transfer</t>
  </si>
  <si>
    <t>x-</t>
  </si>
  <si>
    <t>200 Series - Non Club Transfers</t>
  </si>
  <si>
    <t>300 Series - Pension Sharing on divorce</t>
  </si>
  <si>
    <t>400 Series - Early or Late Retirement</t>
  </si>
  <si>
    <t>500 Series - Commutation</t>
  </si>
  <si>
    <t>600 Series - Scheme Pays</t>
  </si>
  <si>
    <t>700 Series - Additional Benefits or Additional Contributions</t>
  </si>
  <si>
    <t>800 Series - Other Scheme Specific</t>
  </si>
  <si>
    <t>DO NOT REMOVE WORKSHEET</t>
  </si>
  <si>
    <t>BaseTablesList</t>
  </si>
  <si>
    <t>ImprovementsList</t>
  </si>
  <si>
    <t>PCFA00</t>
  </si>
  <si>
    <t>CMI2016F-07-1pt5</t>
  </si>
  <si>
    <t>PCMA00</t>
  </si>
  <si>
    <t>CMI2016M-07-1pt5</t>
  </si>
  <si>
    <t>PFA80</t>
  </si>
  <si>
    <t>Long Cohort</t>
  </si>
  <si>
    <t>PFA92</t>
  </si>
  <si>
    <t>Medium Cohort</t>
  </si>
  <si>
    <t>PFA92 - 08</t>
  </si>
  <si>
    <t>PFA80imp</t>
  </si>
  <si>
    <t>PFA92-10</t>
  </si>
  <si>
    <t>PMA80</t>
  </si>
  <si>
    <t>PMA80imp</t>
  </si>
  <si>
    <t>PMA92</t>
  </si>
  <si>
    <t>PMA92 - 08</t>
  </si>
  <si>
    <t>Short Cohort</t>
  </si>
  <si>
    <t>PMA92-10</t>
  </si>
  <si>
    <t>SMPI-2018imp</t>
  </si>
  <si>
    <t>PNFA00</t>
  </si>
  <si>
    <t>UKF2004imp</t>
  </si>
  <si>
    <t>PNFA00-06</t>
  </si>
  <si>
    <t>UKF2006imp</t>
  </si>
  <si>
    <t>PNFA00-08</t>
  </si>
  <si>
    <t>UKF2006imp_HLE</t>
  </si>
  <si>
    <t>PNFA00-10</t>
  </si>
  <si>
    <t>UKF2006imp_LLE</t>
  </si>
  <si>
    <t>PNMA00</t>
  </si>
  <si>
    <t>UKF2008imp</t>
  </si>
  <si>
    <t>PNMA00-06</t>
  </si>
  <si>
    <t>UKF2010imp</t>
  </si>
  <si>
    <t>PNMA00-08</t>
  </si>
  <si>
    <t>UKF2012imp</t>
  </si>
  <si>
    <t>PNMA00-10</t>
  </si>
  <si>
    <t>UKF2014imp</t>
  </si>
  <si>
    <t>S1DFA</t>
  </si>
  <si>
    <t>UKf2016HLEimp</t>
  </si>
  <si>
    <t>S1DFA-06</t>
  </si>
  <si>
    <t>UKF2016imp</t>
  </si>
  <si>
    <t>S1DFA-08</t>
  </si>
  <si>
    <t>UKf2016LLEimp</t>
  </si>
  <si>
    <t>S1DFA-10</t>
  </si>
  <si>
    <t>UKM2004imp</t>
  </si>
  <si>
    <t>S1DFA-12</t>
  </si>
  <si>
    <t>UKM2006imp</t>
  </si>
  <si>
    <t>S1DFA-14</t>
  </si>
  <si>
    <t>UKM2006imp_HLE</t>
  </si>
  <si>
    <t>S1DFA-16</t>
  </si>
  <si>
    <t>UKM2006imp_LLE</t>
  </si>
  <si>
    <t>S1DFA-L</t>
  </si>
  <si>
    <t>UKM2008imp</t>
  </si>
  <si>
    <t>S1DFA-L-06</t>
  </si>
  <si>
    <t>UKM2010imp</t>
  </si>
  <si>
    <t>S1DFA-L-08</t>
  </si>
  <si>
    <t>UKM2012imp</t>
  </si>
  <si>
    <t>S1DFA-L-10</t>
  </si>
  <si>
    <t>UKM2014imp</t>
  </si>
  <si>
    <t>S1DFA-L-12</t>
  </si>
  <si>
    <t>UKm2016HLEimp</t>
  </si>
  <si>
    <t>S1IFA</t>
  </si>
  <si>
    <t>UKM2016imp</t>
  </si>
  <si>
    <t>S1IFA-06</t>
  </si>
  <si>
    <t>UKm2016LLEimp</t>
  </si>
  <si>
    <t>S1IFA-08</t>
  </si>
  <si>
    <t>None</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</si>
  <si>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</si>
  <si>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</si>
  <si>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</si>
  <si>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</si>
  <si>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</si>
  <si>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</si>
  <si>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</si>
  <si>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</si>
  <si>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</si>
  <si>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</si>
  <si>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</si>
  <si>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</si>
  <si>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</si>
  <si>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</si>
  <si>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</si>
  <si>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</si>
  <si>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</si>
  <si>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</si>
  <si>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</si>
  <si>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</si>
  <si>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</si>
  <si>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</si>
  <si>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</si>
  <si>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</si>
  <si>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</si>
  <si>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</si>
  <si>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</si>
  <si>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</si>
  <si>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</si>
  <si>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</si>
  <si>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</si>
  <si>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</si>
  <si>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</si>
  <si>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</si>
  <si>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</si>
  <si>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</si>
  <si>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</si>
  <si>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</si>
  <si>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</si>
  <si>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</si>
  <si>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</si>
  <si>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</si>
  <si>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</si>
  <si>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</si>
  <si>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</si>
  <si>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</si>
  <si>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</si>
  <si>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</si>
  <si>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</si>
  <si>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</si>
  <si>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</si>
  <si>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</si>
  <si>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</si>
  <si>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</si>
  <si>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</si>
  <si>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</si>
  <si>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</si>
  <si>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</si>
  <si>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</si>
  <si>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</si>
  <si>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</si>
  <si>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</si>
  <si>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</si>
  <si>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</si>
  <si>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</si>
  <si>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</si>
  <si>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</si>
  <si>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</si>
  <si>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</si>
  <si>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</si>
  <si>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</si>
  <si>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</si>
  <si>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</si>
  <si>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</si>
  <si>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</si>
  <si>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</si>
  <si>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</si>
  <si>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</si>
  <si>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</si>
  <si>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</si>
  <si>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</si>
  <si>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</si>
  <si>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</si>
  <si>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</si>
  <si>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</si>
  <si>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</si>
  <si>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</si>
  <si>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</si>
  <si>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</si>
  <si>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</si>
  <si>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</si>
  <si>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</si>
  <si>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</si>
  <si>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</si>
  <si>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</si>
  <si>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</si>
  <si>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</si>
  <si>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</si>
  <si>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</si>
  <si>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</si>
  <si>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</si>
  <si>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</si>
  <si>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</si>
  <si>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</si>
  <si>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</si>
  <si>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</si>
  <si>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</si>
  <si>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</si>
  <si>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</si>
  <si>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</si>
  <si>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</si>
  <si>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</si>
  <si>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</si>
  <si>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</si>
  <si>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</si>
  <si>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</si>
  <si>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</si>
  <si>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</si>
  <si>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</si>
  <si>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</si>
  <si>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</si>
  <si>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</si>
  <si>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</si>
  <si>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</si>
  <si>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Data Item</t>
  </si>
  <si>
    <t>Factor Table Information</t>
  </si>
  <si>
    <t>Client</t>
  </si>
  <si>
    <t>Enter the client name eg NHSPS_EW</t>
  </si>
  <si>
    <t>Section</t>
  </si>
  <si>
    <t>Enter the section name eg NHSPS 2015</t>
  </si>
  <si>
    <t>Factor Type</t>
  </si>
  <si>
    <t>Enter the factor type (which should be consistent with the series header types found on the summary sheet (eg early or late retirement)</t>
  </si>
  <si>
    <t>Enter a description of the factor (eg use description from factor table in guidance)</t>
  </si>
  <si>
    <t>Gender</t>
  </si>
  <si>
    <t>Enter either "unisex" or "m and f"</t>
  </si>
  <si>
    <t>Factor Age/Period Definition</t>
  </si>
  <si>
    <t>Enter in age definition</t>
  </si>
  <si>
    <t>Section Number</t>
  </si>
  <si>
    <t>Enter section number (this relates to the number used to identify the scheme section - see top of summary tab for section number)</t>
  </si>
  <si>
    <t>Series Number</t>
  </si>
  <si>
    <t>Enter series number (this reflects the number in the relevant series eg if it’s the first ER/LR factor then it would be "401")</t>
  </si>
  <si>
    <t>Table Reference</t>
  </si>
  <si>
    <t>Enter table number (this is the section number plus the series number so we can identify the section and factor type eg if the section number for NHSPS 2015 was 0 and the factor was the first in the ER/LR factor series then this would be "0-401" entered here.</t>
  </si>
  <si>
    <t>Table Reference in Guidance</t>
  </si>
  <si>
    <t>Enter the table reference from the guidance notes</t>
  </si>
  <si>
    <t>Related Factor Table Reference (where the factor uses the same table as another factor in this spreadsheet)</t>
  </si>
  <si>
    <t>If the factor table on this sheet is the same as another factor in the spreadsheet. Then enter that table reference here eg 0-.201. If this factor table is unique then put "n/a".</t>
  </si>
  <si>
    <t>Date Factors Issued to Client</t>
  </si>
  <si>
    <t>Enter the date the factors are issued to the client</t>
  </si>
  <si>
    <t>Date Factors Implemented (if known)</t>
  </si>
  <si>
    <t xml:space="preserve">Enter the date the factors are implemented </t>
  </si>
  <si>
    <t>Factor Status</t>
  </si>
  <si>
    <t>Enter whether table is inforce, withdrawn, refer to gad etc</t>
  </si>
  <si>
    <t>Copy the relevant factor table and foot notes here. Unisex or male factor table in this grey box.</t>
  </si>
  <si>
    <t>Table Location</t>
  </si>
  <si>
    <t>Section Number (x)</t>
  </si>
  <si>
    <t>Table Reference (Section-Series Number)</t>
  </si>
  <si>
    <t>Assumption Set</t>
  </si>
  <si>
    <t>NHSPS_NI</t>
  </si>
  <si>
    <t xml:space="preserve">Club - CARE Benefit Adjustment Factors </t>
  </si>
  <si>
    <t>Sending scheme: TPS 2015 or PCSPS 2015</t>
  </si>
  <si>
    <t>Male / female factors</t>
  </si>
  <si>
    <t>Age last birthday at guarantee date</t>
  </si>
  <si>
    <t>0-101</t>
  </si>
  <si>
    <t>Table A1</t>
  </si>
  <si>
    <t>Issued</t>
  </si>
  <si>
    <t>2023 factor review set</t>
  </si>
  <si>
    <t>Sending scheme: LGPS 2014</t>
  </si>
  <si>
    <t>0-102</t>
  </si>
  <si>
    <t>Table A2</t>
  </si>
  <si>
    <t>Sending scheme: AFPS 15</t>
  </si>
  <si>
    <t>0-103</t>
  </si>
  <si>
    <t>Table A3</t>
  </si>
  <si>
    <t>Sending scheme: PPS 2015 or FPS 2015</t>
  </si>
  <si>
    <t>0-104</t>
  </si>
  <si>
    <t>Table A4</t>
  </si>
  <si>
    <t>CETV</t>
  </si>
  <si>
    <t>Males Normal pension age 60 -1995 section</t>
  </si>
  <si>
    <t>Male</t>
  </si>
  <si>
    <t>1-201</t>
  </si>
  <si>
    <t>TV1</t>
  </si>
  <si>
    <t>Females Normal pension age 60 -1995 section</t>
  </si>
  <si>
    <t>Female</t>
  </si>
  <si>
    <t>1-202</t>
  </si>
  <si>
    <t>TV2</t>
  </si>
  <si>
    <t>Males Normal pension age 65 - 2008 section</t>
  </si>
  <si>
    <t>2-203</t>
  </si>
  <si>
    <t>TV3</t>
  </si>
  <si>
    <t>Females Normal pension age 65 - 2008 section (up to age 59)</t>
  </si>
  <si>
    <t>2-204A</t>
  </si>
  <si>
    <t>TV4</t>
  </si>
  <si>
    <t>Females Normal pension age 65 - 2008 section (age 60 and above)</t>
  </si>
  <si>
    <t>2-204B</t>
  </si>
  <si>
    <t>Males Normal pension age 55 -1995 section</t>
  </si>
  <si>
    <t>1-205</t>
  </si>
  <si>
    <t>TV5</t>
  </si>
  <si>
    <t>Females Normal pension age 55 -1995 section</t>
  </si>
  <si>
    <t>1-206</t>
  </si>
  <si>
    <t>TV6</t>
  </si>
  <si>
    <t>Males Normal pension age 60 -1995 section (Reserved rights factors)</t>
  </si>
  <si>
    <t>Age last birthday at date of leaving</t>
  </si>
  <si>
    <t>1-207</t>
  </si>
  <si>
    <t>TV7</t>
  </si>
  <si>
    <t>Females Normal pension age 60 -1995 section (Reserved rights factors)</t>
  </si>
  <si>
    <t>1-208</t>
  </si>
  <si>
    <t>TV8</t>
  </si>
  <si>
    <t>Member and dependant CETV factors</t>
  </si>
  <si>
    <t>Unisex</t>
  </si>
  <si>
    <t>Years to PNPA (rounded up)</t>
  </si>
  <si>
    <t>0-209</t>
  </si>
  <si>
    <t>Table TV1</t>
  </si>
  <si>
    <t>HPSS/HSC</t>
  </si>
  <si>
    <t>TV In (non-club)</t>
  </si>
  <si>
    <t>2015 Scheme - Factors to calculate credits for non-Club incoming transfers</t>
  </si>
  <si>
    <t>Age last birthday at relevant date</t>
  </si>
  <si>
    <t>1-217</t>
  </si>
  <si>
    <t>TVINA</t>
  </si>
  <si>
    <t>2015 GMP coverage test table</t>
  </si>
  <si>
    <t>0-215</t>
  </si>
  <si>
    <t>x-216</t>
  </si>
  <si>
    <t>Pensioner CE</t>
  </si>
  <si>
    <t>1995 / 2008 Scheme - Factors to calculate pensioner cash equivalent on divorce - retirement not on grounds of ill health</t>
  </si>
  <si>
    <t>Member's age last birthday at relevant date</t>
  </si>
  <si>
    <t>1-301</t>
  </si>
  <si>
    <t>Table DIV1</t>
  </si>
  <si>
    <t>1995 / 2008 Scheme - Factors to calculate pensioner cash equivalent on divorce - retirement on grounds of ill health</t>
  </si>
  <si>
    <t>1-302</t>
  </si>
  <si>
    <t>Table DIV2</t>
  </si>
  <si>
    <t>1995 / 2008 Scheme - Factor to adjust for supplementary lump sum due at age 55 where pensioners retired from deferred status and are under age 55 at the date of calculation. Factors applicable for males and females (retirement due to ill health and non-ill health)</t>
  </si>
  <si>
    <t>1-303</t>
  </si>
  <si>
    <t>Table DIV4 &amp; DIV5</t>
  </si>
  <si>
    <t>Factors to calculate pensioner cash equivalent on divorce - retirement not on grounds of ill health</t>
  </si>
  <si>
    <t>0-304</t>
  </si>
  <si>
    <t>Factors to calculate pensioner cash equivalent on divorce - retirement on grounds of ill health</t>
  </si>
  <si>
    <t>0-305</t>
  </si>
  <si>
    <t>Pension Credit</t>
  </si>
  <si>
    <t>Factors for the calculation of pension credits - factors to calculate pension credit for ex-spouse where NPA attained</t>
  </si>
  <si>
    <t>Ex-spouse's age last birthday at relevant date</t>
  </si>
  <si>
    <t>1-306</t>
  </si>
  <si>
    <t>Table DIV3</t>
  </si>
  <si>
    <t>Factors for the calculation of pension credits - factors to calculate pension credit for ex spouse</t>
  </si>
  <si>
    <t>0-307</t>
  </si>
  <si>
    <t>1-308</t>
  </si>
  <si>
    <t>ERF60ADJ</t>
  </si>
  <si>
    <t>ERF</t>
  </si>
  <si>
    <t>Voluntary early retirement - members of 1995 section (relative to NPA 60) - pension factors</t>
  </si>
  <si>
    <t>Age (complete years &amp; months)</t>
  </si>
  <si>
    <t>1-401</t>
  </si>
  <si>
    <t>ERF1</t>
  </si>
  <si>
    <t>Voluntary early retirement - members of 1995 or 2008 section (relative to NPA 65) - pension factors</t>
  </si>
  <si>
    <t>1-402</t>
  </si>
  <si>
    <t>ERF2</t>
  </si>
  <si>
    <t>Voluntary early retirement - former members of 1995 section with preserved benefits (relative to NPA 60) - pension factors</t>
  </si>
  <si>
    <t>1-403A</t>
  </si>
  <si>
    <t>ERF3(A)</t>
  </si>
  <si>
    <t>Voluntary early retirement - former members of 1995 section with preserved benefits (relative to NPA 60) - adjustment factors</t>
  </si>
  <si>
    <t>Age</t>
  </si>
  <si>
    <t>1-403B</t>
  </si>
  <si>
    <t>ERF3(B)</t>
  </si>
  <si>
    <t>Voluntary early retirement - former members of 1995 section with preserved added years benefits (relative to NPA 65) - pension factors</t>
  </si>
  <si>
    <t>1-404A</t>
  </si>
  <si>
    <t>ERF4(A)</t>
  </si>
  <si>
    <t>Voluntary early retirement - former members of 1995 section with preserved added years benefits (relative to NPA 65) - adjustment factors</t>
  </si>
  <si>
    <t>1-404B</t>
  </si>
  <si>
    <t>ERF4(B)</t>
  </si>
  <si>
    <t>Voluntary early retirement - members of 1995 section - NPA 60 additional pension contracts exercised before 1 April 2011 - pension factors</t>
  </si>
  <si>
    <t>1-405</t>
  </si>
  <si>
    <t>ERF5</t>
  </si>
  <si>
    <t>Voluntary early retirement - members of 1995 or 2008 section - NPA 65 additional pension contracts exercised before 1 April 2011 - pension factors</t>
  </si>
  <si>
    <t>1-406</t>
  </si>
  <si>
    <t>ERF6</t>
  </si>
  <si>
    <t>Voluntary early retirement - members of 1995 section (relative to NPA 60) - lump sum factors</t>
  </si>
  <si>
    <t>1-407</t>
  </si>
  <si>
    <t>ERF7</t>
  </si>
  <si>
    <t>Voluntary early retirement - members of 1995 section with NPA 65 added year's benefits (relative to NPA 65) - lump sum factors</t>
  </si>
  <si>
    <t>1-408</t>
  </si>
  <si>
    <t>ERF8</t>
  </si>
  <si>
    <t>Voluntary early retirement - former members of 1995 section with preserved benefits (relative to NPA 60) - lump sum factors A</t>
  </si>
  <si>
    <t>1-409A</t>
  </si>
  <si>
    <t>ERF9(A)</t>
  </si>
  <si>
    <t>Voluntary early retirement - former members of 1995 section with preserved benefits (relative to NPA 60) - lump sum factors B</t>
  </si>
  <si>
    <t>1-409B</t>
  </si>
  <si>
    <t>ERF9(B)</t>
  </si>
  <si>
    <t>Voluntary early retirement - former members of 1995 section with preserved added years benefits (relative to NPA 65) - lump sum factors C</t>
  </si>
  <si>
    <t>1-410A</t>
  </si>
  <si>
    <t>ERF10(C)</t>
  </si>
  <si>
    <t>Voluntary early retirement - former members of 1995 section with preserved added years benefits (relative to NPA 65) - lump sum factors D</t>
  </si>
  <si>
    <t>1-410B</t>
  </si>
  <si>
    <t>ERF10(D)</t>
  </si>
  <si>
    <t>Voluntary early retirement - members of 2008 section with a mandatory lump sum (relative to NPA 65) - adjustment factors</t>
  </si>
  <si>
    <t>2-411</t>
  </si>
  <si>
    <t>ERF11</t>
  </si>
  <si>
    <t>Voluntary early retirement - members of 1995 section with NPA 55 added years benefits (relative to NPA 55) - pension factors</t>
  </si>
  <si>
    <t>1-412</t>
  </si>
  <si>
    <t>ERF12</t>
  </si>
  <si>
    <t>Voluntary early retirement - members of 1995 section with NPA 55 added years benefits (relative to NPA 55) - lump sum factors</t>
  </si>
  <si>
    <t>1-413</t>
  </si>
  <si>
    <t>ERF13</t>
  </si>
  <si>
    <t>Voluntary early retirement - former members of 1995 section with preserved added years benefits (relative to NPA 55) - pension factors</t>
  </si>
  <si>
    <t>1-414</t>
  </si>
  <si>
    <t>ERF14</t>
  </si>
  <si>
    <t>Voluntary early retirement - former members of 1995 section with preserved benefits (relative to NPA 55) - lump sum factors E</t>
  </si>
  <si>
    <t>1-415A</t>
  </si>
  <si>
    <t>ERF15(E)</t>
  </si>
  <si>
    <t>Voluntary early retirement - former members of 1995 section with preserved benefits (relative to NPA 55) - lump sum factors F</t>
  </si>
  <si>
    <t>1-415B</t>
  </si>
  <si>
    <t>ERF15(F)</t>
  </si>
  <si>
    <t>LRF</t>
  </si>
  <si>
    <t>Late retirement - members of 2008 section (relative to NPA 65) - pension factors</t>
  </si>
  <si>
    <t>2-416</t>
  </si>
  <si>
    <t>LRF1</t>
  </si>
  <si>
    <t>Late retirement - members of 2008 section - purchansed NPA 65 additional pension contracts exercised before 1 April 2011 - pension factors</t>
  </si>
  <si>
    <t>2-417</t>
  </si>
  <si>
    <t>LRF2</t>
  </si>
  <si>
    <t>Late retirement - members of 2008 section - purchansed NPA 65 additional pension contracts exercised after 1 April 2011 - pension factors</t>
  </si>
  <si>
    <t>2-418</t>
  </si>
  <si>
    <t>LRF3</t>
  </si>
  <si>
    <t>Late retirement - members of 2008 section with a mandatory lump sum (relative to NPA 65) - adjustment factors</t>
  </si>
  <si>
    <t>2-419</t>
  </si>
  <si>
    <t>LRF4</t>
  </si>
  <si>
    <t>Voluntary early retirement - main scheme pension and additional pension - pension factors</t>
  </si>
  <si>
    <t>Time to NPA</t>
  </si>
  <si>
    <t>0-420</t>
  </si>
  <si>
    <t>Late retirement - main scheme pension for members retiring from active status - pension factors</t>
  </si>
  <si>
    <t>Time after NPA</t>
  </si>
  <si>
    <t>0-421</t>
  </si>
  <si>
    <t>Late retirement - additional pension and pension debits for members retiring from active status - pension factors</t>
  </si>
  <si>
    <t>0-422</t>
  </si>
  <si>
    <t>Eligibility for actuarially reduced early retirement – factor for applying to the revalued annual GMP at retirement, which is for use in the GMP test, where GMP data is held.</t>
  </si>
  <si>
    <t>1-423</t>
  </si>
  <si>
    <t>ERF16</t>
  </si>
  <si>
    <t>Triv Comm</t>
  </si>
  <si>
    <t>Trivial Commutation factors</t>
  </si>
  <si>
    <t>1-501</t>
  </si>
  <si>
    <t>TRIV1_HSCPS_1995 Section</t>
  </si>
  <si>
    <t>2-502</t>
  </si>
  <si>
    <t>TRIV2_HSCPS_2008 Section</t>
  </si>
  <si>
    <t>0-503</t>
  </si>
  <si>
    <t>Appendix B</t>
  </si>
  <si>
    <t>Inverse Comm</t>
  </si>
  <si>
    <t>Inverse Commutation Factors</t>
  </si>
  <si>
    <t>1-504</t>
  </si>
  <si>
    <t>INVCOMM1_HSCPS</t>
  </si>
  <si>
    <t>1-505</t>
  </si>
  <si>
    <t>ADD</t>
  </si>
  <si>
    <t>Scheme pays AA</t>
  </si>
  <si>
    <t>Reduction to pension for AA charges - retirement not on grounds of ill health</t>
  </si>
  <si>
    <t>Age last birthday</t>
  </si>
  <si>
    <t>1-601</t>
  </si>
  <si>
    <t>Table SP1</t>
  </si>
  <si>
    <t>Reduction to pension for AA charges - retirement on grounds of ill health</t>
  </si>
  <si>
    <t>1-602</t>
  </si>
  <si>
    <t>Table SP2</t>
  </si>
  <si>
    <t>0-603</t>
  </si>
  <si>
    <t>0-604</t>
  </si>
  <si>
    <t>Scheme pays LTA</t>
  </si>
  <si>
    <t>Factors to calculate reduction to pension for LTA charges</t>
  </si>
  <si>
    <t>0-605</t>
  </si>
  <si>
    <t>Table SP3</t>
  </si>
  <si>
    <t>Withdrawn</t>
  </si>
  <si>
    <t>0-606</t>
  </si>
  <si>
    <t>HSCPS 2015</t>
  </si>
  <si>
    <t>Added pension</t>
  </si>
  <si>
    <t>2015 scheme - Lump sum election, personal and personal and dependant's (single premium £ per £250 AP at date of election)</t>
  </si>
  <si>
    <t>Age when notice of election given</t>
  </si>
  <si>
    <t>0-703</t>
  </si>
  <si>
    <t>Table S</t>
  </si>
  <si>
    <t>1995 / 2008 Scheme - Additional pension - regular contributions elections made after 31.03.2011, personal benefits, NRA 60 (monthly contribution per £250 AP at date of election)</t>
  </si>
  <si>
    <t>Payment period (in years)/Age when notice of election given</t>
  </si>
  <si>
    <t>1-704</t>
  </si>
  <si>
    <t>Table PC60</t>
  </si>
  <si>
    <t>1995 / 2008 Scheme - Additional pension - regular contributions- elections made after 31.3.11, personal and dependant's benefits NRA 60 (monthly contribution per £250 AP at date of election)</t>
  </si>
  <si>
    <t>1-705</t>
  </si>
  <si>
    <t>Table DC60</t>
  </si>
  <si>
    <t>1995 / 2008 Scheme - Additional pension - regular contributions elections made after 31.03.2011, personal benefits, NRA 65 (monthly contribution per £250 AP at date of election)</t>
  </si>
  <si>
    <t>2-706</t>
  </si>
  <si>
    <t>Table PC65</t>
  </si>
  <si>
    <t>1995 / 2008 Scheme - Additional pension - regular contributions- elections made after 31.3.11, personal and dependant's benefits NRA 65 (monthly contribution per £250 AP at date of election)</t>
  </si>
  <si>
    <t>2-707</t>
  </si>
  <si>
    <t>Table DC65</t>
  </si>
  <si>
    <t>1995 / 2008 Scheme - Additional pension - regular contributions elections made on or before 31.03.2011, personal benefits, NRA 60 (monthly contribution per £250 AP at date of election)</t>
  </si>
  <si>
    <t>1-708</t>
  </si>
  <si>
    <t>Table PR60</t>
  </si>
  <si>
    <t>1995 / 2008 Scheme - Additional pension - regular contributions elections made on or before 31.03.2011, personal and dependant's benefits, NRA 60 (monthly contribution per £250 AP at date of election)</t>
  </si>
  <si>
    <t>1-709</t>
  </si>
  <si>
    <t>Table DR60</t>
  </si>
  <si>
    <t>1995 / 2008 Scheme - Additional pension - regular contributions elections made on or before 31.03.2011, personal benefits, NRA 65 (monthly contribution per £250 AP at date of election)</t>
  </si>
  <si>
    <t>2-710</t>
  </si>
  <si>
    <t>Table PR65</t>
  </si>
  <si>
    <t>1995 / 2008 Scheme - Additional pension - regular contributions elections made on or before 31.03.2011, personal and dependant's benefits, NRA 65 (monthly contribution per £250 AP at date of election)</t>
  </si>
  <si>
    <t>2-711</t>
  </si>
  <si>
    <t>Table DR65</t>
  </si>
  <si>
    <t>Regular contribution elections - personal benefits NRA 65 - Monthly contribution (per £250 AP at date of election)</t>
  </si>
  <si>
    <t>0-712</t>
  </si>
  <si>
    <t>Table P65</t>
  </si>
  <si>
    <t>Regular contribution elections - personal benefits NRA 66 - Monthly contribution (per £250 AP at date of election)</t>
  </si>
  <si>
    <t>0-713</t>
  </si>
  <si>
    <t>Table P66</t>
  </si>
  <si>
    <t>Regular contribution elections - personal benefits NRA 67 - Monthly contribution (per £250 AP at date of election)</t>
  </si>
  <si>
    <t>0-714</t>
  </si>
  <si>
    <t>Table P67</t>
  </si>
  <si>
    <t>Regular contribution elections - personal benefits NRA 68 - Monthly contribution (per £250 AP at date of election)</t>
  </si>
  <si>
    <t>0-715</t>
  </si>
  <si>
    <t>Table P68</t>
  </si>
  <si>
    <t>Regular contribution elections - personal  and dependant's  benefits NRA 65 - Monthly contribution (per £250 AP at date of election)</t>
  </si>
  <si>
    <t>0-716</t>
  </si>
  <si>
    <t>Table D65</t>
  </si>
  <si>
    <t>Regular contribution elections - personal  and dependant's  benefits NRA 66 - Monthly contribution (per £250 AP at date of election)</t>
  </si>
  <si>
    <t>0-717</t>
  </si>
  <si>
    <t>Table D66</t>
  </si>
  <si>
    <t>Regular contribution elections - personal  and dependant's  benefits NRA 67 - Monthly contribution (per £250 AP at date of election)</t>
  </si>
  <si>
    <t>0-718</t>
  </si>
  <si>
    <t>Table D67</t>
  </si>
  <si>
    <t>Regular contribution elections - personal  and dependant's  benefits NRA 68 - Monthly contribution (per £250 AP at date of election)</t>
  </si>
  <si>
    <t>0-719</t>
  </si>
  <si>
    <t>Table D68</t>
  </si>
  <si>
    <t>Early retirement reduction buy out</t>
  </si>
  <si>
    <t>Factors for determining ERRBO contributions</t>
  </si>
  <si>
    <t>Complete years at previous 31 March</t>
  </si>
  <si>
    <t>0-720</t>
  </si>
  <si>
    <t>Table in Appendix B</t>
  </si>
  <si>
    <t>Allocation</t>
  </si>
  <si>
    <t>1995 / 2008 Scheme - Additional benefits payable to the dependant per £1 pension allocated by the member</t>
  </si>
  <si>
    <t>Age: Member / Dependant</t>
  </si>
  <si>
    <t>1-721</t>
  </si>
  <si>
    <t>1-722</t>
  </si>
  <si>
    <t>Additional benefits payable to dependant per £1 pension allocated by the member</t>
  </si>
  <si>
    <t>0-723</t>
  </si>
  <si>
    <t>HSCPS - 1995</t>
  </si>
  <si>
    <t>Employer cost for a member with NPA 55 leaving on compulsory early retirement for pension payments up to age 55</t>
  </si>
  <si>
    <t>Age in complete years and months</t>
  </si>
  <si>
    <t>0-801</t>
  </si>
  <si>
    <t>Table CER1</t>
  </si>
  <si>
    <t>Employer cost for a member with NPA 55 leaving on compulsory early retirement for enhancement payments after age 55</t>
  </si>
  <si>
    <t>0-802</t>
  </si>
  <si>
    <t>Table CER2</t>
  </si>
  <si>
    <t>Employer cost for a member with NPA 55 leaving on compulsory early retirement for early payment of lump sum</t>
  </si>
  <si>
    <t>Period to NPA: Age/Months</t>
  </si>
  <si>
    <t>0-803</t>
  </si>
  <si>
    <t>Table CER3</t>
  </si>
  <si>
    <t>Employer cost for a member with NPA 60 leaving on compulsory early retirement for pension payments up to age 60</t>
  </si>
  <si>
    <t>0-804</t>
  </si>
  <si>
    <t>Table CER4</t>
  </si>
  <si>
    <t>Employer cost for a member with NPA 60 leaving on compulsory early retirement for enhancement payments after age 60</t>
  </si>
  <si>
    <t>0-805</t>
  </si>
  <si>
    <t>Table CER5</t>
  </si>
  <si>
    <t>Employer cost for a member with NPA 60 leaving on compulsory early retirement for early payment of lump sum</t>
  </si>
  <si>
    <t>0-806</t>
  </si>
  <si>
    <t>Table CER6</t>
  </si>
  <si>
    <t>HSCPS - 2008</t>
  </si>
  <si>
    <t>Employer cost for a member with NPA 65 leaving on compulsory early retirement for pension payments up to age 65</t>
  </si>
  <si>
    <t>0-807</t>
  </si>
  <si>
    <t>Table CER7</t>
  </si>
  <si>
    <t>Employer cost for a member with NPA 65 leaving on compulsory early retirement for early payment of mandatory lump sum</t>
  </si>
  <si>
    <t>0-808</t>
  </si>
  <si>
    <t>Table CER8</t>
  </si>
  <si>
    <t>Employer cost for a member with NPA 55 leaving on compulsory early retirement for members with deferred PI</t>
  </si>
  <si>
    <t>0-809</t>
  </si>
  <si>
    <t>Table CER9</t>
  </si>
  <si>
    <t>Employer cost for a member with NPA 60 leaving on compulsory early retirement for members retiring before age 55 with deferred PI - Pension Factors</t>
  </si>
  <si>
    <t>0-810A</t>
  </si>
  <si>
    <t>Table CER10</t>
  </si>
  <si>
    <t>Employer cost for a member with NPA 60 leaving on compulsory early retirement for members retiring before age 55 with deferred PI - Lump Sum Factors</t>
  </si>
  <si>
    <t>0-810B</t>
  </si>
  <si>
    <t>Employer cost for a member with NPA 55 leaving on compulsory early retirement for members retiring before age 55 with at least one dependent child</t>
  </si>
  <si>
    <t>0-811</t>
  </si>
  <si>
    <t>Table CER11</t>
  </si>
  <si>
    <t>Employer cost for a member with NPA 60 leaving on compulsory early retirement for members retiring before age 55 with at least one dependent child</t>
  </si>
  <si>
    <t>0-812</t>
  </si>
  <si>
    <t>Table CER12</t>
  </si>
  <si>
    <t>HSCPS - 2015</t>
  </si>
  <si>
    <t>Cost for a member leaving on compulsory early retirement - main scheme pension</t>
  </si>
  <si>
    <t>0-813</t>
  </si>
  <si>
    <t>Final Pay</t>
  </si>
  <si>
    <t>Final Pay control factors applicable to members retiring with an immediate pension</t>
  </si>
  <si>
    <t>1-814</t>
  </si>
  <si>
    <t>Table B1</t>
  </si>
  <si>
    <t>Final Pay control factors applicable to members transferring out benefits</t>
  </si>
  <si>
    <t>1-815</t>
  </si>
  <si>
    <t>Table B2</t>
  </si>
  <si>
    <t>Abatement</t>
  </si>
  <si>
    <t xml:space="preserve">1995 / 2008 Scheme - NHS Pension Scheme (NI): Actuarial Factors - Factors for use in abatement cases - Members of 1995 section (relative to pension age of 60) </t>
  </si>
  <si>
    <t>Age (completed years &amp; months)</t>
  </si>
  <si>
    <t>1-816</t>
  </si>
  <si>
    <t>Table AB1</t>
  </si>
  <si>
    <t>1995 / 2008 Scheme - NHS Pension Scheme (NI): Actuarial Factors - Factors for use in abatement cases - Members of 2008 section (relative to pension age of 65)</t>
  </si>
  <si>
    <t>1-817</t>
  </si>
  <si>
    <t>Table AB2</t>
  </si>
  <si>
    <t>1995 / 2008 Scheme - NHS Pension Scheme (NI): Actuarial Factors - Factors for use in abatement cases - Members of 1995 section – NPA 60 additional pension contracts exercised before 1 April 2011</t>
  </si>
  <si>
    <t>1-818</t>
  </si>
  <si>
    <t>Table AB3</t>
  </si>
  <si>
    <t>1995 / 2008 Scheme - NHS Pension Scheme (NI): Actuarial Factors - Factors for use in abatement cases - Members of 1995 or 2008 section – NPA 65 additional pension contracts exercised before 1 April 2011</t>
  </si>
  <si>
    <t>1-819</t>
  </si>
  <si>
    <t>Table AB4</t>
  </si>
  <si>
    <t xml:space="preserve">1995 / 2008 Scheme - NHS Pension Scheme (NI): Actuarial Factors - Factors for use in abatement cases - Members of 1995 section with NPA 55 added years’ benefits </t>
  </si>
  <si>
    <t>1-820</t>
  </si>
  <si>
    <t>Table AB5</t>
  </si>
  <si>
    <t>1995 / 2008 Scheme - NHS Pension Scheme (NI): Actuarial Factors - Factors for use in abatement cases - Members of 2008 section with mandatory lump sum (relative to pension age of 65)</t>
  </si>
  <si>
    <t>1-821</t>
  </si>
  <si>
    <t>Table AB6</t>
  </si>
  <si>
    <t>NHSPS 2015 (NI): Actuarial Factors - Factors for use in abatement cases</t>
  </si>
  <si>
    <t>0-822</t>
  </si>
  <si>
    <t>1995 / 2008 Scheme - NHS Pension Scheme (NI): Actuarial Factors - Factors for use in abatement cases - calculation of earned pension</t>
  </si>
  <si>
    <t>1-823</t>
  </si>
  <si>
    <t>NHS95 AY</t>
  </si>
  <si>
    <t>Assumptions underlying factors (Note 1 &amp; 2)</t>
  </si>
  <si>
    <t>Financial assumptions</t>
  </si>
  <si>
    <t>Nominal discount rate p.a.</t>
  </si>
  <si>
    <t>Consumer Price Indexation (CPI) p.a.</t>
  </si>
  <si>
    <t>Retail Price Indexation (RPI) - pre 2030 p.a. (Note 3)</t>
  </si>
  <si>
    <t>Retail Price Indexation (RPI) - post 2030 p.a. (Note 3)</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</si>
  <si>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</si>
  <si>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</si>
  <si>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</si>
  <si>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</si>
  <si>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</si>
  <si>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</si>
  <si>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</si>
  <si>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</si>
  <si>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</si>
  <si>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</si>
  <si>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</si>
  <si>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91% of S3NMA</t>
  </si>
  <si>
    <t>Normal health pensioner - female</t>
  </si>
  <si>
    <t xml:space="preserve">103% of S3NFA </t>
  </si>
  <si>
    <t>Ill health pensioner - male</t>
  </si>
  <si>
    <t>134% of S3IMA</t>
  </si>
  <si>
    <t>Ill health pensioner - female</t>
  </si>
  <si>
    <t xml:space="preserve">134% of S3IFA </t>
  </si>
  <si>
    <t>Dependant - male</t>
  </si>
  <si>
    <t xml:space="preserve">82% of S3DMA </t>
  </si>
  <si>
    <t>Dependant - female</t>
  </si>
  <si>
    <t xml:space="preserve">89% of S3DFA </t>
  </si>
  <si>
    <t>Future mortality improvement tables</t>
  </si>
  <si>
    <t>ONS 2020 principal UK population projections.</t>
  </si>
  <si>
    <t>Year of use</t>
  </si>
  <si>
    <t>2024 for most factors.
For factors intended to set a member contribution rate that is payable for the duration of a contract, we select a year of use that reflects the cohort of members we could use those factors.</t>
  </si>
  <si>
    <t>Age adjustments</t>
  </si>
  <si>
    <t>-5 year age rating applied to beneficiaries for allocation factors</t>
  </si>
  <si>
    <t>Other demographic assumptions</t>
  </si>
  <si>
    <t>Proportion of male members for unisex factors</t>
  </si>
  <si>
    <t>Proportion of male dependants for unisex factors</t>
  </si>
  <si>
    <t>Age difference between member and spouse/dependant/partner, where member is male</t>
  </si>
  <si>
    <t>3 years older than partner.</t>
  </si>
  <si>
    <t>Age difference between member and spouse/dependant/partner, where member is female</t>
  </si>
  <si>
    <t>3 years younger than partner.</t>
  </si>
  <si>
    <t>Proportion married or partnered</t>
  </si>
  <si>
    <t>Generally in line with proposed 2020 valuation assumptions (Note 4).
100% for options where the member can purchase additional dependant benefits.</t>
  </si>
  <si>
    <t>Allowance for commutation</t>
  </si>
  <si>
    <t>Nil, except for mandatory lump sums.</t>
  </si>
  <si>
    <t>Expense loading</t>
  </si>
  <si>
    <t>Allowance for short-term dependants pension</t>
  </si>
  <si>
    <t>Normal pension age in the 2015 scheme</t>
  </si>
  <si>
    <t>In line with DOF valuation directions.</t>
  </si>
  <si>
    <t>Rates of ill health retirement</t>
  </si>
  <si>
    <t>In line with proposed 2020 valuation assumptions (Note 4).</t>
  </si>
  <si>
    <t>Ill health benefit enhancements</t>
  </si>
  <si>
    <t>Mortality before retirement</t>
  </si>
  <si>
    <t>Rates of leaving service</t>
  </si>
  <si>
    <t>Retirement ages</t>
  </si>
  <si>
    <t>All retirements take place at normal pension age.</t>
  </si>
  <si>
    <t>Salary scales</t>
  </si>
  <si>
    <t>Guarantee periods</t>
  </si>
  <si>
    <t>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t>
  </si>
  <si>
    <t>Notes to the assumptions</t>
  </si>
  <si>
    <t>1. Advice underlying these assumptions</t>
  </si>
  <si>
    <t>Assumptions bulletin to the Department of Health (NI) dated 31 March 2023.</t>
  </si>
  <si>
    <t xml:space="preserve">2. Assumption summary </t>
  </si>
  <si>
    <t>The above assumptions were provided in the note dated 3 October 2023.</t>
  </si>
  <si>
    <t>3. CPI/RPI assumption</t>
  </si>
  <si>
    <t>The RPI assumption is only applicable for those factors that have increases/revaluation based on RPI.</t>
  </si>
  <si>
    <t>4. 2020 valuation assumptions</t>
  </si>
  <si>
    <t>The 2020 valuation assumption report dated 26 October 2023.</t>
  </si>
  <si>
    <t>Related Factor Table Guidance</t>
  </si>
  <si>
    <t>Male / female factor</t>
  </si>
  <si>
    <t>26 May 2023</t>
  </si>
  <si>
    <t>Pension Factor (Factor A)</t>
  </si>
  <si>
    <t>Lump Sum Factor (Factor B)</t>
  </si>
  <si>
    <t>Surviving Partner's Pension Factor (Factor C)</t>
  </si>
  <si>
    <t>Pension factor (Factor A)</t>
  </si>
  <si>
    <t>Lump sum factor (choice optants only) (Factor B)</t>
  </si>
  <si>
    <t>Surviving partner's pension factor (Factor C)</t>
  </si>
  <si>
    <t>Deduction for NI modification (Factor E)</t>
  </si>
  <si>
    <t>Deduction for NI modification (Factor †F)</t>
  </si>
  <si>
    <t>Deduction for NI Modification (Factor E)</t>
  </si>
  <si>
    <t>Deduction for NI Modification (Factor B)</t>
  </si>
  <si>
    <t>Lump Sum Factor (Factor C)</t>
  </si>
  <si>
    <t>Widow's Pension (Factor D)</t>
  </si>
  <si>
    <t>Years Early</t>
  </si>
  <si>
    <t>Surviving Partner's Pension Factor (Factor B)</t>
  </si>
  <si>
    <t>Member's age next birthday at calculation date (complete years)</t>
  </si>
  <si>
    <t>Appropriate factor</t>
  </si>
  <si>
    <t>29 or under</t>
  </si>
  <si>
    <t>30-39</t>
  </si>
  <si>
    <t>40-49</t>
  </si>
  <si>
    <t>50s or over</t>
  </si>
  <si>
    <t>Gross pension of £1 pa (Factor A)</t>
  </si>
  <si>
    <t>Surviving partner's pension of £1 pa (Factor B)</t>
  </si>
  <si>
    <t>Deduction for GMP of £1 pa (Factor C) - Males</t>
  </si>
  <si>
    <t>Deduction for GMP of £1 pa (Factor C) - Females</t>
  </si>
  <si>
    <t>Deduction for NI Modification of £1 pa (Factor D) - Males</t>
  </si>
  <si>
    <t>Deduction for NI modification of £1 pa (Factor D) - Females</t>
  </si>
  <si>
    <t>DIV 4 Adjustment A factor for lump sum supplement at age 55</t>
  </si>
  <si>
    <t>DIV 5 Adjustment B factor for lump sum supplement at age 55</t>
  </si>
  <si>
    <t>1995 Section - Gross pension of £1 pa (Factor A)</t>
  </si>
  <si>
    <t>1995 &amp; 2008 Section - Lump sum of £1 pa (Factor B)</t>
  </si>
  <si>
    <t>2008 Section - Gross pension of £1 pa (Factor C)</t>
  </si>
  <si>
    <t>Gross pension of £1 pa</t>
  </si>
  <si>
    <t>The ERF60ADJ is the NPA 60 adjustment factor for 1995 Section members.</t>
  </si>
  <si>
    <t>Factor</t>
  </si>
  <si>
    <t>Value</t>
  </si>
  <si>
    <t>Age/Months</t>
  </si>
  <si>
    <t>Pension</t>
  </si>
  <si>
    <t>Years/Months Early</t>
  </si>
  <si>
    <t>Years/Months Late</t>
  </si>
  <si>
    <t>ERF16 is the percentage adjustment that is applied to the annual revalued GMP at retirement, from the date of retirement for each complete year to GMP payment age</t>
  </si>
  <si>
    <t>Former contributing member</t>
  </si>
  <si>
    <t>Dependant</t>
  </si>
  <si>
    <t>N/a</t>
  </si>
  <si>
    <t>Addition is the percentage adjustment that is applied to the annual revalued GMP at retirement, from the date of retirement for each complete year to GMP payment age</t>
  </si>
  <si>
    <t>Addition</t>
  </si>
  <si>
    <t>1995 Section</t>
  </si>
  <si>
    <t>2008 Section</t>
  </si>
  <si>
    <t>2015 Section</t>
  </si>
  <si>
    <t>Personal</t>
  </si>
  <si>
    <t>Personal and dependant’s</t>
  </si>
  <si>
    <t>Payment period 1 year</t>
  </si>
  <si>
    <t>Payment period 2 years</t>
  </si>
  <si>
    <t>Payment period 3 years</t>
  </si>
  <si>
    <t>Payment period 4 years</t>
  </si>
  <si>
    <t>Payment period 5 years</t>
  </si>
  <si>
    <t>Payment period 6 years</t>
  </si>
  <si>
    <t>Payment period 7 years</t>
  </si>
  <si>
    <t>Payment period 8 years</t>
  </si>
  <si>
    <t>Payment period 9 years</t>
  </si>
  <si>
    <t>Payment period 10 years</t>
  </si>
  <si>
    <t>Payment period 11 years</t>
  </si>
  <si>
    <t>Payment period 12 years</t>
  </si>
  <si>
    <t>Payment period 13 years</t>
  </si>
  <si>
    <t>Payment period 14 years</t>
  </si>
  <si>
    <t>Payment period 15 years</t>
  </si>
  <si>
    <t>Payment period 16 years</t>
  </si>
  <si>
    <t>Payment period 17 years</t>
  </si>
  <si>
    <t>Payment period 18 years</t>
  </si>
  <si>
    <t>Payment period 19 years</t>
  </si>
  <si>
    <t>Payment period 20 years</t>
  </si>
  <si>
    <t>Contribution rate (% of pay) to secure RRA for service after commencement of ERRBO contributions equal to - NPA-1</t>
  </si>
  <si>
    <t>Contribution rate (% of pay) to secure RRA for service after commencement of ERRBO contributions equal to - NPA-2</t>
  </si>
  <si>
    <t>Contribution rate (% of pay) to secure RRA for service after commencement of ERRBO contributions equal to - NPA-3</t>
  </si>
  <si>
    <t>99+</t>
  </si>
  <si>
    <t>Pension Factors</t>
  </si>
  <si>
    <t>Lump Sum Factor</t>
  </si>
  <si>
    <t>NPA</t>
  </si>
  <si>
    <t>NHSPS 1995_2008</t>
  </si>
  <si>
    <t>1995_ 2008 GMP coverage test table</t>
  </si>
  <si>
    <t>x-217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</si>
</sst>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F800]dddd\,\ mmmm\ dd\,\ yyyy"/>
    <numFmt numFmtId="166" formatCode="#,###"/>
    <numFmt numFmtId="167" formatCode="0.0000"/>
    <numFmt numFmtId="168" formatCode="0.000%"/>
  </numFmts>
  <fonts count="27"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b/>
      <sz val="12"/>
      <color rgb="FF000000"/>
      <name val="Arial"/>
      <family val="2"/>
    </font>
    <font>
      <sz val="11"/>
      <name val="Calibri"/>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0"/>
      <color theme="2" tint="-0.499984740745262"/>
      <name val="Arial"/>
      <family val="2"/>
    </font>
    <font>
      <sz val="10"/>
      <color theme="2" tint="-0.499984740745262"/>
      <name val="Arial"/>
      <family val="2"/>
    </font>
    <font>
      <u/>
      <sz val="10"/>
      <color rgb="FF0563C1"/>
      <name val="Arial"/>
      <family val="2"/>
    </font>
    <font>
      <sz val="12"/>
      <color rgb="FF000000"/>
      <name val="Arial"/>
      <family val="2"/>
    </font>
    <font>
      <sz val="12"/>
      <name val="Arial"/>
      <family val="2"/>
    </font>
    <font>
      <sz val="10"/>
      <name val="Arial"/>
      <family val="2"/>
    </font>
  </fonts>
  <fills count="14">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4"/>
        <bgColor indexed="64"/>
      </patternFill>
    </fill>
    <fill>
      <patternFill patternType="solid">
        <fgColor rgb="FF5B9BD5"/>
        <bgColor rgb="FF000000"/>
      </patternFill>
    </fill>
    <fill>
      <patternFill patternType="solid">
        <fgColor rgb="FFF7F7F7"/>
        <bgColor rgb="FF000000"/>
      </patternFill>
    </fill>
    <fill>
      <patternFill patternType="solid">
        <fgColor rgb="FFD9D9D9"/>
        <bgColor rgb="FF000000"/>
      </patternFill>
    </fill>
    <fill>
      <patternFill patternType="solid">
        <fgColor rgb="FFEDEDED"/>
        <bgColor rgb="FF000000"/>
      </patternFill>
    </fill>
    <fill>
      <patternFill patternType="solid">
        <fgColor rgb="FFE3E3E3"/>
        <bgColor rgb="FF000000"/>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5">
    <xf numFmtId="0" fontId="0" fillId="0" borderId="0"/>
    <xf numFmtId="0" fontId="1" fillId="0" borderId="0"/>
    <xf numFmtId="0" fontId="2" fillId="0" borderId="0"/>
    <xf numFmtId="0" fontId="17" fillId="0" borderId="0" applyNumberFormat="0" applyFill="0" applyBorder="0" applyAlignment="0" applyProtection="0"/>
    <xf numFmtId="9" fontId="26" fillId="0" borderId="0" applyFont="0" applyFill="0" applyBorder="0" applyAlignment="0" applyProtection="0"/>
  </cellStyleXfs>
  <cellXfs count="182">
    <xf numFmtId="0" fontId="0" fillId="0" borderId="0" xfId="0"/>
    <xf numFmtId="0" fontId="2" fillId="0" borderId="0" xfId="0" applyFont="1" applyAlignment="1">
      <alignment vertical="top" wrapText="1"/>
    </xf>
    <xf numFmtId="0" fontId="0" fillId="0" borderId="0" xfId="0" applyAlignment="1">
      <alignment vertical="top"/>
    </xf>
    <xf numFmtId="0" fontId="5" fillId="2" borderId="1" xfId="0" applyFont="1" applyFill="1" applyBorder="1"/>
    <xf numFmtId="0" fontId="6" fillId="3" borderId="2" xfId="0" applyFont="1" applyFill="1" applyBorder="1"/>
    <xf numFmtId="0" fontId="7" fillId="3" borderId="0" xfId="0" applyFont="1" applyFill="1"/>
    <xf numFmtId="0" fontId="3" fillId="0" borderId="0" xfId="0" applyFont="1"/>
    <xf numFmtId="14" fontId="0" fillId="0" borderId="0" xfId="0" applyNumberFormat="1"/>
    <xf numFmtId="0" fontId="0" fillId="3" borderId="0" xfId="0" applyFill="1"/>
    <xf numFmtId="0" fontId="0" fillId="2" borderId="1" xfId="0" applyFill="1" applyBorder="1"/>
    <xf numFmtId="0" fontId="6"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2" fillId="0" borderId="11" xfId="0" applyFont="1" applyBorder="1" applyAlignment="1">
      <alignment horizontal="center"/>
    </xf>
    <xf numFmtId="0" fontId="2" fillId="0" borderId="8" xfId="0" applyFont="1" applyBorder="1" applyAlignment="1">
      <alignment horizontal="center"/>
    </xf>
    <xf numFmtId="0" fontId="0" fillId="0" borderId="0" xfId="0" applyAlignment="1">
      <alignment wrapText="1"/>
    </xf>
    <xf numFmtId="0" fontId="2" fillId="0" borderId="0" xfId="2"/>
    <xf numFmtId="0" fontId="0" fillId="0" borderId="11" xfId="0" applyBorder="1"/>
    <xf numFmtId="0" fontId="0" fillId="0" borderId="14" xfId="0" applyBorder="1"/>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left"/>
    </xf>
    <xf numFmtId="0" fontId="4" fillId="0" borderId="11" xfId="0" applyFont="1" applyBorder="1" applyAlignment="1">
      <alignment horizontal="left"/>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5" fillId="2" borderId="1" xfId="2" applyFont="1" applyFill="1" applyBorder="1"/>
    <xf numFmtId="0" fontId="2" fillId="2" borderId="1" xfId="2" applyFill="1" applyBorder="1"/>
    <xf numFmtId="0" fontId="6" fillId="3" borderId="2" xfId="2" applyFont="1" applyFill="1" applyBorder="1"/>
    <xf numFmtId="0" fontId="2" fillId="3" borderId="0" xfId="2" applyFill="1"/>
    <xf numFmtId="0" fontId="7" fillId="3" borderId="0" xfId="2" applyFont="1" applyFill="1"/>
    <xf numFmtId="0" fontId="3" fillId="0" borderId="0" xfId="2" applyFont="1"/>
    <xf numFmtId="0" fontId="4" fillId="4" borderId="15" xfId="2" applyFont="1" applyFill="1" applyBorder="1" applyAlignment="1">
      <alignment vertical="top"/>
    </xf>
    <xf numFmtId="0" fontId="4" fillId="4" borderId="15" xfId="2" applyFont="1" applyFill="1" applyBorder="1" applyAlignment="1">
      <alignment vertical="top" wrapText="1"/>
    </xf>
    <xf numFmtId="0" fontId="2" fillId="4" borderId="15" xfId="2" applyFill="1" applyBorder="1" applyAlignment="1">
      <alignment horizontal="left" vertical="top"/>
    </xf>
    <xf numFmtId="0" fontId="10" fillId="4" borderId="6" xfId="2" applyFont="1" applyFill="1" applyBorder="1" applyAlignment="1">
      <alignment vertical="top" wrapText="1"/>
    </xf>
    <xf numFmtId="0" fontId="10" fillId="4" borderId="6" xfId="2" applyFont="1" applyFill="1" applyBorder="1" applyAlignment="1">
      <alignment horizontal="left" vertical="top" wrapText="1"/>
    </xf>
    <xf numFmtId="0" fontId="10" fillId="4" borderId="15" xfId="2" applyFont="1" applyFill="1" applyBorder="1" applyAlignment="1">
      <alignment vertical="top" wrapText="1"/>
    </xf>
    <xf numFmtId="0" fontId="2" fillId="4" borderId="4" xfId="2" applyFill="1" applyBorder="1" applyAlignment="1">
      <alignment horizontal="left" vertical="top"/>
    </xf>
    <xf numFmtId="0" fontId="10" fillId="4" borderId="15" xfId="2" applyFont="1" applyFill="1" applyBorder="1" applyAlignment="1">
      <alignment horizontal="left" vertical="top" wrapText="1"/>
    </xf>
    <xf numFmtId="0" fontId="2" fillId="4" borderId="15" xfId="2" applyFill="1" applyBorder="1" applyAlignment="1">
      <alignment horizontal="left" vertical="top" wrapText="1"/>
    </xf>
    <xf numFmtId="0" fontId="2" fillId="4" borderId="4" xfId="2" applyFill="1" applyBorder="1" applyAlignment="1">
      <alignment horizontal="left" vertical="top" wrapText="1"/>
    </xf>
    <xf numFmtId="14" fontId="10" fillId="4" borderId="15" xfId="2" applyNumberFormat="1" applyFont="1" applyFill="1" applyBorder="1" applyAlignment="1">
      <alignment horizontal="left" vertical="top" wrapText="1"/>
    </xf>
    <xf numFmtId="0" fontId="11" fillId="4" borderId="8" xfId="2" applyFont="1" applyFill="1" applyBorder="1"/>
    <xf numFmtId="0" fontId="11" fillId="4" borderId="10" xfId="2" applyFont="1" applyFill="1" applyBorder="1"/>
    <xf numFmtId="0" fontId="11" fillId="4" borderId="11" xfId="2" applyFont="1" applyFill="1" applyBorder="1"/>
    <xf numFmtId="0" fontId="11" fillId="4" borderId="12" xfId="2" applyFont="1" applyFill="1" applyBorder="1"/>
    <xf numFmtId="0" fontId="11" fillId="4" borderId="11" xfId="2" applyFont="1" applyFill="1" applyBorder="1" applyAlignment="1">
      <alignment horizontal="left"/>
    </xf>
    <xf numFmtId="0" fontId="11" fillId="4" borderId="12" xfId="2" applyFont="1" applyFill="1" applyBorder="1" applyAlignment="1">
      <alignment horizontal="left"/>
    </xf>
    <xf numFmtId="0" fontId="10" fillId="4" borderId="11" xfId="2" applyFont="1" applyFill="1" applyBorder="1"/>
    <xf numFmtId="0" fontId="10" fillId="4" borderId="12" xfId="2" applyFont="1" applyFill="1" applyBorder="1"/>
    <xf numFmtId="164" fontId="12" fillId="4" borderId="11" xfId="2" applyNumberFormat="1" applyFont="1" applyFill="1" applyBorder="1" applyAlignment="1">
      <alignment horizontal="right"/>
    </xf>
    <xf numFmtId="164" fontId="12" fillId="4" borderId="12" xfId="2" applyNumberFormat="1" applyFont="1" applyFill="1" applyBorder="1" applyAlignment="1">
      <alignment horizontal="right"/>
    </xf>
    <xf numFmtId="1" fontId="10" fillId="4" borderId="11" xfId="2" applyNumberFormat="1" applyFont="1" applyFill="1" applyBorder="1" applyAlignment="1">
      <alignment horizontal="right"/>
    </xf>
    <xf numFmtId="1" fontId="10" fillId="4" borderId="12" xfId="2" applyNumberFormat="1" applyFont="1" applyFill="1" applyBorder="1" applyAlignment="1">
      <alignment horizontal="right"/>
    </xf>
    <xf numFmtId="0" fontId="10" fillId="4" borderId="11" xfId="2" applyFont="1" applyFill="1" applyBorder="1" applyAlignment="1">
      <alignment vertical="top"/>
    </xf>
    <xf numFmtId="0" fontId="10" fillId="4" borderId="12" xfId="2" applyFont="1" applyFill="1" applyBorder="1" applyAlignment="1">
      <alignment vertical="top"/>
    </xf>
    <xf numFmtId="0" fontId="10" fillId="4" borderId="16" xfId="2" applyFont="1" applyFill="1" applyBorder="1"/>
    <xf numFmtId="0" fontId="10" fillId="4" borderId="13" xfId="2" applyFont="1" applyFill="1" applyBorder="1"/>
    <xf numFmtId="0" fontId="13" fillId="0" borderId="0" xfId="0" applyFont="1" applyAlignment="1">
      <alignment horizontal="left" wrapText="1"/>
    </xf>
    <xf numFmtId="0" fontId="13" fillId="0" borderId="0" xfId="0" applyFont="1" applyAlignment="1">
      <alignment horizontal="centerContinuous" wrapText="1"/>
    </xf>
    <xf numFmtId="0" fontId="15" fillId="0" borderId="0" xfId="0" applyFont="1" applyAlignment="1">
      <alignment horizontal="left" vertical="center" wrapText="1"/>
    </xf>
    <xf numFmtId="0" fontId="14" fillId="0" borderId="0" xfId="0" applyFont="1" applyAlignment="1">
      <alignment horizontal="left" vertical="center" wrapText="1"/>
    </xf>
    <xf numFmtId="0" fontId="0" fillId="5" borderId="0" xfId="0" applyFill="1" applyAlignment="1">
      <alignment vertical="center"/>
    </xf>
    <xf numFmtId="0" fontId="0" fillId="6" borderId="0" xfId="0" applyFill="1" applyAlignment="1">
      <alignment vertical="center"/>
    </xf>
    <xf numFmtId="0" fontId="2" fillId="7" borderId="0" xfId="0" applyFont="1" applyFill="1" applyAlignment="1">
      <alignment vertical="center"/>
    </xf>
    <xf numFmtId="0" fontId="4" fillId="0" borderId="0" xfId="0" applyFont="1"/>
    <xf numFmtId="0" fontId="15" fillId="0" borderId="0" xfId="0" applyFont="1" applyAlignment="1">
      <alignment vertical="center" wrapText="1"/>
    </xf>
    <xf numFmtId="0" fontId="2" fillId="0" borderId="0" xfId="0" applyFont="1" applyAlignment="1">
      <alignment vertical="center" wrapText="1"/>
    </xf>
    <xf numFmtId="0" fontId="2" fillId="8" borderId="0" xfId="0" applyFont="1" applyFill="1" applyAlignment="1">
      <alignment vertical="top"/>
    </xf>
    <xf numFmtId="0" fontId="13"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4" fillId="0" borderId="0" xfId="2" applyFont="1" applyAlignment="1">
      <alignment horizontal="left" wrapText="1"/>
    </xf>
    <xf numFmtId="0" fontId="14" fillId="0" borderId="0" xfId="2" applyFont="1" applyAlignment="1">
      <alignment horizontal="centerContinuous" wrapText="1"/>
    </xf>
    <xf numFmtId="0" fontId="13" fillId="0" borderId="0" xfId="2" applyFont="1" applyAlignment="1">
      <alignment horizontal="left" wrapText="1"/>
    </xf>
    <xf numFmtId="0" fontId="13" fillId="0" borderId="0" xfId="2" applyFont="1" applyAlignment="1">
      <alignment horizontal="centerContinuous" wrapText="1"/>
    </xf>
    <xf numFmtId="1" fontId="14" fillId="0" borderId="0" xfId="2" applyNumberFormat="1" applyFont="1" applyAlignment="1">
      <alignment vertical="top" wrapText="1"/>
    </xf>
    <xf numFmtId="0" fontId="13" fillId="0" borderId="0" xfId="2" applyFont="1"/>
    <xf numFmtId="164" fontId="13" fillId="0" borderId="0" xfId="2" applyNumberFormat="1" applyFont="1"/>
    <xf numFmtId="0" fontId="2" fillId="0" borderId="0" xfId="0" applyFont="1"/>
    <xf numFmtId="2" fontId="13" fillId="0" borderId="0" xfId="2" applyNumberFormat="1" applyFont="1"/>
    <xf numFmtId="10" fontId="13" fillId="0" borderId="0" xfId="2" applyNumberFormat="1" applyFont="1"/>
    <xf numFmtId="0" fontId="16" fillId="0" borderId="0" xfId="0" applyFont="1"/>
    <xf numFmtId="0" fontId="13" fillId="0" borderId="0" xfId="2" applyFont="1" applyAlignment="1">
      <alignment horizontal="right"/>
    </xf>
    <xf numFmtId="2" fontId="2" fillId="0" borderId="0" xfId="2" applyNumberFormat="1"/>
    <xf numFmtId="165" fontId="13" fillId="0" borderId="0" xfId="0" applyNumberFormat="1" applyFont="1" applyAlignment="1">
      <alignment horizontal="centerContinuous" wrapText="1"/>
    </xf>
    <xf numFmtId="0" fontId="6" fillId="3" borderId="0" xfId="2" applyFont="1" applyFill="1"/>
    <xf numFmtId="1" fontId="14" fillId="0" borderId="0" xfId="0" applyNumberFormat="1" applyFont="1" applyAlignment="1">
      <alignment horizontal="center" vertical="center" wrapText="1"/>
    </xf>
    <xf numFmtId="0" fontId="13" fillId="0" borderId="0" xfId="0" applyFont="1" applyAlignment="1">
      <alignment horizontal="center" vertical="center"/>
    </xf>
    <xf numFmtId="2" fontId="13" fillId="0" borderId="0" xfId="0" applyNumberFormat="1" applyFont="1" applyAlignment="1">
      <alignment horizontal="center" vertical="center"/>
    </xf>
    <xf numFmtId="1" fontId="14" fillId="0" borderId="0" xfId="2" applyNumberFormat="1" applyFont="1" applyAlignment="1">
      <alignment horizontal="center" vertical="center" wrapText="1"/>
    </xf>
    <xf numFmtId="0" fontId="13" fillId="0" borderId="0" xfId="2" applyFont="1" applyAlignment="1">
      <alignment horizontal="center" vertical="center"/>
    </xf>
    <xf numFmtId="0" fontId="17" fillId="0" borderId="0" xfId="3"/>
    <xf numFmtId="14" fontId="0" fillId="2" borderId="1" xfId="0" applyNumberFormat="1" applyFill="1" applyBorder="1"/>
    <xf numFmtId="14" fontId="0" fillId="3" borderId="0" xfId="0" applyNumberFormat="1" applyFill="1"/>
    <xf numFmtId="0" fontId="4" fillId="0" borderId="0" xfId="0" applyFont="1" applyAlignment="1">
      <alignment wrapText="1"/>
    </xf>
    <xf numFmtId="0" fontId="13" fillId="0" borderId="0" xfId="0" applyFont="1" applyAlignment="1">
      <alignment horizontal="left"/>
    </xf>
    <xf numFmtId="0" fontId="18" fillId="0" borderId="0" xfId="0" applyFont="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horizontal="centerContinuous" vertical="center" wrapText="1"/>
    </xf>
    <xf numFmtId="0" fontId="20" fillId="0" borderId="0" xfId="0" applyFont="1" applyAlignment="1">
      <alignment horizontal="left" vertical="center" wrapText="1"/>
    </xf>
    <xf numFmtId="165" fontId="20" fillId="0" borderId="0" xfId="0" applyNumberFormat="1" applyFont="1" applyAlignment="1">
      <alignment horizontal="left" vertical="center" wrapText="1"/>
    </xf>
    <xf numFmtId="0" fontId="18" fillId="0" borderId="0" xfId="0" applyFont="1"/>
    <xf numFmtId="0" fontId="19" fillId="0" borderId="0" xfId="0" applyFont="1"/>
    <xf numFmtId="0" fontId="19" fillId="0" borderId="0" xfId="0" applyFont="1" applyAlignment="1">
      <alignment wrapText="1"/>
    </xf>
    <xf numFmtId="14" fontId="19" fillId="0" borderId="0" xfId="0" applyNumberFormat="1" applyFont="1"/>
    <xf numFmtId="164" fontId="13" fillId="0" borderId="0" xfId="0" applyNumberFormat="1" applyFont="1" applyAlignment="1">
      <alignment horizontal="center" vertical="center"/>
    </xf>
    <xf numFmtId="0" fontId="2" fillId="0" borderId="0" xfId="2" applyAlignment="1">
      <alignment horizontal="centerContinuous"/>
    </xf>
    <xf numFmtId="167" fontId="13" fillId="0" borderId="0" xfId="0" applyNumberFormat="1" applyFont="1" applyAlignment="1">
      <alignment horizontal="center" vertical="center"/>
    </xf>
    <xf numFmtId="166" fontId="13" fillId="0" borderId="0" xfId="0" applyNumberFormat="1" applyFont="1" applyAlignment="1">
      <alignment horizontal="center" vertical="center"/>
    </xf>
    <xf numFmtId="0" fontId="2" fillId="9" borderId="0" xfId="0" applyFont="1" applyFill="1" applyAlignment="1">
      <alignment vertical="center"/>
    </xf>
    <xf numFmtId="0" fontId="13" fillId="10" borderId="0" xfId="0" applyFont="1" applyFill="1" applyAlignment="1">
      <alignment vertical="center" wrapText="1"/>
    </xf>
    <xf numFmtId="0" fontId="21" fillId="0" borderId="0" xfId="0" applyFont="1"/>
    <xf numFmtId="0" fontId="22" fillId="0" borderId="0" xfId="0" applyFont="1"/>
    <xf numFmtId="0" fontId="22" fillId="0" borderId="0" xfId="0" applyFont="1" applyAlignment="1">
      <alignment wrapText="1"/>
    </xf>
    <xf numFmtId="14" fontId="22" fillId="0" borderId="0" xfId="0" applyNumberFormat="1" applyFont="1" applyAlignment="1">
      <alignment horizontal="right"/>
    </xf>
    <xf numFmtId="0" fontId="4" fillId="11" borderId="0" xfId="0" applyFont="1" applyFill="1"/>
    <xf numFmtId="0" fontId="2" fillId="13" borderId="0" xfId="0" applyFont="1" applyFill="1"/>
    <xf numFmtId="0" fontId="2" fillId="11" borderId="0" xfId="0" applyFont="1" applyFill="1"/>
    <xf numFmtId="0" fontId="2" fillId="10" borderId="0" xfId="0" applyFont="1" applyFill="1" applyAlignment="1">
      <alignment wrapText="1"/>
    </xf>
    <xf numFmtId="14" fontId="2" fillId="12" borderId="0" xfId="0" applyNumberFormat="1" applyFont="1" applyFill="1"/>
    <xf numFmtId="0" fontId="2" fillId="0" borderId="0" xfId="2" applyAlignment="1">
      <alignment horizontal="center"/>
    </xf>
    <xf numFmtId="0" fontId="23" fillId="0" borderId="0" xfId="2" applyFont="1" applyAlignment="1">
      <alignment vertical="center"/>
    </xf>
    <xf numFmtId="0" fontId="15" fillId="12" borderId="0" xfId="2" applyFont="1" applyFill="1" applyAlignment="1">
      <alignment wrapText="1"/>
    </xf>
    <xf numFmtId="0" fontId="15" fillId="12" borderId="0" xfId="2" applyFont="1" applyFill="1" applyAlignment="1">
      <alignment horizontal="left" wrapText="1"/>
    </xf>
    <xf numFmtId="0" fontId="15" fillId="10" borderId="0" xfId="2" applyFont="1" applyFill="1" applyAlignment="1">
      <alignment wrapText="1"/>
    </xf>
    <xf numFmtId="0" fontId="15" fillId="10" borderId="0" xfId="2" applyFont="1" applyFill="1" applyAlignment="1">
      <alignment horizontal="left" wrapText="1"/>
    </xf>
    <xf numFmtId="0" fontId="24" fillId="12" borderId="0" xfId="2" applyFont="1" applyFill="1" applyAlignment="1">
      <alignment horizontal="left" wrapText="1"/>
    </xf>
    <xf numFmtId="0" fontId="24" fillId="10" borderId="0" xfId="2" applyFont="1" applyFill="1" applyAlignment="1">
      <alignment horizontal="left" wrapText="1"/>
    </xf>
    <xf numFmtId="10" fontId="24" fillId="10" borderId="0" xfId="2" applyNumberFormat="1" applyFont="1" applyFill="1" applyAlignment="1">
      <alignment horizontal="left" wrapText="1"/>
    </xf>
    <xf numFmtId="10" fontId="24" fillId="12" borderId="0" xfId="2" applyNumberFormat="1" applyFont="1" applyFill="1" applyAlignment="1">
      <alignment horizontal="left" wrapText="1"/>
    </xf>
    <xf numFmtId="0" fontId="24" fillId="10" borderId="0" xfId="2" applyFont="1" applyFill="1" applyAlignment="1">
      <alignment horizontal="left"/>
    </xf>
    <xf numFmtId="0" fontId="25" fillId="10" borderId="0" xfId="2" applyFont="1" applyFill="1" applyAlignment="1">
      <alignment horizontal="left" wrapText="1"/>
    </xf>
    <xf numFmtId="0" fontId="25" fillId="12" borderId="0" xfId="2" applyFont="1" applyFill="1" applyAlignment="1">
      <alignment horizontal="left" wrapText="1"/>
    </xf>
    <xf numFmtId="9" fontId="25" fillId="10" borderId="0" xfId="2" applyNumberFormat="1" applyFont="1" applyFill="1" applyAlignment="1">
      <alignment horizontal="left" wrapText="1"/>
    </xf>
    <xf numFmtId="9" fontId="24" fillId="12" borderId="0" xfId="2" applyNumberFormat="1" applyFont="1" applyFill="1" applyAlignment="1">
      <alignment horizontal="left" wrapText="1"/>
    </xf>
    <xf numFmtId="168" fontId="24" fillId="10" borderId="0" xfId="2" applyNumberFormat="1" applyFont="1" applyFill="1" applyAlignment="1">
      <alignment horizontal="left" wrapText="1"/>
    </xf>
    <xf numFmtId="0" fontId="0" fillId="0" borderId="0" xfId="2" applyFont="1"/>
    <xf numFmtId="0" fontId="4" fillId="0" borderId="0" xfId="2" applyFont="1"/>
    <xf numFmtId="1" fontId="14" fillId="0" borderId="0" xfId="0" applyNumberFormat="1" applyFont="1" applyAlignment="1">
      <alignment horizontal="left" vertical="center" wrapText="1"/>
    </xf>
    <xf numFmtId="10" fontId="14" fillId="0" borderId="0" xfId="4" applyNumberFormat="1" applyFont="1" applyAlignment="1">
      <alignment horizontal="left" vertical="center" wrapText="1"/>
    </xf>
    <xf numFmtId="1" fontId="13" fillId="0" borderId="0" xfId="0" applyNumberFormat="1" applyFont="1" applyAlignment="1">
      <alignment horizontal="left" vertical="center" wrapText="1"/>
    </xf>
    <xf numFmtId="10" fontId="13" fillId="0" borderId="0" xfId="4" applyNumberFormat="1" applyFont="1" applyAlignment="1">
      <alignment horizontal="right" vertical="center" wrapText="1"/>
    </xf>
    <xf numFmtId="1" fontId="13" fillId="0" borderId="0" xfId="2" applyNumberFormat="1" applyFont="1" applyAlignment="1">
      <alignment horizontal="center" vertical="center"/>
    </xf>
    <xf numFmtId="164" fontId="13" fillId="0" borderId="0" xfId="2" applyNumberFormat="1" applyFont="1" applyAlignment="1">
      <alignment horizontal="center" vertical="center"/>
    </xf>
    <xf numFmtId="0" fontId="2" fillId="12" borderId="0" xfId="0" applyFont="1" applyFill="1"/>
    <xf numFmtId="0" fontId="2" fillId="10" borderId="0" xfId="0" applyFont="1" applyFill="1"/>
    <xf numFmtId="0" fontId="14" fillId="12" borderId="0" xfId="0" applyFont="1" applyFill="1" applyAlignment="1">
      <alignment vertical="top" wrapText="1"/>
    </xf>
    <xf numFmtId="14" fontId="22" fillId="0" borderId="0" xfId="0" applyNumberFormat="1" applyFont="1" applyAlignment="1">
      <alignment horizontal="left" wrapText="1"/>
    </xf>
    <xf numFmtId="0" fontId="14" fillId="0" borderId="0" xfId="2" applyFont="1" applyAlignment="1">
      <alignment horizontal="left"/>
    </xf>
    <xf numFmtId="0" fontId="13" fillId="0" borderId="0" xfId="2" applyFont="1" applyAlignment="1">
      <alignment horizontal="left"/>
    </xf>
    <xf numFmtId="14" fontId="13" fillId="0" borderId="0" xfId="2" applyNumberFormat="1" applyFont="1" applyAlignment="1">
      <alignment horizontal="left"/>
    </xf>
    <xf numFmtId="0" fontId="14" fillId="0" borderId="0" xfId="0" applyFont="1" applyAlignment="1">
      <alignment horizontal="left" wrapText="1"/>
    </xf>
    <xf numFmtId="14" fontId="13" fillId="0" borderId="0" xfId="0" applyNumberFormat="1" applyFont="1" applyAlignment="1">
      <alignment horizontal="left"/>
    </xf>
    <xf numFmtId="0" fontId="17" fillId="0" borderId="0" xfId="3" applyFill="1" applyAlignment="1">
      <alignment horizontal="left" vertical="center" wrapText="1"/>
    </xf>
    <xf numFmtId="0" fontId="13" fillId="0" borderId="0" xfId="0" applyFont="1" applyAlignment="1">
      <alignment wrapText="1"/>
    </xf>
    <xf numFmtId="165" fontId="13" fillId="0" borderId="0" xfId="0" applyNumberFormat="1" applyFont="1" applyAlignment="1">
      <alignment horizontal="left" vertical="center" wrapText="1"/>
    </xf>
    <xf numFmtId="165" fontId="2" fillId="0" borderId="0" xfId="2" applyNumberFormat="1" applyAlignment="1">
      <alignment horizontal="centerContinuous" wrapText="1"/>
    </xf>
    <xf numFmtId="165" fontId="13" fillId="0" borderId="0" xfId="2" applyNumberFormat="1" applyFont="1" applyAlignment="1">
      <alignment horizontal="centerContinuous" wrapText="1"/>
    </xf>
    <xf numFmtId="0" fontId="8" fillId="0" borderId="8" xfId="0" applyFont="1" applyBorder="1" applyAlignment="1">
      <alignment wrapText="1"/>
    </xf>
    <xf numFmtId="0" fontId="8" fillId="0" borderId="9" xfId="0" applyFont="1" applyBorder="1" applyAlignment="1">
      <alignment wrapText="1"/>
    </xf>
    <xf numFmtId="0" fontId="8" fillId="0" borderId="10" xfId="0" applyFont="1" applyBorder="1" applyAlignment="1">
      <alignment wrapText="1"/>
    </xf>
    <xf numFmtId="0" fontId="9"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11" xfId="0" applyFont="1" applyBorder="1" applyAlignment="1">
      <alignment vertical="center" wrapText="1"/>
    </xf>
    <xf numFmtId="0" fontId="4" fillId="0" borderId="16"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vertical="center" wrapText="1"/>
    </xf>
    <xf numFmtId="0" fontId="2" fillId="12" borderId="0" xfId="0" applyFont="1" applyFill="1"/>
    <xf numFmtId="0" fontId="2" fillId="10" borderId="0" xfId="0" applyFont="1" applyFill="1"/>
  </cellXfs>
  <cellStyles count="5">
    <cellStyle name="Hyperlink" xfId="3" builtinId="8"/>
    <cellStyle name="Normal" xfId="0" builtinId="0"/>
    <cellStyle name="Normal 2" xfId="1" xr:uid="{00000000-0005-0000-0000-000001000000}"/>
    <cellStyle name="Normal 2 2" xfId="2" xr:uid="{00000000-0005-0000-0000-000002000000}"/>
    <cellStyle name="Per cent" xfId="4" builtinId="5"/>
  </cellStyles>
  <dxfs count="1177">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00FFFF"/>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externalLink" Target="externalLinks/externalLink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ustomXml" Target="../customXml/item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3.xml"/><Relationship Id="rId118" Type="http://schemas.openxmlformats.org/officeDocument/2006/relationships/externalLink" Target="externalLinks/externalLink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customXml" Target="../customXml/item2.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4.xml"/><Relationship Id="rId119" Type="http://schemas.openxmlformats.org/officeDocument/2006/relationships/theme" Target="theme/theme1.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tyles" Target="styles.xml"/><Relationship Id="rId125"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externalLink" Target="externalLinks/externalLink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externalLink" Target="externalLinks/externalLink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Client%20Work/CS%20GB/Factors%20&amp;%20Guidance/2024%20Guidance%20Review/0.%20Consolidated%20factor%20workbook%20for%20website/CS%20GB%20Consolidated%20Factors%202025-01.xlsm" TargetMode="External"/><Relationship Id="rId2"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 Id="rId1" Type="http://schemas.openxmlformats.org/officeDocument/2006/relationships/externalLinkPath" Target="/sites/gad_wrkgrp_actuarial/pspsactuarialwork/Client%20Work/CS%20GB/Factors%20&amp;%20Guidance/2024%20Guidance%20Review/0.%20Consolidated%20factor%20workbook%20for%20website/CS%20GB%20Consolidated%20Factors%202025-01.xlsm"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entral/Factors%20&amp;%20Guidance/2024%20Guidance%20Review/4.%20Online%20portal/3.%20Import%20data/3.%20Factor%20tables/0_client_friendly/Uploaded/2025-02/NHS%20NI%20Consolidated%20Factors%202025-01.xlsm" TargetMode="External"/><Relationship Id="rId2" Type="http://schemas.microsoft.com/office/2019/04/relationships/externalLinkLongPath" Target="/sites/gad_wrkgrp_actuarial/pspsactuarialwork/Central/Factors%20&amp;%20Guidance/2024%20Guidance%20Review/4.%20Online%20portal/3.%20Import%20data/3.%20Factor%20tables/0_client_friendly/Uploaded/2025-02/NHS%20NI%20Consolidated%20Factors%202025-01.xlsm?77BB1C42" TargetMode="External"/><Relationship Id="rId1" Type="http://schemas.openxmlformats.org/officeDocument/2006/relationships/externalLinkPath" Target="file:///\\77BB1C42\NHS%20NI%20Consolidated%20Factors%202025-01.xlsm" TargetMode="External"/><Relationship Id="rId4" Type="http://schemas.openxmlformats.org/officeDocument/2006/relationships/externalLinkPath" Target="../../Uploaded/2025-02/NHS%20NI%20Consolidated%20Factors%202025-01.xlsm"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lient%20Work/NHS%20EW/Factors%20&amp;%20Guidance/2024%20Guidance%20Review/3.%20Guidance%20updates/0.%20Consolidated%20factor%20workbook%20for%20website/NHS%20EW%20Consolidated%20Factors%202025-01.xlsm" TargetMode="External"/><Relationship Id="rId2" Type="http://schemas.microsoft.com/office/2019/04/relationships/externalLinkLongPath" Target="/sites/gad_wrkgrp_actuarial/pspsactuarialwork/Client%20Work/NHS%20EW/Factors%20&amp;%20Guidance/2024%20Guidance%20Review/3.%20Guidance%20updates/0.%20Consolidated%20factor%20workbook%20for%20website/NHS%20EW%20Consolidated%20Factors%202025-01.xlsm?5756BBC2" TargetMode="External"/><Relationship Id="rId1" Type="http://schemas.openxmlformats.org/officeDocument/2006/relationships/externalLinkPath" Target="file:///\\5756BBC2\NHS%20EW%20Consolidated%20Factors%202025-01.xlsm" TargetMode="External"/><Relationship Id="rId4" Type="http://schemas.openxmlformats.org/officeDocument/2006/relationships/externalLinkPath" Target="../../../../../../../../../Client%20Work/NHS%20EW/Factors%20&amp;%20Guidance/2024%20Guidance%20Review/3.%20Guidance%20updates/0.%20Consolidated%20factor%20workbook%20for%20website/NHS%20EW%20Consolidated%20Factors%202025-0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ad-psps\psps\Factors\2017\NHS_NI\Factors%20reporting%202.4\Comm'n%20(inc%20triv)%20&amp;%20other%20Capitalisations\Factors%20Documentation%20NHSPS_NI%20Comm'n%202.4%25.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ad-ast\ast\Factors\2017\NHS_NI\Factors%20reporting%202.4\ERFs%20&amp;%20LRFs\Factors%20Documentation%20NHSPS_NI%20ERF%20&amp;%20LRF%202.4%25.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ad-psps\psps\Factors\2017\NHS_NI\Factors%20reporting%202.4\AP\Factors%20Documentation%20NHSPS_NI%202.4%25.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ad-ast\ast\Factors\2017\NHS_NI\Factors%20reporting%202.4\AST%20Bespoke%201\Factors%20Documentation%20NHSPS_NI%20AST%20Bespoke%201%202.4%25.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ad-ast\ast\Factors\2017\NHS_EW\Client%20output\Factors%20reporting%202.4\PSPS%20Bespoke\Factors%20Documentation%20NHSPS_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ver"/>
      <sheetName val="Purpose of spreadsheet"/>
      <sheetName val="Version Control"/>
      <sheetName val="Summary - PCSPS_EW"/>
      <sheetName val="AnnGenHiddenLists"/>
      <sheetName val="x-Series Number"/>
      <sheetName val="Factor List"/>
      <sheetName val="Assumptions"/>
      <sheetName val="Club 2023 Table 2"/>
      <sheetName val="Club 2023 Table 3"/>
      <sheetName val="Club 2023 Table 4"/>
      <sheetName val="Club 2023 Table 5"/>
      <sheetName val="Club 2023 Table 6"/>
      <sheetName val="x-201"/>
      <sheetName val="x-202"/>
      <sheetName val="x-205"/>
      <sheetName val="x-203"/>
      <sheetName val="x-204"/>
      <sheetName val="x-207"/>
      <sheetName val="x-208"/>
      <sheetName val="x-209"/>
      <sheetName val="x-211"/>
      <sheetName val="x-212"/>
      <sheetName val="x-213"/>
      <sheetName val="x-214"/>
      <sheetName val="x-215"/>
      <sheetName val="x-216"/>
      <sheetName val="x-217"/>
      <sheetName val="x-218"/>
      <sheetName val="x-223"/>
      <sheetName val="x-301"/>
      <sheetName val="x-302"/>
      <sheetName val="x-303"/>
      <sheetName val="x-304"/>
      <sheetName val="x-305"/>
      <sheetName val="x-306"/>
      <sheetName val="x-307"/>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501"/>
      <sheetName val="x-502"/>
      <sheetName val="x-503"/>
      <sheetName val="x-504"/>
      <sheetName val="x-601"/>
      <sheetName val="x-602"/>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5"/>
      <sheetName val="x-726"/>
      <sheetName val="x-727"/>
      <sheetName val="x-728"/>
      <sheetName val="x-729"/>
      <sheetName val="x-730"/>
      <sheetName val="x-731"/>
      <sheetName val="x-732"/>
      <sheetName val="x-733"/>
      <sheetName val="x-734"/>
      <sheetName val="x-735"/>
      <sheetName val="x-736"/>
      <sheetName val="x-801"/>
      <sheetName val="x-802"/>
      <sheetName val="x-803"/>
      <sheetName val="x-804"/>
      <sheetName val="x-805"/>
      <sheetName val="x-806"/>
      <sheetName val="x-807"/>
      <sheetName val="x-808"/>
      <sheetName val="x-810"/>
      <sheetName val="x-811"/>
      <sheetName val="x-812"/>
      <sheetName val="x-813"/>
      <sheetName val="x-814"/>
    </sheetNames>
    <sheetDataSet>
      <sheetData sheetId="0">
        <row r="2">
          <cell r="A2" t="str">
            <v>Civil Service Pension Schemes - Consolidated Factor Spreadsheet</v>
          </cell>
        </row>
      </sheetData>
      <sheetData sheetId="1"/>
      <sheetData sheetId="2"/>
      <sheetData sheetId="3"/>
      <sheetData sheetId="4"/>
      <sheetData sheetId="5">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Cover"/>
      <sheetName val="Purpose of spreadsheet"/>
      <sheetName val="Version Control"/>
      <sheetName val="Summary - NHSPS_EW"/>
      <sheetName val="AnnGenHiddenLists"/>
      <sheetName val="x-Series Number"/>
      <sheetName val="Factor List"/>
      <sheetName val="Assumptions"/>
      <sheetName val="x-101"/>
      <sheetName val="x-102"/>
      <sheetName val="x-103"/>
      <sheetName val="x-104"/>
      <sheetName val="x-201"/>
      <sheetName val="x-202"/>
      <sheetName val="x-203"/>
      <sheetName val="x-204"/>
      <sheetName val="x-205"/>
      <sheetName val="x-206"/>
      <sheetName val="x-207"/>
      <sheetName val="x-208"/>
      <sheetName val="x-209"/>
      <sheetName val="x-217"/>
      <sheetName val="x-218"/>
      <sheetName val="x-219"/>
      <sheetName val="x-301"/>
      <sheetName val="x-302"/>
      <sheetName val="x-303"/>
      <sheetName val="x-304"/>
      <sheetName val="x-305"/>
      <sheetName val="x-306"/>
      <sheetName val="x-307"/>
      <sheetName val="x-308"/>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422"/>
      <sheetName val="x-423"/>
      <sheetName val="x-501"/>
      <sheetName val="x-502"/>
      <sheetName val="x-503"/>
      <sheetName val="x-504"/>
      <sheetName val="x-505"/>
      <sheetName val="x-601"/>
      <sheetName val="x-602"/>
      <sheetName val="x-603"/>
      <sheetName val="x-604"/>
      <sheetName val="x-605"/>
      <sheetName val="x-606"/>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2"/>
      <sheetName val="x-723"/>
      <sheetName val="x-801"/>
      <sheetName val="x-802"/>
      <sheetName val="x-803"/>
      <sheetName val="x-804"/>
      <sheetName val="x-805"/>
      <sheetName val="x-806"/>
      <sheetName val="x-807"/>
      <sheetName val="x-808"/>
      <sheetName val="x-809"/>
      <sheetName val="x-810"/>
      <sheetName val="x-811"/>
      <sheetName val="x-812"/>
      <sheetName val="x-813"/>
      <sheetName val="x-814"/>
      <sheetName val="x-815"/>
      <sheetName val="x-816"/>
      <sheetName val="x-817"/>
      <sheetName val="x-818"/>
      <sheetName val="x-819"/>
      <sheetName val="x-820"/>
      <sheetName val="x-821"/>
      <sheetName val="x-822"/>
      <sheetName val="x-823"/>
    </sheetNames>
    <sheetDataSet>
      <sheetData sheetId="0">
        <row r="2">
          <cell r="A2" t="str">
            <v>NHSPS_NI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Cover"/>
      <sheetName val="Purpose of spreadsheet"/>
      <sheetName val="Version Control"/>
      <sheetName val="Summary - NHSPS_EW"/>
      <sheetName val="AnnGenHiddenLists"/>
      <sheetName val="x-Series Number"/>
      <sheetName val="Factor List"/>
      <sheetName val="Assumptions"/>
      <sheetName val="x-101"/>
      <sheetName val="x-102"/>
      <sheetName val="x-103"/>
      <sheetName val="x-104"/>
      <sheetName val="x-105"/>
      <sheetName val="x-201"/>
      <sheetName val="x-202"/>
      <sheetName val="x-203"/>
      <sheetName val="x-204"/>
      <sheetName val="x-205"/>
      <sheetName val="x-206"/>
      <sheetName val="x-207"/>
      <sheetName val="x-208"/>
      <sheetName val="x-209"/>
      <sheetName val="x-213"/>
      <sheetName val="x-214"/>
      <sheetName val="x-215"/>
      <sheetName val="x-216"/>
      <sheetName val="x-217"/>
      <sheetName val="x-301"/>
      <sheetName val="x-302"/>
      <sheetName val="x-303"/>
      <sheetName val="x-304"/>
      <sheetName val="x-401"/>
      <sheetName val="x-305"/>
      <sheetName val="x-306"/>
      <sheetName val="x-307"/>
      <sheetName val="x-308"/>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422"/>
      <sheetName val="x-423"/>
      <sheetName val="x-501"/>
      <sheetName val="x-502"/>
      <sheetName val="x-503"/>
      <sheetName val="x-504"/>
      <sheetName val="x-505"/>
      <sheetName val="x-601"/>
      <sheetName val="x-602"/>
      <sheetName val="x-603"/>
      <sheetName val="x-604"/>
      <sheetName val="x-605"/>
      <sheetName val="x-606"/>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2"/>
      <sheetName val="x-724"/>
      <sheetName val="x-801"/>
      <sheetName val="x-802"/>
      <sheetName val="x-803"/>
      <sheetName val="x-804"/>
      <sheetName val="x-805"/>
      <sheetName val="x-806"/>
      <sheetName val="x-807"/>
      <sheetName val="x-808"/>
      <sheetName val="x-809"/>
      <sheetName val="x-810"/>
      <sheetName val="x-811"/>
      <sheetName val="x-812"/>
      <sheetName val="x-813"/>
      <sheetName val="x-814"/>
      <sheetName val="x-815"/>
      <sheetName val="x-816"/>
    </sheetNames>
    <sheetDataSet>
      <sheetData sheetId="0">
        <row r="2">
          <cell r="A2" t="str">
            <v>NHSPS_EW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EW"/>
      <sheetName val="AnnGenHiddenLists"/>
      <sheetName val="Factor List"/>
      <sheetName val="x-Series Number"/>
      <sheetName val="x-306"/>
      <sheetName val="x-307"/>
      <sheetName val="x-501"/>
      <sheetName val="x-502"/>
      <sheetName val="x-503"/>
      <sheetName val="x-504"/>
      <sheetName val="x-801"/>
      <sheetName val="x-802"/>
      <sheetName val="x-803"/>
      <sheetName val="x-804"/>
      <sheetName val="x-805"/>
      <sheetName val="x-806"/>
      <sheetName val="x-807"/>
      <sheetName val="x-808"/>
      <sheetName val="x-809"/>
      <sheetName val="x-810"/>
      <sheetName val="x-811"/>
      <sheetName val="x-812"/>
      <sheetName val="x-813"/>
    </sheetNames>
    <sheetDataSet>
      <sheetData sheetId="0">
        <row r="2">
          <cell r="A2" t="str">
            <v>NHSPS_NI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EW"/>
      <sheetName val="AnnGenHiddenLists"/>
      <sheetName val="Factor List"/>
      <sheetName val="x-Series Number"/>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422"/>
    </sheetNames>
    <sheetDataSet>
      <sheetData sheetId="0">
        <row r="2">
          <cell r="A2" t="str">
            <v>NHSPS_NI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NI"/>
      <sheetName val="AnnGenHiddenLists"/>
      <sheetName val="Factor List"/>
      <sheetName val="x-Series Number"/>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s>
    <sheetDataSet>
      <sheetData sheetId="0">
        <row r="2">
          <cell r="A2" t="str">
            <v>NHSPS_NI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EW"/>
      <sheetName val="AnnGenHiddenLists"/>
      <sheetName val="Factor List"/>
      <sheetName val="x-Series Number"/>
      <sheetName val="x-814"/>
      <sheetName val="x-815"/>
      <sheetName val="x-816"/>
      <sheetName val="x-817"/>
      <sheetName val="x-818"/>
      <sheetName val="x-819"/>
      <sheetName val="x-820"/>
      <sheetName val="x-821"/>
      <sheetName val="x-822"/>
    </sheetNames>
    <sheetDataSet>
      <sheetData sheetId="0">
        <row r="2">
          <cell r="A2" t="str">
            <v>NHSPS_NI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EW"/>
      <sheetName val="AnnGenHiddenLists"/>
      <sheetName val="Factor List"/>
      <sheetName val="x-Series Number"/>
      <sheetName val="x-801"/>
      <sheetName val="x-802"/>
    </sheetNames>
    <sheetDataSet>
      <sheetData sheetId="0">
        <row r="2">
          <cell r="A2" t="str">
            <v>NHSPS_EW - Consolidated Factor Spreadsheet</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31EE87B-A6EB-4737-9B10-926D8135FE7E}">
  <we:reference id="81ae7f57-2760-4043-a9cb-e0d36209e808" version="1.3.0.0" store="EXCatalog" storeType="EXCatalog"/>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6"/>
  <sheetViews>
    <sheetView showGridLines="0" zoomScale="85" zoomScaleNormal="85" workbookViewId="0">
      <selection activeCell="B9" sqref="B9"/>
    </sheetView>
  </sheetViews>
  <sheetFormatPr defaultRowHeight="12.5" x14ac:dyDescent="0.25"/>
  <cols>
    <col min="1" max="1" width="20" customWidth="1"/>
    <col min="2" max="2" width="130.90625" style="1" customWidth="1"/>
    <col min="4" max="4" width="10.08984375" bestFit="1" customWidth="1"/>
    <col min="8" max="8" width="10.08984375" customWidth="1"/>
    <col min="9" max="9" width="11.453125" customWidth="1"/>
    <col min="12" max="12" width="15.453125" bestFit="1" customWidth="1"/>
    <col min="13" max="13" width="21" bestFit="1" customWidth="1"/>
    <col min="14" max="14" width="9.08984375" customWidth="1"/>
    <col min="15" max="15" width="9.54296875" customWidth="1"/>
    <col min="16" max="20" width="13.08984375" customWidth="1"/>
    <col min="27" max="27" width="11.08984375" customWidth="1"/>
    <col min="28" max="28" width="10.08984375" customWidth="1"/>
    <col min="31" max="31" width="15.453125" bestFit="1" customWidth="1"/>
    <col min="32" max="32" width="21" bestFit="1" customWidth="1"/>
    <col min="33" max="34" width="9.54296875" bestFit="1" customWidth="1"/>
    <col min="35" max="35" width="9.54296875" customWidth="1"/>
    <col min="39" max="39" width="12.453125" bestFit="1" customWidth="1"/>
  </cols>
  <sheetData>
    <row r="1" spans="1:4" ht="20" x14ac:dyDescent="0.4">
      <c r="A1" s="3" t="s">
        <v>0</v>
      </c>
      <c r="B1" s="3"/>
    </row>
    <row r="2" spans="1:4" ht="15.5" x14ac:dyDescent="0.35">
      <c r="A2" s="4" t="s">
        <v>1</v>
      </c>
      <c r="B2" s="4"/>
    </row>
    <row r="3" spans="1:4" ht="15.5" x14ac:dyDescent="0.35">
      <c r="A3" s="5" t="s">
        <v>2</v>
      </c>
      <c r="B3" s="5"/>
    </row>
    <row r="4" spans="1:4" x14ac:dyDescent="0.25">
      <c r="A4" s="6" t="str">
        <f ca="1">CELL("filename",A1)</f>
        <v>https://tris42.sharepoint.com/sites/gad_wrkgrp_actuarial/pspsactuarialwork/Central/Factors &amp; Guidance/2024 Guidance Review/4. Online portal/3. Import data/3. Factor tables/0_client_friendly/Ready to be uploaded/2025-03/[NHS NI Consolidated Factors 2025-02.xlsx]Cover</v>
      </c>
    </row>
    <row r="5" spans="1:4" x14ac:dyDescent="0.25">
      <c r="D5" s="7"/>
    </row>
    <row r="6" spans="1:4" ht="13" x14ac:dyDescent="0.3">
      <c r="A6" s="76"/>
    </row>
    <row r="7" spans="1:4" ht="15.5" x14ac:dyDescent="0.25">
      <c r="A7" s="71" t="s">
        <v>3</v>
      </c>
      <c r="B7" s="72" t="s">
        <v>4</v>
      </c>
    </row>
    <row r="11" spans="1:4" ht="15.5" x14ac:dyDescent="0.25">
      <c r="A11" s="77" t="s">
        <v>5</v>
      </c>
      <c r="B11" s="77" t="s">
        <v>6</v>
      </c>
    </row>
    <row r="12" spans="1:4" x14ac:dyDescent="0.25">
      <c r="A12" s="73" t="s">
        <v>7</v>
      </c>
      <c r="B12" s="78" t="s">
        <v>8</v>
      </c>
    </row>
    <row r="13" spans="1:4" x14ac:dyDescent="0.25">
      <c r="A13" s="74" t="s">
        <v>9</v>
      </c>
      <c r="B13" s="78" t="s">
        <v>10</v>
      </c>
    </row>
    <row r="14" spans="1:4" hidden="1" x14ac:dyDescent="0.25">
      <c r="A14" s="79" t="s">
        <v>11</v>
      </c>
      <c r="B14" s="1" t="s">
        <v>12</v>
      </c>
    </row>
    <row r="15" spans="1:4" s="90" customFormat="1" x14ac:dyDescent="0.25">
      <c r="A15" s="75" t="s">
        <v>13</v>
      </c>
      <c r="B15" s="78" t="s">
        <v>14</v>
      </c>
    </row>
    <row r="16" spans="1:4" s="90" customFormat="1" x14ac:dyDescent="0.25">
      <c r="A16" s="121" t="s">
        <v>15</v>
      </c>
      <c r="B16" s="122" t="s">
        <v>16</v>
      </c>
    </row>
    <row r="17" spans="1:2" ht="25" x14ac:dyDescent="0.25">
      <c r="A17" s="78" t="s">
        <v>17</v>
      </c>
      <c r="B17" s="78" t="s">
        <v>18</v>
      </c>
    </row>
    <row r="18" spans="1:2" ht="25" x14ac:dyDescent="0.25">
      <c r="A18" s="80" t="s">
        <v>19</v>
      </c>
      <c r="B18" s="78" t="s">
        <v>20</v>
      </c>
    </row>
    <row r="19" spans="1:2" ht="37.5" x14ac:dyDescent="0.25">
      <c r="A19" s="80" t="s">
        <v>21</v>
      </c>
      <c r="B19" s="78" t="s">
        <v>22</v>
      </c>
    </row>
    <row r="20" spans="1:2" ht="25" x14ac:dyDescent="0.25">
      <c r="A20" s="78" t="s">
        <v>23</v>
      </c>
      <c r="B20" s="78" t="s">
        <v>24</v>
      </c>
    </row>
    <row r="21" spans="1:2" s="90" customFormat="1" ht="25" x14ac:dyDescent="0.25">
      <c r="A21" s="78" t="s">
        <v>25</v>
      </c>
      <c r="B21" s="78" t="s">
        <v>26</v>
      </c>
    </row>
    <row r="22" spans="1:2" s="90" customFormat="1" ht="25" x14ac:dyDescent="0.25">
      <c r="A22" s="78" t="s">
        <v>27</v>
      </c>
      <c r="B22" s="78" t="s">
        <v>28</v>
      </c>
    </row>
    <row r="23" spans="1:2" s="90" customFormat="1" ht="37.5" x14ac:dyDescent="0.25">
      <c r="A23" s="78" t="s">
        <v>29</v>
      </c>
      <c r="B23" s="78" t="s">
        <v>30</v>
      </c>
    </row>
    <row r="24" spans="1:2" s="90" customFormat="1" ht="25" x14ac:dyDescent="0.25">
      <c r="A24" s="78" t="s">
        <v>31</v>
      </c>
      <c r="B24" s="78" t="s">
        <v>32</v>
      </c>
    </row>
    <row r="25" spans="1:2" x14ac:dyDescent="0.25">
      <c r="A25" s="2"/>
    </row>
    <row r="26" spans="1:2" x14ac:dyDescent="0.25">
      <c r="A26" s="2"/>
    </row>
  </sheetData>
  <sheetProtection algorithmName="SHA-512" hashValue="+PyecRPOeh46G9EP5Vj9l3M5wDI5H1mtZo9vf+NGgA7lO+POfSiPmB/lmSiUYfW0sE3+bfJrSdws0xrEJpU7cw==" saltValue="PrahAjSSNFjsNv7sSqnosA==" spinCount="100000" sheet="1" objects="1" scenarios="1"/>
  <phoneticPr fontId="3" type="noConversion"/>
  <conditionalFormatting sqref="A7">
    <cfRule type="expression" dxfId="1176" priority="15" stopIfTrue="1">
      <formula>MOD(ROW(),2)=0</formula>
    </cfRule>
    <cfRule type="expression" dxfId="1175" priority="16" stopIfTrue="1">
      <formula>MOD(ROW(),2)&lt;&gt;0</formula>
    </cfRule>
  </conditionalFormatting>
  <conditionalFormatting sqref="A11">
    <cfRule type="expression" dxfId="1174" priority="11" stopIfTrue="1">
      <formula>MOD(ROW(),2)=0</formula>
    </cfRule>
    <cfRule type="expression" dxfId="1173" priority="12" stopIfTrue="1">
      <formula>MOD(ROW(),2)&lt;&gt;0</formula>
    </cfRule>
  </conditionalFormatting>
  <conditionalFormatting sqref="A17:A24">
    <cfRule type="expression" dxfId="1172" priority="5" stopIfTrue="1">
      <formula>MOD(ROW(),2)=0</formula>
    </cfRule>
    <cfRule type="expression" dxfId="1171" priority="6" stopIfTrue="1">
      <formula>MOD(ROW(),2)&lt;&gt;0</formula>
    </cfRule>
  </conditionalFormatting>
  <conditionalFormatting sqref="B7">
    <cfRule type="expression" dxfId="1170" priority="17" stopIfTrue="1">
      <formula>MOD(ROW(),2)=0</formula>
    </cfRule>
    <cfRule type="expression" dxfId="1169" priority="18" stopIfTrue="1">
      <formula>MOD(ROW(),2)&lt;&gt;0</formula>
    </cfRule>
  </conditionalFormatting>
  <conditionalFormatting sqref="B11:B13">
    <cfRule type="expression" dxfId="1168" priority="9" stopIfTrue="1">
      <formula>MOD(ROW(),2)=0</formula>
    </cfRule>
    <cfRule type="expression" dxfId="1167" priority="10" stopIfTrue="1">
      <formula>MOD(ROW(),2)&lt;&gt;0</formula>
    </cfRule>
  </conditionalFormatting>
  <conditionalFormatting sqref="B15">
    <cfRule type="expression" dxfId="1166" priority="3" stopIfTrue="1">
      <formula>MOD(ROW(),2)=0</formula>
    </cfRule>
    <cfRule type="expression" dxfId="1165" priority="4" stopIfTrue="1">
      <formula>MOD(ROW(),2)&lt;&gt;0</formula>
    </cfRule>
  </conditionalFormatting>
  <conditionalFormatting sqref="B17:B19">
    <cfRule type="expression" dxfId="1164" priority="1" stopIfTrue="1">
      <formula>MOD(ROW(),2)=0</formula>
    </cfRule>
    <cfRule type="expression" dxfId="1163" priority="2" stopIfTrue="1">
      <formula>MOD(ROW(),2)&lt;&gt;0</formula>
    </cfRule>
  </conditionalFormatting>
  <conditionalFormatting sqref="B19:B24">
    <cfRule type="expression" dxfId="1162" priority="7" stopIfTrue="1">
      <formula>MOD(ROW(),2)=0</formula>
    </cfRule>
    <cfRule type="expression" dxfId="1161" priority="8" stopIfTrue="1">
      <formula>MOD(ROW(),2)&lt;&gt;0</formula>
    </cfRule>
  </conditionalFormatting>
  <pageMargins left="0.75" right="0.75" top="1" bottom="1" header="0.5" footer="0.5"/>
  <pageSetup paperSize="9" scale="84"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D4E14-C0B1-4383-B47A-9F518AD79062}">
  <sheetPr codeName="Sheet5"/>
  <dimension ref="A1:I78"/>
  <sheetViews>
    <sheetView showGridLines="0" zoomScale="85" zoomScaleNormal="85" workbookViewId="0">
      <selection activeCell="B12" sqref="B12"/>
    </sheetView>
  </sheetViews>
  <sheetFormatPr defaultColWidth="8.90625" defaultRowHeight="12.5" x14ac:dyDescent="0.25"/>
  <cols>
    <col min="1" max="1" width="33.54296875" style="25" customWidth="1"/>
    <col min="2" max="2" width="25.90625" style="25" customWidth="1"/>
    <col min="3" max="16384" width="8.90625" style="25"/>
  </cols>
  <sheetData>
    <row r="1" spans="1:9" ht="20" x14ac:dyDescent="0.4">
      <c r="A1" s="36" t="s">
        <v>0</v>
      </c>
      <c r="B1" s="37"/>
      <c r="C1" s="37"/>
      <c r="D1" s="37"/>
      <c r="E1" s="37"/>
      <c r="F1" s="37"/>
      <c r="G1" s="37"/>
      <c r="H1" s="37"/>
      <c r="I1" s="37"/>
    </row>
    <row r="2" spans="1:9" ht="15.5" x14ac:dyDescent="0.35">
      <c r="A2" s="97"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Club - CARE Benefit Adjustment Factors  - x-102</v>
      </c>
      <c r="B3" s="39"/>
      <c r="C3" s="39"/>
      <c r="D3" s="39"/>
      <c r="E3" s="39"/>
      <c r="F3" s="39"/>
      <c r="G3" s="39"/>
      <c r="H3" s="39"/>
      <c r="I3" s="39"/>
    </row>
    <row r="4" spans="1:9" x14ac:dyDescent="0.25">
      <c r="A4" s="41"/>
    </row>
    <row r="6" spans="1:9" ht="13" x14ac:dyDescent="0.3">
      <c r="A6" s="83" t="s">
        <v>276</v>
      </c>
      <c r="B6" s="161" t="s">
        <v>277</v>
      </c>
      <c r="C6" s="84"/>
      <c r="D6" s="84"/>
      <c r="E6" s="84"/>
      <c r="F6" s="84"/>
    </row>
    <row r="7" spans="1:9" ht="14.15" customHeight="1" x14ac:dyDescent="0.25">
      <c r="A7" s="85" t="s">
        <v>278</v>
      </c>
      <c r="B7" s="161" t="s">
        <v>310</v>
      </c>
      <c r="C7" s="86"/>
      <c r="D7" s="86"/>
      <c r="E7" s="86"/>
      <c r="F7" s="86"/>
    </row>
    <row r="8" spans="1:9" ht="14.15" customHeight="1" x14ac:dyDescent="0.25">
      <c r="A8" s="85" t="s">
        <v>280</v>
      </c>
      <c r="B8" s="161" t="s">
        <v>74</v>
      </c>
      <c r="C8" s="86"/>
      <c r="D8" s="86"/>
      <c r="E8" s="86"/>
      <c r="F8" s="86"/>
    </row>
    <row r="9" spans="1:9" ht="14.15" customHeight="1" x14ac:dyDescent="0.25">
      <c r="A9" s="85" t="s">
        <v>282</v>
      </c>
      <c r="B9" s="161" t="s">
        <v>311</v>
      </c>
      <c r="C9" s="86"/>
      <c r="D9" s="86"/>
      <c r="E9" s="86"/>
      <c r="F9" s="86"/>
    </row>
    <row r="10" spans="1:9" ht="14.15" customHeight="1" x14ac:dyDescent="0.25">
      <c r="A10" s="85" t="s">
        <v>6</v>
      </c>
      <c r="B10" s="161" t="s">
        <v>319</v>
      </c>
      <c r="C10" s="86"/>
      <c r="D10" s="86"/>
      <c r="E10" s="86"/>
      <c r="F10" s="86"/>
    </row>
    <row r="11" spans="1:9" ht="14.15" customHeight="1" x14ac:dyDescent="0.25">
      <c r="A11" s="85" t="s">
        <v>285</v>
      </c>
      <c r="B11" s="161" t="s">
        <v>313</v>
      </c>
      <c r="C11" s="86"/>
      <c r="D11" s="86"/>
      <c r="E11" s="86"/>
      <c r="F11" s="86"/>
    </row>
    <row r="12" spans="1:9" ht="14.15" customHeight="1" x14ac:dyDescent="0.25">
      <c r="A12" s="85" t="s">
        <v>287</v>
      </c>
      <c r="B12" s="161" t="s">
        <v>314</v>
      </c>
      <c r="C12" s="86"/>
      <c r="D12" s="86"/>
      <c r="E12" s="86"/>
      <c r="F12" s="86"/>
    </row>
    <row r="13" spans="1:9" ht="14.15" customHeight="1" x14ac:dyDescent="0.25">
      <c r="A13" s="85" t="s">
        <v>289</v>
      </c>
      <c r="B13" s="161">
        <v>0</v>
      </c>
      <c r="C13" s="86"/>
      <c r="D13" s="86"/>
      <c r="E13" s="86"/>
      <c r="F13" s="86"/>
    </row>
    <row r="14" spans="1:9" ht="14.15" customHeight="1" x14ac:dyDescent="0.25">
      <c r="A14" s="85" t="s">
        <v>291</v>
      </c>
      <c r="B14" s="161">
        <v>102</v>
      </c>
      <c r="C14" s="86"/>
      <c r="D14" s="86"/>
      <c r="E14" s="86"/>
      <c r="F14" s="86"/>
    </row>
    <row r="15" spans="1:9" ht="14.15" customHeight="1" x14ac:dyDescent="0.25">
      <c r="A15" s="85" t="s">
        <v>293</v>
      </c>
      <c r="B15" s="161" t="s">
        <v>320</v>
      </c>
      <c r="C15" s="86"/>
      <c r="D15" s="86"/>
      <c r="E15" s="86"/>
      <c r="F15" s="86"/>
    </row>
    <row r="16" spans="1:9" ht="14.15" customHeight="1" x14ac:dyDescent="0.25">
      <c r="A16" s="85" t="s">
        <v>295</v>
      </c>
      <c r="B16" s="161" t="s">
        <v>321</v>
      </c>
      <c r="C16" s="86"/>
      <c r="D16" s="86"/>
      <c r="E16" s="86"/>
      <c r="F16" s="86"/>
    </row>
    <row r="17" spans="1:6" ht="26.4" customHeight="1" x14ac:dyDescent="0.25">
      <c r="A17" s="85" t="s">
        <v>725</v>
      </c>
      <c r="B17" s="161"/>
      <c r="C17" s="70"/>
      <c r="D17" s="70"/>
      <c r="E17" s="70"/>
      <c r="F17" s="70"/>
    </row>
    <row r="18" spans="1:6" ht="14.15" customHeight="1" x14ac:dyDescent="0.25">
      <c r="A18" s="85" t="s">
        <v>299</v>
      </c>
      <c r="B18" s="162">
        <v>45202</v>
      </c>
      <c r="C18" s="96"/>
      <c r="D18" s="96"/>
      <c r="E18" s="96"/>
      <c r="F18" s="96"/>
    </row>
    <row r="19" spans="1:6" ht="14.15" customHeight="1" x14ac:dyDescent="0.25">
      <c r="A19" s="85" t="s">
        <v>301</v>
      </c>
      <c r="B19" s="162">
        <v>45200</v>
      </c>
      <c r="C19" s="96"/>
      <c r="D19" s="96"/>
      <c r="E19" s="96"/>
      <c r="F19" s="96"/>
    </row>
    <row r="20" spans="1:6" ht="14.15" customHeight="1" x14ac:dyDescent="0.25">
      <c r="A20" s="85" t="s">
        <v>303</v>
      </c>
      <c r="B20" s="161" t="s">
        <v>317</v>
      </c>
      <c r="C20" s="70"/>
      <c r="D20" s="70"/>
      <c r="E20" s="70"/>
      <c r="F20" s="70"/>
    </row>
    <row r="21" spans="1:6" x14ac:dyDescent="0.25">
      <c r="A21" s="85" t="s">
        <v>309</v>
      </c>
      <c r="B21" s="161" t="s">
        <v>318</v>
      </c>
      <c r="C21" s="70"/>
      <c r="D21" s="70"/>
      <c r="E21" s="70"/>
      <c r="F21" s="70"/>
    </row>
    <row r="23" spans="1:6" x14ac:dyDescent="0.25">
      <c r="B23" s="103" t="str">
        <f>HYPERLINK("#'Factor List'!A1","Back to Factor List")</f>
        <v>Back to Factor List</v>
      </c>
    </row>
    <row r="24" spans="1:6" x14ac:dyDescent="0.25">
      <c r="B24" s="103" t="s">
        <v>15</v>
      </c>
    </row>
    <row r="26" spans="1:6" ht="13" x14ac:dyDescent="0.25">
      <c r="A26" s="87" t="s">
        <v>499</v>
      </c>
      <c r="B26" s="87" t="s">
        <v>726</v>
      </c>
    </row>
    <row r="27" spans="1:6" x14ac:dyDescent="0.25">
      <c r="A27" s="88">
        <v>16</v>
      </c>
      <c r="B27" s="89">
        <v>0.995</v>
      </c>
    </row>
    <row r="28" spans="1:6" x14ac:dyDescent="0.25">
      <c r="A28" s="88">
        <f>A27+1</f>
        <v>17</v>
      </c>
      <c r="B28" s="89">
        <v>0.995</v>
      </c>
    </row>
    <row r="29" spans="1:6" x14ac:dyDescent="0.25">
      <c r="A29" s="88">
        <f t="shared" ref="A29:A78" si="0">A28+1</f>
        <v>18</v>
      </c>
      <c r="B29" s="89">
        <v>0.995</v>
      </c>
    </row>
    <row r="30" spans="1:6" x14ac:dyDescent="0.25">
      <c r="A30" s="88">
        <f t="shared" si="0"/>
        <v>19</v>
      </c>
      <c r="B30" s="89">
        <v>0.995</v>
      </c>
    </row>
    <row r="31" spans="1:6" x14ac:dyDescent="0.25">
      <c r="A31" s="88">
        <f t="shared" si="0"/>
        <v>20</v>
      </c>
      <c r="B31" s="89">
        <v>0.995</v>
      </c>
    </row>
    <row r="32" spans="1:6" x14ac:dyDescent="0.25">
      <c r="A32" s="88">
        <f t="shared" si="0"/>
        <v>21</v>
      </c>
      <c r="B32" s="89">
        <v>0.995</v>
      </c>
    </row>
    <row r="33" spans="1:2" x14ac:dyDescent="0.25">
      <c r="A33" s="88">
        <f t="shared" si="0"/>
        <v>22</v>
      </c>
      <c r="B33" s="89">
        <v>0.995</v>
      </c>
    </row>
    <row r="34" spans="1:2" x14ac:dyDescent="0.25">
      <c r="A34" s="88">
        <f t="shared" si="0"/>
        <v>23</v>
      </c>
      <c r="B34" s="89">
        <v>0.995</v>
      </c>
    </row>
    <row r="35" spans="1:2" x14ac:dyDescent="0.25">
      <c r="A35" s="88">
        <f t="shared" si="0"/>
        <v>24</v>
      </c>
      <c r="B35" s="89">
        <v>0.995</v>
      </c>
    </row>
    <row r="36" spans="1:2" x14ac:dyDescent="0.25">
      <c r="A36" s="88">
        <f>A35+1</f>
        <v>25</v>
      </c>
      <c r="B36" s="89">
        <v>0.995</v>
      </c>
    </row>
    <row r="37" spans="1:2" x14ac:dyDescent="0.25">
      <c r="A37" s="88">
        <f t="shared" si="0"/>
        <v>26</v>
      </c>
      <c r="B37" s="89">
        <v>0.995</v>
      </c>
    </row>
    <row r="38" spans="1:2" x14ac:dyDescent="0.25">
      <c r="A38" s="88">
        <f t="shared" si="0"/>
        <v>27</v>
      </c>
      <c r="B38" s="89">
        <v>0.995</v>
      </c>
    </row>
    <row r="39" spans="1:2" x14ac:dyDescent="0.25">
      <c r="A39" s="88">
        <f t="shared" si="0"/>
        <v>28</v>
      </c>
      <c r="B39" s="89">
        <v>0.995</v>
      </c>
    </row>
    <row r="40" spans="1:2" x14ac:dyDescent="0.25">
      <c r="A40" s="88">
        <f>A39+1</f>
        <v>29</v>
      </c>
      <c r="B40" s="89">
        <v>0.995</v>
      </c>
    </row>
    <row r="41" spans="1:2" x14ac:dyDescent="0.25">
      <c r="A41" s="88">
        <f t="shared" si="0"/>
        <v>30</v>
      </c>
      <c r="B41" s="89">
        <v>0.995</v>
      </c>
    </row>
    <row r="42" spans="1:2" x14ac:dyDescent="0.25">
      <c r="A42" s="88">
        <f t="shared" si="0"/>
        <v>31</v>
      </c>
      <c r="B42" s="89">
        <v>0.995</v>
      </c>
    </row>
    <row r="43" spans="1:2" x14ac:dyDescent="0.25">
      <c r="A43" s="88">
        <f t="shared" si="0"/>
        <v>32</v>
      </c>
      <c r="B43" s="89">
        <v>0.995</v>
      </c>
    </row>
    <row r="44" spans="1:2" x14ac:dyDescent="0.25">
      <c r="A44" s="88">
        <f t="shared" si="0"/>
        <v>33</v>
      </c>
      <c r="B44" s="89">
        <v>0.995</v>
      </c>
    </row>
    <row r="45" spans="1:2" x14ac:dyDescent="0.25">
      <c r="A45" s="88">
        <f t="shared" si="0"/>
        <v>34</v>
      </c>
      <c r="B45" s="89">
        <v>0.995</v>
      </c>
    </row>
    <row r="46" spans="1:2" x14ac:dyDescent="0.25">
      <c r="A46" s="88">
        <f t="shared" si="0"/>
        <v>35</v>
      </c>
      <c r="B46" s="89">
        <v>0.995</v>
      </c>
    </row>
    <row r="47" spans="1:2" x14ac:dyDescent="0.25">
      <c r="A47" s="88">
        <f t="shared" si="0"/>
        <v>36</v>
      </c>
      <c r="B47" s="89">
        <v>0.995</v>
      </c>
    </row>
    <row r="48" spans="1:2" x14ac:dyDescent="0.25">
      <c r="A48" s="88">
        <f t="shared" si="0"/>
        <v>37</v>
      </c>
      <c r="B48" s="89">
        <v>0.995</v>
      </c>
    </row>
    <row r="49" spans="1:2" x14ac:dyDescent="0.25">
      <c r="A49" s="88">
        <f t="shared" si="0"/>
        <v>38</v>
      </c>
      <c r="B49" s="89">
        <v>0.995</v>
      </c>
    </row>
    <row r="50" spans="1:2" x14ac:dyDescent="0.25">
      <c r="A50" s="88">
        <f t="shared" si="0"/>
        <v>39</v>
      </c>
      <c r="B50" s="89">
        <v>0.995</v>
      </c>
    </row>
    <row r="51" spans="1:2" x14ac:dyDescent="0.25">
      <c r="A51" s="88">
        <f t="shared" si="0"/>
        <v>40</v>
      </c>
      <c r="B51" s="89">
        <v>0.995</v>
      </c>
    </row>
    <row r="52" spans="1:2" x14ac:dyDescent="0.25">
      <c r="A52" s="88">
        <f t="shared" si="0"/>
        <v>41</v>
      </c>
      <c r="B52" s="89">
        <v>0.995</v>
      </c>
    </row>
    <row r="53" spans="1:2" x14ac:dyDescent="0.25">
      <c r="A53" s="88">
        <f t="shared" si="0"/>
        <v>42</v>
      </c>
      <c r="B53" s="89">
        <v>0.995</v>
      </c>
    </row>
    <row r="54" spans="1:2" x14ac:dyDescent="0.25">
      <c r="A54" s="88">
        <f t="shared" si="0"/>
        <v>43</v>
      </c>
      <c r="B54" s="89">
        <v>0.995</v>
      </c>
    </row>
    <row r="55" spans="1:2" x14ac:dyDescent="0.25">
      <c r="A55" s="88">
        <f t="shared" si="0"/>
        <v>44</v>
      </c>
      <c r="B55" s="89">
        <v>0.995</v>
      </c>
    </row>
    <row r="56" spans="1:2" x14ac:dyDescent="0.25">
      <c r="A56" s="88">
        <f t="shared" si="0"/>
        <v>45</v>
      </c>
      <c r="B56" s="89">
        <v>0.995</v>
      </c>
    </row>
    <row r="57" spans="1:2" x14ac:dyDescent="0.25">
      <c r="A57" s="88">
        <f t="shared" si="0"/>
        <v>46</v>
      </c>
      <c r="B57" s="89">
        <v>0.995</v>
      </c>
    </row>
    <row r="58" spans="1:2" x14ac:dyDescent="0.25">
      <c r="A58" s="88">
        <f t="shared" si="0"/>
        <v>47</v>
      </c>
      <c r="B58" s="89">
        <v>0.995</v>
      </c>
    </row>
    <row r="59" spans="1:2" x14ac:dyDescent="0.25">
      <c r="A59" s="88">
        <f t="shared" si="0"/>
        <v>48</v>
      </c>
      <c r="B59" s="89">
        <v>0.995</v>
      </c>
    </row>
    <row r="60" spans="1:2" x14ac:dyDescent="0.25">
      <c r="A60" s="88">
        <f t="shared" si="0"/>
        <v>49</v>
      </c>
      <c r="B60" s="89">
        <v>0.995</v>
      </c>
    </row>
    <row r="61" spans="1:2" x14ac:dyDescent="0.25">
      <c r="A61" s="88">
        <f t="shared" si="0"/>
        <v>50</v>
      </c>
      <c r="B61" s="89">
        <v>0.995</v>
      </c>
    </row>
    <row r="62" spans="1:2" x14ac:dyDescent="0.25">
      <c r="A62" s="88">
        <f t="shared" si="0"/>
        <v>51</v>
      </c>
      <c r="B62" s="89">
        <v>0.995</v>
      </c>
    </row>
    <row r="63" spans="1:2" x14ac:dyDescent="0.25">
      <c r="A63" s="88">
        <f t="shared" si="0"/>
        <v>52</v>
      </c>
      <c r="B63" s="89">
        <v>0.995</v>
      </c>
    </row>
    <row r="64" spans="1:2" x14ac:dyDescent="0.25">
      <c r="A64" s="88">
        <f t="shared" si="0"/>
        <v>53</v>
      </c>
      <c r="B64" s="89">
        <v>0.995</v>
      </c>
    </row>
    <row r="65" spans="1:2" x14ac:dyDescent="0.25">
      <c r="A65" s="88">
        <f t="shared" si="0"/>
        <v>54</v>
      </c>
      <c r="B65" s="89">
        <v>0.995</v>
      </c>
    </row>
    <row r="66" spans="1:2" x14ac:dyDescent="0.25">
      <c r="A66" s="88">
        <f t="shared" si="0"/>
        <v>55</v>
      </c>
      <c r="B66" s="89">
        <v>0.996</v>
      </c>
    </row>
    <row r="67" spans="1:2" x14ac:dyDescent="0.25">
      <c r="A67" s="88">
        <f t="shared" si="0"/>
        <v>56</v>
      </c>
      <c r="B67" s="89">
        <v>0.996</v>
      </c>
    </row>
    <row r="68" spans="1:2" x14ac:dyDescent="0.25">
      <c r="A68" s="88">
        <f t="shared" si="0"/>
        <v>57</v>
      </c>
      <c r="B68" s="89">
        <v>0.996</v>
      </c>
    </row>
    <row r="69" spans="1:2" x14ac:dyDescent="0.25">
      <c r="A69" s="88">
        <f t="shared" si="0"/>
        <v>58</v>
      </c>
      <c r="B69" s="89">
        <v>0.996</v>
      </c>
    </row>
    <row r="70" spans="1:2" x14ac:dyDescent="0.25">
      <c r="A70" s="88">
        <f t="shared" si="0"/>
        <v>59</v>
      </c>
      <c r="B70" s="89">
        <v>0.996</v>
      </c>
    </row>
    <row r="71" spans="1:2" x14ac:dyDescent="0.25">
      <c r="A71" s="88">
        <f t="shared" si="0"/>
        <v>60</v>
      </c>
      <c r="B71" s="89">
        <v>0.996</v>
      </c>
    </row>
    <row r="72" spans="1:2" x14ac:dyDescent="0.25">
      <c r="A72" s="88">
        <f t="shared" si="0"/>
        <v>61</v>
      </c>
      <c r="B72" s="89">
        <v>0.996</v>
      </c>
    </row>
    <row r="73" spans="1:2" x14ac:dyDescent="0.25">
      <c r="A73" s="88">
        <f t="shared" si="0"/>
        <v>62</v>
      </c>
      <c r="B73" s="89">
        <v>0.996</v>
      </c>
    </row>
    <row r="74" spans="1:2" x14ac:dyDescent="0.25">
      <c r="A74" s="88">
        <f t="shared" si="0"/>
        <v>63</v>
      </c>
      <c r="B74" s="89">
        <v>0.996</v>
      </c>
    </row>
    <row r="75" spans="1:2" x14ac:dyDescent="0.25">
      <c r="A75" s="88">
        <f t="shared" si="0"/>
        <v>64</v>
      </c>
      <c r="B75" s="89">
        <v>0.996</v>
      </c>
    </row>
    <row r="76" spans="1:2" x14ac:dyDescent="0.25">
      <c r="A76" s="88">
        <f t="shared" si="0"/>
        <v>65</v>
      </c>
      <c r="B76" s="89">
        <v>0.996</v>
      </c>
    </row>
    <row r="77" spans="1:2" x14ac:dyDescent="0.25">
      <c r="A77" s="88">
        <f t="shared" si="0"/>
        <v>66</v>
      </c>
      <c r="B77" s="89">
        <v>0.996</v>
      </c>
    </row>
    <row r="78" spans="1:2" x14ac:dyDescent="0.25">
      <c r="A78" s="88">
        <f t="shared" si="0"/>
        <v>67</v>
      </c>
      <c r="B78" s="89">
        <v>0.996</v>
      </c>
    </row>
  </sheetData>
  <sheetProtection algorithmName="SHA-512" hashValue="w8sQ5/Hn4h3X3fc+yl7yMgvZgwZnjMh9W75qF8F3XDZFkPWR6lV1YlBh6YPm+N/r4CmaTH3FVFNzsfyZKtuqJw==" saltValue="/fetA4/SNVt8R4mz4LodRA==" spinCount="100000" sheet="1" objects="1" scenarios="1"/>
  <conditionalFormatting sqref="A6:A21">
    <cfRule type="expression" dxfId="1123" priority="31" stopIfTrue="1">
      <formula>MOD(ROW(),2)=0</formula>
    </cfRule>
    <cfRule type="expression" dxfId="1122" priority="32" stopIfTrue="1">
      <formula>MOD(ROW(),2)&lt;&gt;0</formula>
    </cfRule>
  </conditionalFormatting>
  <conditionalFormatting sqref="A26:A78">
    <cfRule type="expression" dxfId="1121" priority="15" stopIfTrue="1">
      <formula>MOD(ROW(),2)=0</formula>
    </cfRule>
    <cfRule type="expression" dxfId="1120" priority="16" stopIfTrue="1">
      <formula>MOD(ROW(),2)&lt;&gt;0</formula>
    </cfRule>
  </conditionalFormatting>
  <conditionalFormatting sqref="B6:B21">
    <cfRule type="expression" dxfId="1119" priority="11" stopIfTrue="1">
      <formula>MOD(ROW(),2)=0</formula>
    </cfRule>
    <cfRule type="expression" dxfId="1118" priority="12" stopIfTrue="1">
      <formula>MOD(ROW(),2)&lt;&gt;0</formula>
    </cfRule>
  </conditionalFormatting>
  <conditionalFormatting sqref="B26:B78">
    <cfRule type="expression" dxfId="1117" priority="17" stopIfTrue="1">
      <formula>MOD(ROW(),2)=0</formula>
    </cfRule>
    <cfRule type="expression" dxfId="1116" priority="18" stopIfTrue="1">
      <formula>MOD(ROW(),2)&lt;&gt;0</formula>
    </cfRule>
  </conditionalFormatting>
  <conditionalFormatting sqref="B6:F6 C7:F7">
    <cfRule type="expression" dxfId="1115" priority="33" stopIfTrue="1">
      <formula>MOD(ROW(),2)=0</formula>
    </cfRule>
    <cfRule type="expression" dxfId="1114" priority="34" stopIfTrue="1">
      <formula>MOD(ROW(),2)&lt;&gt;0</formula>
    </cfRule>
  </conditionalFormatting>
  <conditionalFormatting sqref="B8:F16">
    <cfRule type="expression" dxfId="1113" priority="29" stopIfTrue="1">
      <formula>MOD(ROW(),2)=0</formula>
    </cfRule>
    <cfRule type="expression" dxfId="1112" priority="30" stopIfTrue="1">
      <formula>MOD(ROW(),2)&lt;&gt;0</formula>
    </cfRule>
  </conditionalFormatting>
  <conditionalFormatting sqref="B17:F21">
    <cfRule type="expression" dxfId="1111" priority="1" stopIfTrue="1">
      <formula>MOD(ROW(),2)=0</formula>
    </cfRule>
    <cfRule type="expression" dxfId="1110" priority="2" stopIfTrue="1">
      <formula>MOD(ROW(),2)&lt;&gt;0</formula>
    </cfRule>
  </conditionalFormatting>
  <hyperlinks>
    <hyperlink ref="B24" location="Assumptions!A1" display="Assumptions" xr:uid="{F18CE9E5-9578-4619-997E-56BB9EF34616}"/>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85"/>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x-813</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622</v>
      </c>
      <c r="C8" s="161"/>
      <c r="D8" s="161"/>
      <c r="E8" s="161"/>
      <c r="F8" s="161"/>
      <c r="G8" s="161"/>
      <c r="H8" s="161"/>
      <c r="I8" s="161"/>
      <c r="J8" s="161"/>
      <c r="K8" s="161"/>
      <c r="L8" s="161"/>
      <c r="M8" s="161"/>
    </row>
    <row r="9" spans="1:13" x14ac:dyDescent="0.25">
      <c r="A9" s="85" t="s">
        <v>282</v>
      </c>
      <c r="B9" s="161" t="s">
        <v>396</v>
      </c>
      <c r="C9" s="161"/>
      <c r="D9" s="161"/>
      <c r="E9" s="161"/>
      <c r="F9" s="161"/>
      <c r="G9" s="161"/>
      <c r="H9" s="161"/>
      <c r="I9" s="161"/>
      <c r="J9" s="161"/>
      <c r="K9" s="161"/>
      <c r="L9" s="161"/>
      <c r="M9" s="161"/>
    </row>
    <row r="10" spans="1:13" x14ac:dyDescent="0.25">
      <c r="A10" s="85" t="s">
        <v>6</v>
      </c>
      <c r="B10" s="161" t="s">
        <v>623</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582</v>
      </c>
      <c r="C12" s="161"/>
      <c r="D12" s="161"/>
      <c r="E12" s="161"/>
      <c r="F12" s="161"/>
      <c r="G12" s="161"/>
      <c r="H12" s="161"/>
      <c r="I12" s="161"/>
      <c r="J12" s="161"/>
      <c r="K12" s="161"/>
      <c r="L12" s="161"/>
      <c r="M12" s="161"/>
    </row>
    <row r="13" spans="1:13" x14ac:dyDescent="0.25">
      <c r="A13" s="85" t="s">
        <v>289</v>
      </c>
      <c r="B13" s="161">
        <v>0</v>
      </c>
      <c r="C13" s="161"/>
      <c r="D13" s="161"/>
      <c r="E13" s="161"/>
      <c r="F13" s="161"/>
      <c r="G13" s="161"/>
      <c r="H13" s="161"/>
      <c r="I13" s="161"/>
      <c r="J13" s="161"/>
      <c r="K13" s="161"/>
      <c r="L13" s="161"/>
      <c r="M13" s="161"/>
    </row>
    <row r="14" spans="1:13" x14ac:dyDescent="0.25">
      <c r="A14" s="85" t="s">
        <v>291</v>
      </c>
      <c r="B14" s="161">
        <v>813</v>
      </c>
      <c r="C14" s="161"/>
      <c r="D14" s="161"/>
      <c r="E14" s="161"/>
      <c r="F14" s="161"/>
      <c r="G14" s="161"/>
      <c r="H14" s="161"/>
      <c r="I14" s="161"/>
      <c r="J14" s="161"/>
      <c r="K14" s="161"/>
      <c r="L14" s="161"/>
      <c r="M14" s="161"/>
    </row>
    <row r="15" spans="1:13" x14ac:dyDescent="0.25">
      <c r="A15" s="85" t="s">
        <v>293</v>
      </c>
      <c r="B15" s="161" t="s">
        <v>624</v>
      </c>
      <c r="C15" s="161"/>
      <c r="D15" s="161"/>
      <c r="E15" s="161"/>
      <c r="F15" s="161"/>
      <c r="G15" s="161"/>
      <c r="H15" s="161"/>
      <c r="I15" s="161"/>
      <c r="J15" s="161"/>
      <c r="K15" s="161"/>
      <c r="L15" s="161"/>
      <c r="M15" s="161"/>
    </row>
    <row r="16" spans="1:13" x14ac:dyDescent="0.25">
      <c r="A16" s="85" t="s">
        <v>295</v>
      </c>
      <c r="B16" s="161" t="s">
        <v>584</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45135</v>
      </c>
      <c r="C18" s="161"/>
      <c r="D18" s="161"/>
      <c r="E18" s="161"/>
      <c r="F18" s="161"/>
      <c r="G18" s="161"/>
      <c r="H18" s="161"/>
      <c r="I18" s="161"/>
      <c r="J18" s="161"/>
      <c r="K18" s="161"/>
      <c r="L18" s="161"/>
      <c r="M18" s="161"/>
    </row>
    <row r="19" spans="1:13" x14ac:dyDescent="0.25">
      <c r="A19" s="85" t="s">
        <v>301</v>
      </c>
      <c r="B19" s="162">
        <v>45200</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55</v>
      </c>
      <c r="B27" s="117">
        <v>25.385999999999999</v>
      </c>
      <c r="C27" s="117">
        <v>25.338000000000001</v>
      </c>
      <c r="D27" s="117">
        <v>25.289000000000001</v>
      </c>
      <c r="E27" s="117">
        <v>25.241</v>
      </c>
      <c r="F27" s="117">
        <v>25.192</v>
      </c>
      <c r="G27" s="117">
        <v>25.143000000000001</v>
      </c>
      <c r="H27" s="117">
        <v>25.094999999999999</v>
      </c>
      <c r="I27" s="117">
        <v>25.045999999999999</v>
      </c>
      <c r="J27" s="117">
        <v>24.998000000000001</v>
      </c>
      <c r="K27" s="117">
        <v>24.949000000000002</v>
      </c>
      <c r="L27" s="117">
        <v>24.9</v>
      </c>
      <c r="M27" s="117">
        <v>24.852</v>
      </c>
    </row>
    <row r="28" spans="1:13" x14ac:dyDescent="0.25">
      <c r="A28" s="99">
        <v>56</v>
      </c>
      <c r="B28" s="117">
        <v>24.803000000000001</v>
      </c>
      <c r="C28" s="117">
        <v>24.754000000000001</v>
      </c>
      <c r="D28" s="117">
        <v>24.704999999999998</v>
      </c>
      <c r="E28" s="117">
        <v>24.655999999999999</v>
      </c>
      <c r="F28" s="117">
        <v>24.606999999999999</v>
      </c>
      <c r="G28" s="117">
        <v>24.558</v>
      </c>
      <c r="H28" s="117">
        <v>24.507999999999999</v>
      </c>
      <c r="I28" s="117">
        <v>24.459</v>
      </c>
      <c r="J28" s="117">
        <v>24.41</v>
      </c>
      <c r="K28" s="117">
        <v>24.361000000000001</v>
      </c>
      <c r="L28" s="117">
        <v>24.312000000000001</v>
      </c>
      <c r="M28" s="117">
        <v>24.263000000000002</v>
      </c>
    </row>
    <row r="29" spans="1:13" x14ac:dyDescent="0.25">
      <c r="A29" s="99">
        <v>57</v>
      </c>
      <c r="B29" s="117">
        <v>24.213999999999999</v>
      </c>
      <c r="C29" s="117">
        <v>24.164000000000001</v>
      </c>
      <c r="D29" s="117">
        <v>24.114000000000001</v>
      </c>
      <c r="E29" s="117">
        <v>24.065000000000001</v>
      </c>
      <c r="F29" s="117">
        <v>24.015000000000001</v>
      </c>
      <c r="G29" s="117">
        <v>23.966000000000001</v>
      </c>
      <c r="H29" s="117">
        <v>23.916</v>
      </c>
      <c r="I29" s="117">
        <v>23.866</v>
      </c>
      <c r="J29" s="117">
        <v>23.817</v>
      </c>
      <c r="K29" s="117">
        <v>23.766999999999999</v>
      </c>
      <c r="L29" s="117">
        <v>23.718</v>
      </c>
      <c r="M29" s="117">
        <v>23.667999999999999</v>
      </c>
    </row>
    <row r="30" spans="1:13" x14ac:dyDescent="0.25">
      <c r="A30" s="99">
        <v>58</v>
      </c>
      <c r="B30" s="117">
        <v>23.617999999999999</v>
      </c>
      <c r="C30" s="117">
        <v>23.568000000000001</v>
      </c>
      <c r="D30" s="117">
        <v>23.518000000000001</v>
      </c>
      <c r="E30" s="117">
        <v>23.468</v>
      </c>
      <c r="F30" s="117">
        <v>23.417000000000002</v>
      </c>
      <c r="G30" s="117">
        <v>23.367000000000001</v>
      </c>
      <c r="H30" s="117">
        <v>23.317</v>
      </c>
      <c r="I30" s="117">
        <v>23.266999999999999</v>
      </c>
      <c r="J30" s="117">
        <v>23.216999999999999</v>
      </c>
      <c r="K30" s="117">
        <v>23.167000000000002</v>
      </c>
      <c r="L30" s="117">
        <v>23.116</v>
      </c>
      <c r="M30" s="117">
        <v>23.065999999999999</v>
      </c>
    </row>
    <row r="31" spans="1:13" x14ac:dyDescent="0.25">
      <c r="A31" s="99">
        <v>59</v>
      </c>
      <c r="B31" s="117">
        <v>23.015999999999998</v>
      </c>
      <c r="C31" s="117">
        <v>22.965</v>
      </c>
      <c r="D31" s="117">
        <v>22.914000000000001</v>
      </c>
      <c r="E31" s="117">
        <v>22.864000000000001</v>
      </c>
      <c r="F31" s="117">
        <v>22.812999999999999</v>
      </c>
      <c r="G31" s="117">
        <v>22.762</v>
      </c>
      <c r="H31" s="117">
        <v>22.710999999999999</v>
      </c>
      <c r="I31" s="117">
        <v>22.661000000000001</v>
      </c>
      <c r="J31" s="117">
        <v>22.61</v>
      </c>
      <c r="K31" s="117">
        <v>22.559000000000001</v>
      </c>
      <c r="L31" s="117">
        <v>22.509</v>
      </c>
      <c r="M31" s="117">
        <v>22.457999999999998</v>
      </c>
    </row>
    <row r="32" spans="1:13" x14ac:dyDescent="0.25">
      <c r="A32" s="99">
        <v>60</v>
      </c>
      <c r="B32" s="117">
        <v>22.407</v>
      </c>
      <c r="C32" s="117">
        <v>22.356000000000002</v>
      </c>
      <c r="D32" s="117">
        <v>22.303999999999998</v>
      </c>
      <c r="E32" s="117">
        <v>22.253</v>
      </c>
      <c r="F32" s="117">
        <v>22.202000000000002</v>
      </c>
      <c r="G32" s="117">
        <v>22.151</v>
      </c>
      <c r="H32" s="117">
        <v>22.099</v>
      </c>
      <c r="I32" s="117">
        <v>22.047999999999998</v>
      </c>
      <c r="J32" s="117">
        <v>21.997</v>
      </c>
      <c r="K32" s="117">
        <v>21.946000000000002</v>
      </c>
      <c r="L32" s="117">
        <v>21.893999999999998</v>
      </c>
      <c r="M32" s="117">
        <v>21.843</v>
      </c>
    </row>
    <row r="33" spans="1:13" x14ac:dyDescent="0.25">
      <c r="A33" s="99">
        <v>61</v>
      </c>
      <c r="B33" s="117">
        <v>21.792000000000002</v>
      </c>
      <c r="C33" s="117">
        <v>21.74</v>
      </c>
      <c r="D33" s="117">
        <v>21.687999999999999</v>
      </c>
      <c r="E33" s="117">
        <v>21.635999999999999</v>
      </c>
      <c r="F33" s="117">
        <v>21.585000000000001</v>
      </c>
      <c r="G33" s="117">
        <v>21.533000000000001</v>
      </c>
      <c r="H33" s="117">
        <v>21.481000000000002</v>
      </c>
      <c r="I33" s="117">
        <v>21.428999999999998</v>
      </c>
      <c r="J33" s="117">
        <v>21.378</v>
      </c>
      <c r="K33" s="117">
        <v>21.326000000000001</v>
      </c>
      <c r="L33" s="117">
        <v>21.274000000000001</v>
      </c>
      <c r="M33" s="117">
        <v>21.222000000000001</v>
      </c>
    </row>
    <row r="34" spans="1:13" x14ac:dyDescent="0.25">
      <c r="A34" s="99">
        <v>62</v>
      </c>
      <c r="B34" s="117">
        <v>21.17</v>
      </c>
      <c r="C34" s="117">
        <v>21.117999999999999</v>
      </c>
      <c r="D34" s="117">
        <v>21.065999999999999</v>
      </c>
      <c r="E34" s="117">
        <v>21.013999999999999</v>
      </c>
      <c r="F34" s="117">
        <v>20.962</v>
      </c>
      <c r="G34" s="117">
        <v>20.908999999999999</v>
      </c>
      <c r="H34" s="117">
        <v>20.856999999999999</v>
      </c>
      <c r="I34" s="117">
        <v>20.805</v>
      </c>
      <c r="J34" s="117">
        <v>20.753</v>
      </c>
      <c r="K34" s="117">
        <v>20.7</v>
      </c>
      <c r="L34" s="117">
        <v>20.648</v>
      </c>
      <c r="M34" s="117">
        <v>20.596</v>
      </c>
    </row>
    <row r="35" spans="1:13" x14ac:dyDescent="0.25">
      <c r="A35" s="99">
        <v>63</v>
      </c>
      <c r="B35" s="117">
        <v>20.544</v>
      </c>
      <c r="C35" s="117">
        <v>20.491</v>
      </c>
      <c r="D35" s="117">
        <v>20.437999999999999</v>
      </c>
      <c r="E35" s="117">
        <v>20.385999999999999</v>
      </c>
      <c r="F35" s="117">
        <v>20.332999999999998</v>
      </c>
      <c r="G35" s="117">
        <v>20.28</v>
      </c>
      <c r="H35" s="117">
        <v>20.228000000000002</v>
      </c>
      <c r="I35" s="117">
        <v>20.175000000000001</v>
      </c>
      <c r="J35" s="117">
        <v>20.122</v>
      </c>
      <c r="K35" s="117">
        <v>20.07</v>
      </c>
      <c r="L35" s="117">
        <v>20.016999999999999</v>
      </c>
      <c r="M35" s="117">
        <v>19.963999999999999</v>
      </c>
    </row>
    <row r="36" spans="1:13" x14ac:dyDescent="0.25">
      <c r="A36" s="99">
        <v>64</v>
      </c>
      <c r="B36" s="117">
        <v>19.911999999999999</v>
      </c>
      <c r="C36" s="117">
        <v>19.859000000000002</v>
      </c>
      <c r="D36" s="117">
        <v>19.805</v>
      </c>
      <c r="E36" s="117">
        <v>19.751999999999999</v>
      </c>
      <c r="F36" s="117">
        <v>19.699000000000002</v>
      </c>
      <c r="G36" s="117">
        <v>19.646000000000001</v>
      </c>
      <c r="H36" s="117">
        <v>19.593</v>
      </c>
      <c r="I36" s="117">
        <v>19.54</v>
      </c>
      <c r="J36" s="117">
        <v>19.486999999999998</v>
      </c>
      <c r="K36" s="117">
        <v>19.434000000000001</v>
      </c>
      <c r="L36" s="117">
        <v>19.381</v>
      </c>
      <c r="M36" s="117">
        <v>19.327999999999999</v>
      </c>
    </row>
    <row r="37" spans="1:13" x14ac:dyDescent="0.25">
      <c r="A37" s="99">
        <v>65</v>
      </c>
      <c r="B37" s="117">
        <v>19.274999999999999</v>
      </c>
      <c r="C37" s="117">
        <v>19.221</v>
      </c>
      <c r="D37" s="117">
        <v>19.167999999999999</v>
      </c>
      <c r="E37" s="117">
        <v>19.114999999999998</v>
      </c>
      <c r="F37" s="117">
        <v>19.061</v>
      </c>
      <c r="G37" s="117">
        <v>19.007999999999999</v>
      </c>
      <c r="H37" s="117">
        <v>18.954000000000001</v>
      </c>
      <c r="I37" s="117">
        <v>18.901</v>
      </c>
      <c r="J37" s="117">
        <v>18.847999999999999</v>
      </c>
      <c r="K37" s="117">
        <v>18.794</v>
      </c>
      <c r="L37" s="117">
        <v>18.741</v>
      </c>
      <c r="M37" s="117">
        <v>18.687000000000001</v>
      </c>
    </row>
    <row r="38" spans="1:13" x14ac:dyDescent="0.25">
      <c r="A38" s="99">
        <v>66</v>
      </c>
      <c r="B38" s="117">
        <v>18.634</v>
      </c>
      <c r="C38" s="117">
        <v>18.579999999999998</v>
      </c>
      <c r="D38" s="117">
        <v>18.526</v>
      </c>
      <c r="E38" s="117">
        <v>18.472000000000001</v>
      </c>
      <c r="F38" s="117">
        <v>18.417999999999999</v>
      </c>
      <c r="G38" s="117">
        <v>18.364999999999998</v>
      </c>
      <c r="H38" s="117">
        <v>18.311</v>
      </c>
      <c r="I38" s="117">
        <v>18.257000000000001</v>
      </c>
      <c r="J38" s="117">
        <v>18.202999999999999</v>
      </c>
      <c r="K38" s="117">
        <v>18.149000000000001</v>
      </c>
      <c r="L38" s="117">
        <v>18.096</v>
      </c>
      <c r="M38" s="117">
        <v>18.042000000000002</v>
      </c>
    </row>
    <row r="39" spans="1:13" x14ac:dyDescent="0.25">
      <c r="A39" s="99">
        <v>67</v>
      </c>
      <c r="B39" s="117">
        <v>17.988</v>
      </c>
      <c r="C39" s="117">
        <v>17.934000000000001</v>
      </c>
      <c r="D39" s="117">
        <v>17.88</v>
      </c>
      <c r="E39" s="117">
        <v>17.824999999999999</v>
      </c>
      <c r="F39" s="117">
        <v>17.771000000000001</v>
      </c>
      <c r="G39" s="117">
        <v>17.716999999999999</v>
      </c>
      <c r="H39" s="117">
        <v>17.663</v>
      </c>
      <c r="I39" s="117">
        <v>17.609000000000002</v>
      </c>
      <c r="J39" s="117">
        <v>17.555</v>
      </c>
      <c r="K39" s="117">
        <v>17.501000000000001</v>
      </c>
      <c r="L39" s="117">
        <v>17.446999999999999</v>
      </c>
      <c r="M39" s="117">
        <v>17.393000000000001</v>
      </c>
    </row>
    <row r="40" spans="1:13" x14ac:dyDescent="0.25">
      <c r="A40" s="99">
        <v>68</v>
      </c>
      <c r="B40" s="117">
        <v>17.366</v>
      </c>
      <c r="C40" s="117"/>
      <c r="D40" s="117"/>
      <c r="E40" s="117"/>
      <c r="F40" s="117"/>
      <c r="G40" s="117"/>
      <c r="H40" s="117"/>
      <c r="I40" s="117"/>
      <c r="J40" s="117"/>
      <c r="K40" s="117"/>
      <c r="L40" s="117"/>
      <c r="M40" s="117"/>
    </row>
    <row r="44" spans="1:13" ht="39.65" customHeight="1" x14ac:dyDescent="0.25"/>
    <row r="46" spans="1:13" ht="27.65" customHeight="1" x14ac:dyDescent="0.25"/>
  </sheetData>
  <sheetProtection algorithmName="SHA-512" hashValue="zUA3f9uIwqdHK2KsD8gDeMOQtg+y4NKcc4fFwfV0IKhFngQt9UV3TBnPOLeKorOPbH4MV+qGbky6qHkdMGLupA==" saltValue="oOXkQvGHOESldEQ1Ino+EQ==" spinCount="100000" sheet="1" objects="1" scenarios="1"/>
  <conditionalFormatting sqref="A6:A21">
    <cfRule type="expression" dxfId="113" priority="9" stopIfTrue="1">
      <formula>MOD(ROW(),2)=0</formula>
    </cfRule>
    <cfRule type="expression" dxfId="112" priority="10" stopIfTrue="1">
      <formula>MOD(ROW(),2)&lt;&gt;0</formula>
    </cfRule>
  </conditionalFormatting>
  <conditionalFormatting sqref="A26:A40">
    <cfRule type="expression" dxfId="111" priority="3" stopIfTrue="1">
      <formula>MOD(ROW(),2)=0</formula>
    </cfRule>
    <cfRule type="expression" dxfId="110" priority="4" stopIfTrue="1">
      <formula>MOD(ROW(),2)&lt;&gt;0</formula>
    </cfRule>
  </conditionalFormatting>
  <conditionalFormatting sqref="B9">
    <cfRule type="expression" dxfId="109" priority="1" stopIfTrue="1">
      <formula>MOD(ROW(),2)=0</formula>
    </cfRule>
    <cfRule type="expression" dxfId="108" priority="2" stopIfTrue="1">
      <formula>MOD(ROW(),2)&lt;&gt;0</formula>
    </cfRule>
  </conditionalFormatting>
  <conditionalFormatting sqref="B17:B21">
    <cfRule type="expression" dxfId="107" priority="7" stopIfTrue="1">
      <formula>MOD(ROW(),2)=0</formula>
    </cfRule>
    <cfRule type="expression" dxfId="106" priority="8" stopIfTrue="1">
      <formula>MOD(ROW(),2)&lt;&gt;0</formula>
    </cfRule>
  </conditionalFormatting>
  <conditionalFormatting sqref="B6:M21">
    <cfRule type="expression" dxfId="105" priority="19" stopIfTrue="1">
      <formula>MOD(ROW(),2)=0</formula>
    </cfRule>
    <cfRule type="expression" dxfId="104" priority="20" stopIfTrue="1">
      <formula>MOD(ROW(),2)&lt;&gt;0</formula>
    </cfRule>
  </conditionalFormatting>
  <conditionalFormatting sqref="B26:M40">
    <cfRule type="expression" dxfId="103" priority="5" stopIfTrue="1">
      <formula>MOD(ROW(),2)=0</formula>
    </cfRule>
    <cfRule type="expression" dxfId="102" priority="6" stopIfTrue="1">
      <formula>MOD(ROW(),2)&lt;&gt;0</formula>
    </cfRule>
  </conditionalFormatting>
  <hyperlinks>
    <hyperlink ref="B24" location="Assumptions!A1" display="Assumptions" xr:uid="{AC882049-CC15-421E-96F9-90BAE369D5F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15">
    <pageSetUpPr fitToPage="1"/>
  </sheetPr>
  <dimension ref="A1:I82"/>
  <sheetViews>
    <sheetView showGridLines="0" zoomScale="85" zoomScaleNormal="85" workbookViewId="0">
      <selection activeCell="A4" sqref="A4"/>
    </sheetView>
  </sheetViews>
  <sheetFormatPr defaultColWidth="10" defaultRowHeight="12.5" x14ac:dyDescent="0.25"/>
  <cols>
    <col min="1" max="1" width="31.90625" style="25" customWidth="1"/>
    <col min="2" max="2" width="36.90625" style="25" customWidth="1"/>
    <col min="3" max="3" width="10.08984375" style="25" customWidth="1"/>
    <col min="4" max="4" width="10" style="25" customWidth="1"/>
    <col min="5"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Final Pay - x-814</v>
      </c>
      <c r="B3" s="39"/>
      <c r="C3" s="39"/>
      <c r="D3" s="39"/>
      <c r="E3" s="39"/>
      <c r="F3" s="39"/>
      <c r="G3" s="39"/>
      <c r="H3" s="39"/>
      <c r="I3" s="39"/>
    </row>
    <row r="4" spans="1:9" x14ac:dyDescent="0.25">
      <c r="A4" s="41"/>
    </row>
    <row r="6" spans="1:9" ht="13" x14ac:dyDescent="0.3">
      <c r="A6" s="83" t="s">
        <v>276</v>
      </c>
      <c r="B6" s="161" t="s">
        <v>277</v>
      </c>
    </row>
    <row r="7" spans="1:9" x14ac:dyDescent="0.25">
      <c r="A7" s="85" t="s">
        <v>278</v>
      </c>
      <c r="B7" s="161" t="s">
        <v>310</v>
      </c>
    </row>
    <row r="8" spans="1:9" x14ac:dyDescent="0.25">
      <c r="A8" s="85" t="s">
        <v>280</v>
      </c>
      <c r="B8" s="161" t="s">
        <v>75</v>
      </c>
    </row>
    <row r="9" spans="1:9" x14ac:dyDescent="0.25">
      <c r="A9" s="85" t="s">
        <v>282</v>
      </c>
      <c r="B9" s="161" t="s">
        <v>625</v>
      </c>
    </row>
    <row r="10" spans="1:9" ht="43.5" customHeight="1" x14ac:dyDescent="0.25">
      <c r="A10" s="85" t="s">
        <v>6</v>
      </c>
      <c r="B10" s="161" t="s">
        <v>626</v>
      </c>
    </row>
    <row r="11" spans="1:9" x14ac:dyDescent="0.25">
      <c r="A11" s="85" t="s">
        <v>285</v>
      </c>
      <c r="B11" s="161" t="s">
        <v>359</v>
      </c>
    </row>
    <row r="12" spans="1:9" x14ac:dyDescent="0.25">
      <c r="A12" s="85" t="s">
        <v>287</v>
      </c>
      <c r="B12" s="161" t="s">
        <v>499</v>
      </c>
    </row>
    <row r="13" spans="1:9" x14ac:dyDescent="0.25">
      <c r="A13" s="85" t="s">
        <v>289</v>
      </c>
      <c r="B13" s="161">
        <v>1</v>
      </c>
    </row>
    <row r="14" spans="1:9" x14ac:dyDescent="0.25">
      <c r="A14" s="85" t="s">
        <v>291</v>
      </c>
      <c r="B14" s="161">
        <v>814</v>
      </c>
    </row>
    <row r="15" spans="1:9" x14ac:dyDescent="0.25">
      <c r="A15" s="85" t="s">
        <v>293</v>
      </c>
      <c r="B15" s="161" t="s">
        <v>627</v>
      </c>
    </row>
    <row r="16" spans="1:9" x14ac:dyDescent="0.25">
      <c r="A16" s="85" t="s">
        <v>295</v>
      </c>
      <c r="B16" s="161" t="s">
        <v>628</v>
      </c>
    </row>
    <row r="17" spans="1:2" x14ac:dyDescent="0.25">
      <c r="A17" s="69" t="s">
        <v>725</v>
      </c>
      <c r="B17" s="161"/>
    </row>
    <row r="18" spans="1:2" x14ac:dyDescent="0.25">
      <c r="A18" s="85" t="s">
        <v>299</v>
      </c>
      <c r="B18" s="162">
        <v>45135</v>
      </c>
    </row>
    <row r="19" spans="1:2" x14ac:dyDescent="0.25">
      <c r="A19" s="85" t="s">
        <v>301</v>
      </c>
      <c r="B19" s="162">
        <v>45200</v>
      </c>
    </row>
    <row r="20" spans="1:2" x14ac:dyDescent="0.25">
      <c r="A20" s="85" t="s">
        <v>303</v>
      </c>
      <c r="B20" s="161" t="s">
        <v>317</v>
      </c>
    </row>
    <row r="21" spans="1:2" x14ac:dyDescent="0.25">
      <c r="A21" s="85" t="s">
        <v>309</v>
      </c>
      <c r="B21" s="161" t="s">
        <v>318</v>
      </c>
    </row>
    <row r="23" spans="1:2" x14ac:dyDescent="0.25">
      <c r="B23" s="103" t="str">
        <f>HYPERLINK("#'Factor List'!A1","Back to Factor List")</f>
        <v>Back to Factor List</v>
      </c>
    </row>
    <row r="24" spans="1:2" x14ac:dyDescent="0.25">
      <c r="B24" s="103" t="s">
        <v>15</v>
      </c>
    </row>
    <row r="26" spans="1:2" ht="13" x14ac:dyDescent="0.25">
      <c r="A26" s="98" t="s">
        <v>408</v>
      </c>
      <c r="B26" s="98" t="s">
        <v>761</v>
      </c>
    </row>
    <row r="27" spans="1:2" x14ac:dyDescent="0.25">
      <c r="A27" s="99">
        <v>20</v>
      </c>
      <c r="B27" s="100">
        <v>41.42</v>
      </c>
    </row>
    <row r="28" spans="1:2" x14ac:dyDescent="0.25">
      <c r="A28" s="99">
        <v>21</v>
      </c>
      <c r="B28" s="100">
        <v>41.09</v>
      </c>
    </row>
    <row r="29" spans="1:2" x14ac:dyDescent="0.25">
      <c r="A29" s="99">
        <v>22</v>
      </c>
      <c r="B29" s="100">
        <v>40.76</v>
      </c>
    </row>
    <row r="30" spans="1:2" x14ac:dyDescent="0.25">
      <c r="A30" s="99">
        <v>23</v>
      </c>
      <c r="B30" s="100">
        <v>40.42</v>
      </c>
    </row>
    <row r="31" spans="1:2" x14ac:dyDescent="0.25">
      <c r="A31" s="99">
        <v>24</v>
      </c>
      <c r="B31" s="100">
        <v>40.08</v>
      </c>
    </row>
    <row r="32" spans="1:2" x14ac:dyDescent="0.25">
      <c r="A32" s="99">
        <v>25</v>
      </c>
      <c r="B32" s="100">
        <v>39.729999999999997</v>
      </c>
    </row>
    <row r="33" spans="1:2" x14ac:dyDescent="0.25">
      <c r="A33" s="99">
        <v>26</v>
      </c>
      <c r="B33" s="100">
        <v>39.369999999999997</v>
      </c>
    </row>
    <row r="34" spans="1:2" x14ac:dyDescent="0.25">
      <c r="A34" s="99">
        <v>27</v>
      </c>
      <c r="B34" s="100">
        <v>39.01</v>
      </c>
    </row>
    <row r="35" spans="1:2" x14ac:dyDescent="0.25">
      <c r="A35" s="99">
        <v>28</v>
      </c>
      <c r="B35" s="100">
        <v>38.64</v>
      </c>
    </row>
    <row r="36" spans="1:2" x14ac:dyDescent="0.25">
      <c r="A36" s="99">
        <v>29</v>
      </c>
      <c r="B36" s="100">
        <v>38.270000000000003</v>
      </c>
    </row>
    <row r="37" spans="1:2" x14ac:dyDescent="0.25">
      <c r="A37" s="99">
        <v>30</v>
      </c>
      <c r="B37" s="100">
        <v>37.89</v>
      </c>
    </row>
    <row r="38" spans="1:2" x14ac:dyDescent="0.25">
      <c r="A38" s="99">
        <v>31</v>
      </c>
      <c r="B38" s="100">
        <v>37.5</v>
      </c>
    </row>
    <row r="39" spans="1:2" x14ac:dyDescent="0.25">
      <c r="A39" s="99">
        <v>32</v>
      </c>
      <c r="B39" s="100">
        <v>37.11</v>
      </c>
    </row>
    <row r="40" spans="1:2" x14ac:dyDescent="0.25">
      <c r="A40" s="99">
        <v>33</v>
      </c>
      <c r="B40" s="100">
        <v>36.71</v>
      </c>
    </row>
    <row r="41" spans="1:2" x14ac:dyDescent="0.25">
      <c r="A41" s="99">
        <v>34</v>
      </c>
      <c r="B41" s="100">
        <v>36.299999999999997</v>
      </c>
    </row>
    <row r="42" spans="1:2" x14ac:dyDescent="0.25">
      <c r="A42" s="99">
        <v>35</v>
      </c>
      <c r="B42" s="100">
        <v>35.880000000000003</v>
      </c>
    </row>
    <row r="43" spans="1:2" x14ac:dyDescent="0.25">
      <c r="A43" s="99">
        <v>36</v>
      </c>
      <c r="B43" s="100">
        <v>35.46</v>
      </c>
    </row>
    <row r="44" spans="1:2" x14ac:dyDescent="0.25">
      <c r="A44" s="99">
        <v>37</v>
      </c>
      <c r="B44" s="100">
        <v>35.03</v>
      </c>
    </row>
    <row r="45" spans="1:2" x14ac:dyDescent="0.25">
      <c r="A45" s="99">
        <v>38</v>
      </c>
      <c r="B45" s="100">
        <v>34.6</v>
      </c>
    </row>
    <row r="46" spans="1:2" x14ac:dyDescent="0.25">
      <c r="A46" s="99">
        <v>39</v>
      </c>
      <c r="B46" s="100">
        <v>34.15</v>
      </c>
    </row>
    <row r="47" spans="1:2" x14ac:dyDescent="0.25">
      <c r="A47" s="99">
        <v>40</v>
      </c>
      <c r="B47" s="100">
        <v>33.700000000000003</v>
      </c>
    </row>
    <row r="48" spans="1:2" x14ac:dyDescent="0.25">
      <c r="A48" s="99">
        <v>41</v>
      </c>
      <c r="B48" s="100">
        <v>33.24</v>
      </c>
    </row>
    <row r="49" spans="1:2" x14ac:dyDescent="0.25">
      <c r="A49" s="99">
        <v>42</v>
      </c>
      <c r="B49" s="100">
        <v>32.78</v>
      </c>
    </row>
    <row r="50" spans="1:2" x14ac:dyDescent="0.25">
      <c r="A50" s="99">
        <v>43</v>
      </c>
      <c r="B50" s="100">
        <v>32.299999999999997</v>
      </c>
    </row>
    <row r="51" spans="1:2" x14ac:dyDescent="0.25">
      <c r="A51" s="99">
        <v>44</v>
      </c>
      <c r="B51" s="100">
        <v>31.82</v>
      </c>
    </row>
    <row r="52" spans="1:2" x14ac:dyDescent="0.25">
      <c r="A52" s="99">
        <v>45</v>
      </c>
      <c r="B52" s="100">
        <v>31.33</v>
      </c>
    </row>
    <row r="53" spans="1:2" x14ac:dyDescent="0.25">
      <c r="A53" s="99">
        <v>46</v>
      </c>
      <c r="B53" s="100">
        <v>30.83</v>
      </c>
    </row>
    <row r="54" spans="1:2" x14ac:dyDescent="0.25">
      <c r="A54" s="99">
        <v>47</v>
      </c>
      <c r="B54" s="100">
        <v>30.33</v>
      </c>
    </row>
    <row r="55" spans="1:2" x14ac:dyDescent="0.25">
      <c r="A55" s="99">
        <v>48</v>
      </c>
      <c r="B55" s="100">
        <v>29.81</v>
      </c>
    </row>
    <row r="56" spans="1:2" x14ac:dyDescent="0.25">
      <c r="A56" s="99">
        <v>49</v>
      </c>
      <c r="B56" s="100">
        <v>29.29</v>
      </c>
    </row>
    <row r="57" spans="1:2" x14ac:dyDescent="0.25">
      <c r="A57" s="99">
        <v>50</v>
      </c>
      <c r="B57" s="100">
        <v>28.76</v>
      </c>
    </row>
    <row r="58" spans="1:2" x14ac:dyDescent="0.25">
      <c r="A58" s="99">
        <v>51</v>
      </c>
      <c r="B58" s="100">
        <v>28.23</v>
      </c>
    </row>
    <row r="59" spans="1:2" x14ac:dyDescent="0.25">
      <c r="A59" s="99">
        <v>52</v>
      </c>
      <c r="B59" s="100">
        <v>27.68</v>
      </c>
    </row>
    <row r="60" spans="1:2" x14ac:dyDescent="0.25">
      <c r="A60" s="99">
        <v>53</v>
      </c>
      <c r="B60" s="100">
        <v>27.13</v>
      </c>
    </row>
    <row r="61" spans="1:2" x14ac:dyDescent="0.25">
      <c r="A61" s="99">
        <v>54</v>
      </c>
      <c r="B61" s="100">
        <v>26.57</v>
      </c>
    </row>
    <row r="62" spans="1:2" x14ac:dyDescent="0.25">
      <c r="A62" s="99">
        <v>55</v>
      </c>
      <c r="B62" s="100">
        <v>26</v>
      </c>
    </row>
    <row r="63" spans="1:2" x14ac:dyDescent="0.25">
      <c r="A63" s="99">
        <v>56</v>
      </c>
      <c r="B63" s="100">
        <v>25.42</v>
      </c>
    </row>
    <row r="64" spans="1:2" x14ac:dyDescent="0.25">
      <c r="A64" s="99">
        <v>57</v>
      </c>
      <c r="B64" s="100">
        <v>24.83</v>
      </c>
    </row>
    <row r="65" spans="1:2" x14ac:dyDescent="0.25">
      <c r="A65" s="99">
        <v>58</v>
      </c>
      <c r="B65" s="100">
        <v>24.24</v>
      </c>
    </row>
    <row r="66" spans="1:2" x14ac:dyDescent="0.25">
      <c r="A66" s="99">
        <v>59</v>
      </c>
      <c r="B66" s="100">
        <v>23.64</v>
      </c>
    </row>
    <row r="67" spans="1:2" x14ac:dyDescent="0.25">
      <c r="A67" s="99">
        <v>60</v>
      </c>
      <c r="B67" s="100">
        <v>23.03</v>
      </c>
    </row>
    <row r="68" spans="1:2" x14ac:dyDescent="0.25">
      <c r="A68" s="99">
        <v>61</v>
      </c>
      <c r="B68" s="100">
        <v>22.42</v>
      </c>
    </row>
    <row r="69" spans="1:2" x14ac:dyDescent="0.25">
      <c r="A69" s="99">
        <v>62</v>
      </c>
      <c r="B69" s="100">
        <v>21.8</v>
      </c>
    </row>
    <row r="70" spans="1:2" x14ac:dyDescent="0.25">
      <c r="A70" s="99">
        <v>63</v>
      </c>
      <c r="B70" s="100">
        <v>21.17</v>
      </c>
    </row>
    <row r="71" spans="1:2" x14ac:dyDescent="0.25">
      <c r="A71" s="99">
        <v>64</v>
      </c>
      <c r="B71" s="100">
        <v>20.54</v>
      </c>
    </row>
    <row r="72" spans="1:2" x14ac:dyDescent="0.25">
      <c r="A72" s="99">
        <v>65</v>
      </c>
      <c r="B72" s="100">
        <v>19.899999999999999</v>
      </c>
    </row>
    <row r="73" spans="1:2" x14ac:dyDescent="0.25">
      <c r="A73" s="99">
        <v>66</v>
      </c>
      <c r="B73" s="100">
        <v>19.260000000000002</v>
      </c>
    </row>
    <row r="74" spans="1:2" x14ac:dyDescent="0.25">
      <c r="A74" s="99">
        <v>67</v>
      </c>
      <c r="B74" s="100">
        <v>18.61</v>
      </c>
    </row>
    <row r="75" spans="1:2" x14ac:dyDescent="0.25">
      <c r="A75" s="99">
        <v>68</v>
      </c>
      <c r="B75" s="100">
        <v>17.96</v>
      </c>
    </row>
    <row r="76" spans="1:2" x14ac:dyDescent="0.25">
      <c r="A76" s="99">
        <v>69</v>
      </c>
      <c r="B76" s="100">
        <v>17.27</v>
      </c>
    </row>
    <row r="77" spans="1:2" x14ac:dyDescent="0.25">
      <c r="A77" s="99">
        <v>70</v>
      </c>
      <c r="B77" s="100">
        <v>16.579999999999998</v>
      </c>
    </row>
    <row r="78" spans="1:2" x14ac:dyDescent="0.25">
      <c r="A78" s="99">
        <v>71</v>
      </c>
      <c r="B78" s="100">
        <v>15.92</v>
      </c>
    </row>
    <row r="79" spans="1:2" x14ac:dyDescent="0.25">
      <c r="A79" s="99">
        <v>72</v>
      </c>
      <c r="B79" s="100">
        <v>15.26</v>
      </c>
    </row>
    <row r="80" spans="1:2" x14ac:dyDescent="0.25">
      <c r="A80" s="99">
        <v>73</v>
      </c>
      <c r="B80" s="100">
        <v>14.59</v>
      </c>
    </row>
    <row r="81" spans="1:2" x14ac:dyDescent="0.25">
      <c r="A81" s="99">
        <v>74</v>
      </c>
      <c r="B81" s="100">
        <v>13.88</v>
      </c>
    </row>
    <row r="82" spans="1:2" x14ac:dyDescent="0.25">
      <c r="A82" s="99">
        <v>75</v>
      </c>
      <c r="B82" s="100">
        <v>13.17</v>
      </c>
    </row>
  </sheetData>
  <sheetProtection algorithmName="SHA-512" hashValue="6SZVP8kJ+RpRkY5yRsGRNB9dCB3XF2BZJUJQa8qeMSpVYydJ6sZcOLGkEKEEYOus5hbCYPTKFvPpeAUyxweAcA==" saltValue="Nka6uJ/U5/Z4Fx9twETYGA==" spinCount="100000" sheet="1" objects="1" scenarios="1"/>
  <conditionalFormatting sqref="A6:A21">
    <cfRule type="expression" dxfId="101" priority="9" stopIfTrue="1">
      <formula>MOD(ROW(),2)=0</formula>
    </cfRule>
    <cfRule type="expression" dxfId="100" priority="10" stopIfTrue="1">
      <formula>MOD(ROW(),2)&lt;&gt;0</formula>
    </cfRule>
  </conditionalFormatting>
  <conditionalFormatting sqref="A26:A82">
    <cfRule type="expression" dxfId="99" priority="3" stopIfTrue="1">
      <formula>MOD(ROW(),2)=0</formula>
    </cfRule>
    <cfRule type="expression" dxfId="98" priority="4" stopIfTrue="1">
      <formula>MOD(ROW(),2)&lt;&gt;0</formula>
    </cfRule>
  </conditionalFormatting>
  <conditionalFormatting sqref="B6:B21">
    <cfRule type="expression" dxfId="97" priority="23" stopIfTrue="1">
      <formula>MOD(ROW(),2)=0</formula>
    </cfRule>
    <cfRule type="expression" dxfId="96" priority="24" stopIfTrue="1">
      <formula>MOD(ROW(),2)&lt;&gt;0</formula>
    </cfRule>
  </conditionalFormatting>
  <conditionalFormatting sqref="B17:B21">
    <cfRule type="expression" dxfId="95" priority="1" stopIfTrue="1">
      <formula>MOD(ROW(),2)=0</formula>
    </cfRule>
    <cfRule type="expression" dxfId="94" priority="2" stopIfTrue="1">
      <formula>MOD(ROW(),2)&lt;&gt;0</formula>
    </cfRule>
  </conditionalFormatting>
  <conditionalFormatting sqref="B26:B82">
    <cfRule type="expression" dxfId="93" priority="5" stopIfTrue="1">
      <formula>MOD(ROW(),2)=0</formula>
    </cfRule>
    <cfRule type="expression" dxfId="92" priority="6" stopIfTrue="1">
      <formula>MOD(ROW(),2)&lt;&gt;0</formula>
    </cfRule>
  </conditionalFormatting>
  <hyperlinks>
    <hyperlink ref="B24" location="Assumptions!A1" display="Assumptions" xr:uid="{C4B71670-9D46-40D9-820F-09838B397CCA}"/>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07"/>
  <dimension ref="A1:I60"/>
  <sheetViews>
    <sheetView showGridLines="0" zoomScale="85" zoomScaleNormal="85" workbookViewId="0">
      <selection activeCell="A4" sqref="A4"/>
    </sheetView>
  </sheetViews>
  <sheetFormatPr defaultColWidth="10" defaultRowHeight="12.5" x14ac:dyDescent="0.25"/>
  <cols>
    <col min="1" max="1" width="31.90625" style="25" customWidth="1"/>
    <col min="2" max="3" width="22.90625" style="25" customWidth="1"/>
    <col min="4" max="4" width="10" style="25" customWidth="1"/>
    <col min="5"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Final Pay - x-815</v>
      </c>
      <c r="B3" s="39"/>
      <c r="C3" s="39"/>
      <c r="D3" s="39"/>
      <c r="E3" s="39"/>
      <c r="F3" s="39"/>
      <c r="G3" s="39"/>
      <c r="H3" s="39"/>
      <c r="I3" s="39"/>
    </row>
    <row r="4" spans="1:9" x14ac:dyDescent="0.25">
      <c r="A4" s="41"/>
    </row>
    <row r="6" spans="1:9" ht="13" x14ac:dyDescent="0.3">
      <c r="A6" s="83" t="s">
        <v>276</v>
      </c>
      <c r="B6" s="161" t="s">
        <v>277</v>
      </c>
      <c r="C6" s="161"/>
    </row>
    <row r="7" spans="1:9" x14ac:dyDescent="0.25">
      <c r="A7" s="85" t="s">
        <v>278</v>
      </c>
      <c r="B7" s="161" t="s">
        <v>310</v>
      </c>
      <c r="C7" s="161"/>
    </row>
    <row r="8" spans="1:9" x14ac:dyDescent="0.25">
      <c r="A8" s="85" t="s">
        <v>280</v>
      </c>
      <c r="B8" s="161" t="s">
        <v>75</v>
      </c>
      <c r="C8" s="161"/>
    </row>
    <row r="9" spans="1:9" x14ac:dyDescent="0.25">
      <c r="A9" s="85" t="s">
        <v>282</v>
      </c>
      <c r="B9" s="161" t="s">
        <v>625</v>
      </c>
      <c r="C9" s="161"/>
    </row>
    <row r="10" spans="1:9" x14ac:dyDescent="0.25">
      <c r="A10" s="85" t="s">
        <v>6</v>
      </c>
      <c r="B10" s="161" t="s">
        <v>629</v>
      </c>
      <c r="C10" s="161"/>
    </row>
    <row r="11" spans="1:9" x14ac:dyDescent="0.25">
      <c r="A11" s="85" t="s">
        <v>285</v>
      </c>
      <c r="B11" s="161" t="s">
        <v>359</v>
      </c>
      <c r="C11" s="161"/>
    </row>
    <row r="12" spans="1:9" x14ac:dyDescent="0.25">
      <c r="A12" s="85" t="s">
        <v>287</v>
      </c>
      <c r="B12" s="161" t="s">
        <v>499</v>
      </c>
      <c r="C12" s="161"/>
    </row>
    <row r="13" spans="1:9" x14ac:dyDescent="0.25">
      <c r="A13" s="85" t="s">
        <v>289</v>
      </c>
      <c r="B13" s="161">
        <v>1</v>
      </c>
      <c r="C13" s="161"/>
    </row>
    <row r="14" spans="1:9" x14ac:dyDescent="0.25">
      <c r="A14" s="85" t="s">
        <v>291</v>
      </c>
      <c r="B14" s="161">
        <v>815</v>
      </c>
      <c r="C14" s="161"/>
    </row>
    <row r="15" spans="1:9" x14ac:dyDescent="0.25">
      <c r="A15" s="85" t="s">
        <v>293</v>
      </c>
      <c r="B15" s="161" t="s">
        <v>630</v>
      </c>
      <c r="C15" s="161"/>
    </row>
    <row r="16" spans="1:9" x14ac:dyDescent="0.25">
      <c r="A16" s="85" t="s">
        <v>295</v>
      </c>
      <c r="B16" s="161" t="s">
        <v>631</v>
      </c>
      <c r="C16" s="161"/>
    </row>
    <row r="17" spans="1:3" x14ac:dyDescent="0.25">
      <c r="A17" s="69" t="s">
        <v>725</v>
      </c>
      <c r="B17" s="161"/>
      <c r="C17" s="161"/>
    </row>
    <row r="18" spans="1:3" x14ac:dyDescent="0.25">
      <c r="A18" s="85" t="s">
        <v>299</v>
      </c>
      <c r="B18" s="162">
        <v>45135</v>
      </c>
      <c r="C18" s="161"/>
    </row>
    <row r="19" spans="1:3" x14ac:dyDescent="0.25">
      <c r="A19" s="85" t="s">
        <v>301</v>
      </c>
      <c r="B19" s="162">
        <v>45200</v>
      </c>
      <c r="C19" s="161"/>
    </row>
    <row r="20" spans="1:3" x14ac:dyDescent="0.25">
      <c r="A20" s="85" t="s">
        <v>303</v>
      </c>
      <c r="B20" s="161" t="s">
        <v>317</v>
      </c>
      <c r="C20" s="161"/>
    </row>
    <row r="21" spans="1:3" x14ac:dyDescent="0.25">
      <c r="A21" s="85" t="s">
        <v>309</v>
      </c>
      <c r="B21" s="161" t="s">
        <v>318</v>
      </c>
      <c r="C21" s="161"/>
    </row>
    <row r="23" spans="1:3" x14ac:dyDescent="0.25">
      <c r="B23" s="103" t="str">
        <f>HYPERLINK("#'Factor List'!A1","Back to Factor List")</f>
        <v>Back to Factor List</v>
      </c>
    </row>
    <row r="24" spans="1:3" x14ac:dyDescent="0.25">
      <c r="B24" s="103" t="s">
        <v>15</v>
      </c>
    </row>
    <row r="26" spans="1:3" ht="13" x14ac:dyDescent="0.25">
      <c r="A26" s="98" t="s">
        <v>408</v>
      </c>
      <c r="B26" s="98" t="s">
        <v>802</v>
      </c>
      <c r="C26" s="98" t="s">
        <v>803</v>
      </c>
    </row>
    <row r="27" spans="1:3" x14ac:dyDescent="0.25">
      <c r="A27" s="99">
        <v>26</v>
      </c>
      <c r="B27" s="100">
        <v>14.01</v>
      </c>
      <c r="C27" s="100">
        <v>0.56999999999999995</v>
      </c>
    </row>
    <row r="28" spans="1:3" x14ac:dyDescent="0.25">
      <c r="A28" s="99">
        <v>27</v>
      </c>
      <c r="B28" s="100">
        <v>14.22</v>
      </c>
      <c r="C28" s="100">
        <v>0.57999999999999996</v>
      </c>
    </row>
    <row r="29" spans="1:3" x14ac:dyDescent="0.25">
      <c r="A29" s="99">
        <v>28</v>
      </c>
      <c r="B29" s="100">
        <v>14.43</v>
      </c>
      <c r="C29" s="100">
        <v>0.59</v>
      </c>
    </row>
    <row r="30" spans="1:3" x14ac:dyDescent="0.25">
      <c r="A30" s="99">
        <v>29</v>
      </c>
      <c r="B30" s="100">
        <v>14.65</v>
      </c>
      <c r="C30" s="100">
        <v>0.6</v>
      </c>
    </row>
    <row r="31" spans="1:3" x14ac:dyDescent="0.25">
      <c r="A31" s="99">
        <v>30</v>
      </c>
      <c r="B31" s="100">
        <v>14.87</v>
      </c>
      <c r="C31" s="100">
        <v>0.61</v>
      </c>
    </row>
    <row r="32" spans="1:3" x14ac:dyDescent="0.25">
      <c r="A32" s="99">
        <v>31</v>
      </c>
      <c r="B32" s="100">
        <v>15.09</v>
      </c>
      <c r="C32" s="100">
        <v>0.62</v>
      </c>
    </row>
    <row r="33" spans="1:3" x14ac:dyDescent="0.25">
      <c r="A33" s="99">
        <v>32</v>
      </c>
      <c r="B33" s="100">
        <v>15.32</v>
      </c>
      <c r="C33" s="100">
        <v>0.63</v>
      </c>
    </row>
    <row r="34" spans="1:3" x14ac:dyDescent="0.25">
      <c r="A34" s="99">
        <v>33</v>
      </c>
      <c r="B34" s="100">
        <v>15.55</v>
      </c>
      <c r="C34" s="100">
        <v>0.64</v>
      </c>
    </row>
    <row r="35" spans="1:3" x14ac:dyDescent="0.25">
      <c r="A35" s="99">
        <v>34</v>
      </c>
      <c r="B35" s="100">
        <v>15.78</v>
      </c>
      <c r="C35" s="100">
        <v>0.65</v>
      </c>
    </row>
    <row r="36" spans="1:3" x14ac:dyDescent="0.25">
      <c r="A36" s="99">
        <v>35</v>
      </c>
      <c r="B36" s="100">
        <v>16.02</v>
      </c>
      <c r="C36" s="100">
        <v>0.66</v>
      </c>
    </row>
    <row r="37" spans="1:3" x14ac:dyDescent="0.25">
      <c r="A37" s="99">
        <v>36</v>
      </c>
      <c r="B37" s="100">
        <v>16.260000000000002</v>
      </c>
      <c r="C37" s="100">
        <v>0.67</v>
      </c>
    </row>
    <row r="38" spans="1:3" x14ac:dyDescent="0.25">
      <c r="A38" s="99">
        <v>37</v>
      </c>
      <c r="B38" s="100">
        <v>16.5</v>
      </c>
      <c r="C38" s="100">
        <v>0.68</v>
      </c>
    </row>
    <row r="39" spans="1:3" x14ac:dyDescent="0.25">
      <c r="A39" s="99">
        <v>38</v>
      </c>
      <c r="B39" s="100">
        <v>16.75</v>
      </c>
      <c r="C39" s="100">
        <v>0.7</v>
      </c>
    </row>
    <row r="40" spans="1:3" x14ac:dyDescent="0.25">
      <c r="A40" s="99">
        <v>39</v>
      </c>
      <c r="B40" s="100">
        <v>17</v>
      </c>
      <c r="C40" s="100">
        <v>0.71</v>
      </c>
    </row>
    <row r="41" spans="1:3" x14ac:dyDescent="0.25">
      <c r="A41" s="99">
        <v>40</v>
      </c>
      <c r="B41" s="100">
        <v>17.260000000000002</v>
      </c>
      <c r="C41" s="100">
        <v>0.72</v>
      </c>
    </row>
    <row r="42" spans="1:3" x14ac:dyDescent="0.25">
      <c r="A42" s="99">
        <v>41</v>
      </c>
      <c r="B42" s="100">
        <v>17.52</v>
      </c>
      <c r="C42" s="100">
        <v>0.73</v>
      </c>
    </row>
    <row r="43" spans="1:3" x14ac:dyDescent="0.25">
      <c r="A43" s="99">
        <v>42</v>
      </c>
      <c r="B43" s="100">
        <v>17.79</v>
      </c>
      <c r="C43" s="100">
        <v>0.74</v>
      </c>
    </row>
    <row r="44" spans="1:3" x14ac:dyDescent="0.25">
      <c r="A44" s="99">
        <v>43</v>
      </c>
      <c r="B44" s="100">
        <v>18.05</v>
      </c>
      <c r="C44" s="100">
        <v>0.76</v>
      </c>
    </row>
    <row r="45" spans="1:3" x14ac:dyDescent="0.25">
      <c r="A45" s="99">
        <v>44</v>
      </c>
      <c r="B45" s="100">
        <v>18.329999999999998</v>
      </c>
      <c r="C45" s="100">
        <v>0.77</v>
      </c>
    </row>
    <row r="46" spans="1:3" x14ac:dyDescent="0.25">
      <c r="A46" s="99">
        <v>45</v>
      </c>
      <c r="B46" s="100">
        <v>18.61</v>
      </c>
      <c r="C46" s="100">
        <v>0.78</v>
      </c>
    </row>
    <row r="47" spans="1:3" x14ac:dyDescent="0.25">
      <c r="A47" s="99">
        <v>46</v>
      </c>
      <c r="B47" s="100">
        <v>18.89</v>
      </c>
      <c r="C47" s="100">
        <v>0.8</v>
      </c>
    </row>
    <row r="48" spans="1:3" x14ac:dyDescent="0.25">
      <c r="A48" s="99">
        <v>47</v>
      </c>
      <c r="B48" s="100">
        <v>19.18</v>
      </c>
      <c r="C48" s="100">
        <v>0.81</v>
      </c>
    </row>
    <row r="49" spans="1:3" x14ac:dyDescent="0.25">
      <c r="A49" s="99">
        <v>48</v>
      </c>
      <c r="B49" s="100">
        <v>19.47</v>
      </c>
      <c r="C49" s="100">
        <v>0.82</v>
      </c>
    </row>
    <row r="50" spans="1:3" x14ac:dyDescent="0.25">
      <c r="A50" s="99">
        <v>49</v>
      </c>
      <c r="B50" s="100">
        <v>19.77</v>
      </c>
      <c r="C50" s="100">
        <v>0.84</v>
      </c>
    </row>
    <row r="51" spans="1:3" x14ac:dyDescent="0.25">
      <c r="A51" s="99">
        <v>50</v>
      </c>
      <c r="B51" s="100">
        <v>20.079999999999998</v>
      </c>
      <c r="C51" s="100">
        <v>0.85</v>
      </c>
    </row>
    <row r="52" spans="1:3" x14ac:dyDescent="0.25">
      <c r="A52" s="99">
        <v>51</v>
      </c>
      <c r="B52" s="100">
        <v>20.39</v>
      </c>
      <c r="C52" s="100">
        <v>0.87</v>
      </c>
    </row>
    <row r="53" spans="1:3" x14ac:dyDescent="0.25">
      <c r="A53" s="99">
        <v>52</v>
      </c>
      <c r="B53" s="100">
        <v>20.71</v>
      </c>
      <c r="C53" s="100">
        <v>0.88</v>
      </c>
    </row>
    <row r="54" spans="1:3" x14ac:dyDescent="0.25">
      <c r="A54" s="99">
        <v>53</v>
      </c>
      <c r="B54" s="100">
        <v>21.03</v>
      </c>
      <c r="C54" s="100">
        <v>0.9</v>
      </c>
    </row>
    <row r="55" spans="1:3" x14ac:dyDescent="0.25">
      <c r="A55" s="99">
        <v>54</v>
      </c>
      <c r="B55" s="100">
        <v>21.36</v>
      </c>
      <c r="C55" s="100">
        <v>0.91</v>
      </c>
    </row>
    <row r="56" spans="1:3" x14ac:dyDescent="0.25">
      <c r="A56" s="99">
        <v>55</v>
      </c>
      <c r="B56" s="100">
        <v>21.7</v>
      </c>
      <c r="C56" s="100">
        <v>0.93</v>
      </c>
    </row>
    <row r="57" spans="1:3" x14ac:dyDescent="0.25">
      <c r="A57" s="99">
        <v>56</v>
      </c>
      <c r="B57" s="100">
        <v>22.05</v>
      </c>
      <c r="C57" s="100">
        <v>0.94</v>
      </c>
    </row>
    <row r="58" spans="1:3" x14ac:dyDescent="0.25">
      <c r="A58" s="99">
        <v>57</v>
      </c>
      <c r="B58" s="100">
        <v>22.41</v>
      </c>
      <c r="C58" s="100">
        <v>0.96</v>
      </c>
    </row>
    <row r="59" spans="1:3" x14ac:dyDescent="0.25">
      <c r="A59" s="99">
        <v>58</v>
      </c>
      <c r="B59" s="100">
        <v>22.77</v>
      </c>
      <c r="C59" s="100">
        <v>0.98</v>
      </c>
    </row>
    <row r="60" spans="1:3" x14ac:dyDescent="0.25">
      <c r="A60" s="99">
        <v>59</v>
      </c>
      <c r="B60" s="100">
        <v>23.15</v>
      </c>
      <c r="C60" s="100">
        <v>0.99</v>
      </c>
    </row>
  </sheetData>
  <sheetProtection algorithmName="SHA-512" hashValue="Zxt2K5B6AvMK2OLRgeO5O2TfGGh6/CrLnH/YG1j8Rl6IwK2QXPzkl5uV1Yjkpaclk7jbvDyI8sVmwxMJHEvHiA==" saltValue="2Bl5cMLXXk0W8JpA8RX0oA==" spinCount="100000" sheet="1" objects="1" scenarios="1"/>
  <conditionalFormatting sqref="A6:A21">
    <cfRule type="expression" dxfId="91" priority="7" stopIfTrue="1">
      <formula>MOD(ROW(),2)=0</formula>
    </cfRule>
    <cfRule type="expression" dxfId="90" priority="8" stopIfTrue="1">
      <formula>MOD(ROW(),2)&lt;&gt;0</formula>
    </cfRule>
  </conditionalFormatting>
  <conditionalFormatting sqref="A26:A60">
    <cfRule type="expression" dxfId="89" priority="1" stopIfTrue="1">
      <formula>MOD(ROW(),2)=0</formula>
    </cfRule>
    <cfRule type="expression" dxfId="88" priority="2" stopIfTrue="1">
      <formula>MOD(ROW(),2)&lt;&gt;0</formula>
    </cfRule>
  </conditionalFormatting>
  <conditionalFormatting sqref="B17:B21">
    <cfRule type="expression" dxfId="87" priority="5" stopIfTrue="1">
      <formula>MOD(ROW(),2)=0</formula>
    </cfRule>
    <cfRule type="expression" dxfId="86" priority="6" stopIfTrue="1">
      <formula>MOD(ROW(),2)&lt;&gt;0</formula>
    </cfRule>
  </conditionalFormatting>
  <conditionalFormatting sqref="B6:C21">
    <cfRule type="expression" dxfId="85" priority="17" stopIfTrue="1">
      <formula>MOD(ROW(),2)=0</formula>
    </cfRule>
    <cfRule type="expression" dxfId="84" priority="18" stopIfTrue="1">
      <formula>MOD(ROW(),2)&lt;&gt;0</formula>
    </cfRule>
  </conditionalFormatting>
  <conditionalFormatting sqref="B26:C60">
    <cfRule type="expression" dxfId="83" priority="3" stopIfTrue="1">
      <formula>MOD(ROW(),2)=0</formula>
    </cfRule>
    <cfRule type="expression" dxfId="82" priority="4" stopIfTrue="1">
      <formula>MOD(ROW(),2)&lt;&gt;0</formula>
    </cfRule>
  </conditionalFormatting>
  <hyperlinks>
    <hyperlink ref="B24" location="Assumptions!A1" display="Assumptions" xr:uid="{2285C160-82BA-4588-9DB2-0071D8A9249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08"/>
  <dimension ref="A1:M67"/>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Abatement - x-816</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75</v>
      </c>
      <c r="C8" s="161"/>
      <c r="D8" s="161"/>
      <c r="E8" s="161"/>
      <c r="F8" s="161"/>
      <c r="G8" s="161"/>
      <c r="H8" s="161"/>
      <c r="I8" s="161"/>
      <c r="J8" s="161"/>
      <c r="K8" s="161"/>
      <c r="L8" s="161"/>
      <c r="M8" s="161"/>
    </row>
    <row r="9" spans="1:13" x14ac:dyDescent="0.25">
      <c r="A9" s="85" t="s">
        <v>282</v>
      </c>
      <c r="B9" s="161" t="s">
        <v>632</v>
      </c>
      <c r="C9" s="161"/>
      <c r="D9" s="161"/>
      <c r="E9" s="161"/>
      <c r="F9" s="161"/>
      <c r="G9" s="161"/>
      <c r="H9" s="161"/>
      <c r="I9" s="161"/>
      <c r="J9" s="161"/>
      <c r="K9" s="161"/>
      <c r="L9" s="161"/>
      <c r="M9" s="161"/>
    </row>
    <row r="10" spans="1:13" x14ac:dyDescent="0.25">
      <c r="A10" s="85" t="s">
        <v>6</v>
      </c>
      <c r="B10" s="161" t="s">
        <v>633</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634</v>
      </c>
      <c r="C12" s="161"/>
      <c r="D12" s="161"/>
      <c r="E12" s="161"/>
      <c r="F12" s="161"/>
      <c r="G12" s="161"/>
      <c r="H12" s="161"/>
      <c r="I12" s="161"/>
      <c r="J12" s="161"/>
      <c r="K12" s="161"/>
      <c r="L12" s="161"/>
      <c r="M12" s="161"/>
    </row>
    <row r="13" spans="1:13" x14ac:dyDescent="0.25">
      <c r="A13" s="85" t="s">
        <v>289</v>
      </c>
      <c r="B13" s="161">
        <v>1</v>
      </c>
      <c r="C13" s="161"/>
      <c r="D13" s="161"/>
      <c r="E13" s="161"/>
      <c r="F13" s="161"/>
      <c r="G13" s="161"/>
      <c r="H13" s="161"/>
      <c r="I13" s="161"/>
      <c r="J13" s="161"/>
      <c r="K13" s="161"/>
      <c r="L13" s="161"/>
      <c r="M13" s="161"/>
    </row>
    <row r="14" spans="1:13" x14ac:dyDescent="0.25">
      <c r="A14" s="85" t="s">
        <v>291</v>
      </c>
      <c r="B14" s="161">
        <v>816</v>
      </c>
      <c r="C14" s="161"/>
      <c r="D14" s="161"/>
      <c r="E14" s="161"/>
      <c r="F14" s="161"/>
      <c r="G14" s="161"/>
      <c r="H14" s="161"/>
      <c r="I14" s="161"/>
      <c r="J14" s="161"/>
      <c r="K14" s="161"/>
      <c r="L14" s="161"/>
      <c r="M14" s="161"/>
    </row>
    <row r="15" spans="1:13" x14ac:dyDescent="0.25">
      <c r="A15" s="85" t="s">
        <v>293</v>
      </c>
      <c r="B15" s="161" t="s">
        <v>635</v>
      </c>
      <c r="C15" s="161"/>
      <c r="D15" s="161"/>
      <c r="E15" s="161"/>
      <c r="F15" s="161"/>
      <c r="G15" s="161"/>
      <c r="H15" s="161"/>
      <c r="I15" s="161"/>
      <c r="J15" s="161"/>
      <c r="K15" s="161"/>
      <c r="L15" s="161"/>
      <c r="M15" s="161"/>
    </row>
    <row r="16" spans="1:13" x14ac:dyDescent="0.25">
      <c r="A16" s="85" t="s">
        <v>295</v>
      </c>
      <c r="B16" s="161" t="s">
        <v>636</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45135</v>
      </c>
      <c r="C18" s="161"/>
      <c r="D18" s="161"/>
      <c r="E18" s="161"/>
      <c r="F18" s="161"/>
      <c r="G18" s="161"/>
      <c r="H18" s="161"/>
      <c r="I18" s="161"/>
      <c r="J18" s="161"/>
      <c r="K18" s="161"/>
      <c r="L18" s="161"/>
      <c r="M18" s="161"/>
    </row>
    <row r="19" spans="1:13" x14ac:dyDescent="0.25">
      <c r="A19" s="85" t="s">
        <v>301</v>
      </c>
      <c r="B19" s="162">
        <v>45200</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20</v>
      </c>
      <c r="B27" s="117">
        <v>0.29599999999999999</v>
      </c>
      <c r="C27" s="117">
        <v>0.29699999999999999</v>
      </c>
      <c r="D27" s="117">
        <v>0.29699999999999999</v>
      </c>
      <c r="E27" s="117">
        <v>0.29799999999999999</v>
      </c>
      <c r="F27" s="117">
        <v>0.29799999999999999</v>
      </c>
      <c r="G27" s="117">
        <v>0.29899999999999999</v>
      </c>
      <c r="H27" s="117">
        <v>0.29899999999999999</v>
      </c>
      <c r="I27" s="117">
        <v>0.3</v>
      </c>
      <c r="J27" s="117">
        <v>0.30099999999999999</v>
      </c>
      <c r="K27" s="117">
        <v>0.30099999999999999</v>
      </c>
      <c r="L27" s="117">
        <v>0.30199999999999999</v>
      </c>
      <c r="M27" s="117">
        <v>0.30199999999999999</v>
      </c>
    </row>
    <row r="28" spans="1:13" x14ac:dyDescent="0.25">
      <c r="A28" s="99">
        <v>21</v>
      </c>
      <c r="B28" s="117">
        <v>0.30299999999999999</v>
      </c>
      <c r="C28" s="117">
        <v>0.30299999999999999</v>
      </c>
      <c r="D28" s="117">
        <v>0.30399999999999999</v>
      </c>
      <c r="E28" s="117">
        <v>0.30499999999999999</v>
      </c>
      <c r="F28" s="117">
        <v>0.30499999999999999</v>
      </c>
      <c r="G28" s="117">
        <v>0.30599999999999999</v>
      </c>
      <c r="H28" s="117">
        <v>0.30599999999999999</v>
      </c>
      <c r="I28" s="117">
        <v>0.307</v>
      </c>
      <c r="J28" s="117">
        <v>0.308</v>
      </c>
      <c r="K28" s="117">
        <v>0.308</v>
      </c>
      <c r="L28" s="117">
        <v>0.309</v>
      </c>
      <c r="M28" s="117">
        <v>0.309</v>
      </c>
    </row>
    <row r="29" spans="1:13" x14ac:dyDescent="0.25">
      <c r="A29" s="99">
        <v>22</v>
      </c>
      <c r="B29" s="117">
        <v>0.31</v>
      </c>
      <c r="C29" s="117">
        <v>0.311</v>
      </c>
      <c r="D29" s="117">
        <v>0.311</v>
      </c>
      <c r="E29" s="117">
        <v>0.312</v>
      </c>
      <c r="F29" s="117">
        <v>0.312</v>
      </c>
      <c r="G29" s="117">
        <v>0.313</v>
      </c>
      <c r="H29" s="117">
        <v>0.314</v>
      </c>
      <c r="I29" s="117">
        <v>0.314</v>
      </c>
      <c r="J29" s="117">
        <v>0.315</v>
      </c>
      <c r="K29" s="117">
        <v>0.315</v>
      </c>
      <c r="L29" s="117">
        <v>0.316</v>
      </c>
      <c r="M29" s="117">
        <v>0.317</v>
      </c>
    </row>
    <row r="30" spans="1:13" x14ac:dyDescent="0.25">
      <c r="A30" s="99">
        <v>23</v>
      </c>
      <c r="B30" s="117">
        <v>0.317</v>
      </c>
      <c r="C30" s="117">
        <v>0.318</v>
      </c>
      <c r="D30" s="117">
        <v>0.31900000000000001</v>
      </c>
      <c r="E30" s="117">
        <v>0.31900000000000001</v>
      </c>
      <c r="F30" s="117">
        <v>0.32</v>
      </c>
      <c r="G30" s="117">
        <v>0.32</v>
      </c>
      <c r="H30" s="117">
        <v>0.32100000000000001</v>
      </c>
      <c r="I30" s="117">
        <v>0.32200000000000001</v>
      </c>
      <c r="J30" s="117">
        <v>0.32200000000000001</v>
      </c>
      <c r="K30" s="117">
        <v>0.32300000000000001</v>
      </c>
      <c r="L30" s="117">
        <v>0.32400000000000001</v>
      </c>
      <c r="M30" s="117">
        <v>0.32400000000000001</v>
      </c>
    </row>
    <row r="31" spans="1:13" x14ac:dyDescent="0.25">
      <c r="A31" s="99">
        <v>24</v>
      </c>
      <c r="B31" s="117">
        <v>0.32500000000000001</v>
      </c>
      <c r="C31" s="117">
        <v>0.32600000000000001</v>
      </c>
      <c r="D31" s="117">
        <v>0.32600000000000001</v>
      </c>
      <c r="E31" s="117">
        <v>0.32700000000000001</v>
      </c>
      <c r="F31" s="117">
        <v>0.32800000000000001</v>
      </c>
      <c r="G31" s="117">
        <v>0.32800000000000001</v>
      </c>
      <c r="H31" s="117">
        <v>0.32900000000000001</v>
      </c>
      <c r="I31" s="117">
        <v>0.33</v>
      </c>
      <c r="J31" s="117">
        <v>0.33</v>
      </c>
      <c r="K31" s="117">
        <v>0.33100000000000002</v>
      </c>
      <c r="L31" s="117">
        <v>0.33100000000000002</v>
      </c>
      <c r="M31" s="117">
        <v>0.33200000000000002</v>
      </c>
    </row>
    <row r="32" spans="1:13" x14ac:dyDescent="0.25">
      <c r="A32" s="99">
        <v>25</v>
      </c>
      <c r="B32" s="117">
        <v>0.33300000000000002</v>
      </c>
      <c r="C32" s="117">
        <v>0.33300000000000002</v>
      </c>
      <c r="D32" s="117">
        <v>0.33400000000000002</v>
      </c>
      <c r="E32" s="117">
        <v>0.33500000000000002</v>
      </c>
      <c r="F32" s="117">
        <v>0.33600000000000002</v>
      </c>
      <c r="G32" s="117">
        <v>0.33600000000000002</v>
      </c>
      <c r="H32" s="117">
        <v>0.33700000000000002</v>
      </c>
      <c r="I32" s="117">
        <v>0.33800000000000002</v>
      </c>
      <c r="J32" s="117">
        <v>0.33800000000000002</v>
      </c>
      <c r="K32" s="117">
        <v>0.33900000000000002</v>
      </c>
      <c r="L32" s="117">
        <v>0.34</v>
      </c>
      <c r="M32" s="117">
        <v>0.34</v>
      </c>
    </row>
    <row r="33" spans="1:13" x14ac:dyDescent="0.25">
      <c r="A33" s="99">
        <v>26</v>
      </c>
      <c r="B33" s="117">
        <v>0.34100000000000003</v>
      </c>
      <c r="C33" s="117">
        <v>0.34200000000000003</v>
      </c>
      <c r="D33" s="117">
        <v>0.34200000000000003</v>
      </c>
      <c r="E33" s="117">
        <v>0.34300000000000003</v>
      </c>
      <c r="F33" s="117">
        <v>0.34399999999999997</v>
      </c>
      <c r="G33" s="117">
        <v>0.34399999999999997</v>
      </c>
      <c r="H33" s="117">
        <v>0.34499999999999997</v>
      </c>
      <c r="I33" s="117">
        <v>0.34599999999999997</v>
      </c>
      <c r="J33" s="117">
        <v>0.34699999999999998</v>
      </c>
      <c r="K33" s="117">
        <v>0.34699999999999998</v>
      </c>
      <c r="L33" s="117">
        <v>0.34799999999999998</v>
      </c>
      <c r="M33" s="117">
        <v>0.34899999999999998</v>
      </c>
    </row>
    <row r="34" spans="1:13" x14ac:dyDescent="0.25">
      <c r="A34" s="99">
        <v>27</v>
      </c>
      <c r="B34" s="117">
        <v>0.34899999999999998</v>
      </c>
      <c r="C34" s="117">
        <v>0.35</v>
      </c>
      <c r="D34" s="117">
        <v>0.35099999999999998</v>
      </c>
      <c r="E34" s="117">
        <v>0.35199999999999998</v>
      </c>
      <c r="F34" s="117">
        <v>0.35199999999999998</v>
      </c>
      <c r="G34" s="117">
        <v>0.35299999999999998</v>
      </c>
      <c r="H34" s="117">
        <v>0.35399999999999998</v>
      </c>
      <c r="I34" s="117">
        <v>0.35399999999999998</v>
      </c>
      <c r="J34" s="117">
        <v>0.35499999999999998</v>
      </c>
      <c r="K34" s="117">
        <v>0.35599999999999998</v>
      </c>
      <c r="L34" s="117">
        <v>0.35699999999999998</v>
      </c>
      <c r="M34" s="117">
        <v>0.35699999999999998</v>
      </c>
    </row>
    <row r="35" spans="1:13" x14ac:dyDescent="0.25">
      <c r="A35" s="99">
        <v>28</v>
      </c>
      <c r="B35" s="117">
        <v>0.35799999999999998</v>
      </c>
      <c r="C35" s="117">
        <v>0.35899999999999999</v>
      </c>
      <c r="D35" s="117">
        <v>0.36</v>
      </c>
      <c r="E35" s="117">
        <v>0.36</v>
      </c>
      <c r="F35" s="117">
        <v>0.36099999999999999</v>
      </c>
      <c r="G35" s="117">
        <v>0.36199999999999999</v>
      </c>
      <c r="H35" s="117">
        <v>0.36299999999999999</v>
      </c>
      <c r="I35" s="117">
        <v>0.36299999999999999</v>
      </c>
      <c r="J35" s="117">
        <v>0.36399999999999999</v>
      </c>
      <c r="K35" s="117">
        <v>0.36499999999999999</v>
      </c>
      <c r="L35" s="117">
        <v>0.36599999999999999</v>
      </c>
      <c r="M35" s="117">
        <v>0.36599999999999999</v>
      </c>
    </row>
    <row r="36" spans="1:13" x14ac:dyDescent="0.25">
      <c r="A36" s="99">
        <v>29</v>
      </c>
      <c r="B36" s="117">
        <v>0.36699999999999999</v>
      </c>
      <c r="C36" s="117">
        <v>0.36799999999999999</v>
      </c>
      <c r="D36" s="117">
        <v>0.36899999999999999</v>
      </c>
      <c r="E36" s="117">
        <v>0.36899999999999999</v>
      </c>
      <c r="F36" s="117">
        <v>0.37</v>
      </c>
      <c r="G36" s="117">
        <v>0.371</v>
      </c>
      <c r="H36" s="117">
        <v>0.372</v>
      </c>
      <c r="I36" s="117">
        <v>0.373</v>
      </c>
      <c r="J36" s="117">
        <v>0.373</v>
      </c>
      <c r="K36" s="117">
        <v>0.374</v>
      </c>
      <c r="L36" s="117">
        <v>0.375</v>
      </c>
      <c r="M36" s="117">
        <v>0.376</v>
      </c>
    </row>
    <row r="37" spans="1:13" x14ac:dyDescent="0.25">
      <c r="A37" s="99">
        <v>30</v>
      </c>
      <c r="B37" s="117">
        <v>0.377</v>
      </c>
      <c r="C37" s="117">
        <v>0.377</v>
      </c>
      <c r="D37" s="117">
        <v>0.378</v>
      </c>
      <c r="E37" s="117">
        <v>0.379</v>
      </c>
      <c r="F37" s="117">
        <v>0.38</v>
      </c>
      <c r="G37" s="117">
        <v>0.38100000000000001</v>
      </c>
      <c r="H37" s="117">
        <v>0.38100000000000001</v>
      </c>
      <c r="I37" s="117">
        <v>0.38200000000000001</v>
      </c>
      <c r="J37" s="117">
        <v>0.38300000000000001</v>
      </c>
      <c r="K37" s="117">
        <v>0.38400000000000001</v>
      </c>
      <c r="L37" s="117">
        <v>0.38500000000000001</v>
      </c>
      <c r="M37" s="117">
        <v>0.38500000000000001</v>
      </c>
    </row>
    <row r="38" spans="1:13" x14ac:dyDescent="0.25">
      <c r="A38" s="99">
        <v>31</v>
      </c>
      <c r="B38" s="117">
        <v>0.38600000000000001</v>
      </c>
      <c r="C38" s="117">
        <v>0.38700000000000001</v>
      </c>
      <c r="D38" s="117">
        <v>0.38800000000000001</v>
      </c>
      <c r="E38" s="117">
        <v>0.38900000000000001</v>
      </c>
      <c r="F38" s="117">
        <v>0.39</v>
      </c>
      <c r="G38" s="117">
        <v>0.39</v>
      </c>
      <c r="H38" s="117">
        <v>0.39100000000000001</v>
      </c>
      <c r="I38" s="117">
        <v>0.39200000000000002</v>
      </c>
      <c r="J38" s="117">
        <v>0.39300000000000002</v>
      </c>
      <c r="K38" s="117">
        <v>0.39400000000000002</v>
      </c>
      <c r="L38" s="117">
        <v>0.39500000000000002</v>
      </c>
      <c r="M38" s="117">
        <v>0.39600000000000002</v>
      </c>
    </row>
    <row r="39" spans="1:13" x14ac:dyDescent="0.25">
      <c r="A39" s="99">
        <v>32</v>
      </c>
      <c r="B39" s="117">
        <v>0.39600000000000002</v>
      </c>
      <c r="C39" s="117">
        <v>0.39700000000000002</v>
      </c>
      <c r="D39" s="117">
        <v>0.39800000000000002</v>
      </c>
      <c r="E39" s="117">
        <v>0.39900000000000002</v>
      </c>
      <c r="F39" s="117">
        <v>0.4</v>
      </c>
      <c r="G39" s="117">
        <v>0.40100000000000002</v>
      </c>
      <c r="H39" s="117">
        <v>0.40200000000000002</v>
      </c>
      <c r="I39" s="117">
        <v>0.40200000000000002</v>
      </c>
      <c r="J39" s="117">
        <v>0.40300000000000002</v>
      </c>
      <c r="K39" s="117">
        <v>0.40400000000000003</v>
      </c>
      <c r="L39" s="117">
        <v>0.40500000000000003</v>
      </c>
      <c r="M39" s="117">
        <v>0.40600000000000003</v>
      </c>
    </row>
    <row r="40" spans="1:13" x14ac:dyDescent="0.25">
      <c r="A40" s="99">
        <v>33</v>
      </c>
      <c r="B40" s="117">
        <v>0.40699999999999997</v>
      </c>
      <c r="C40" s="117">
        <v>0.40799999999999997</v>
      </c>
      <c r="D40" s="117">
        <v>0.40899999999999997</v>
      </c>
      <c r="E40" s="117">
        <v>0.41</v>
      </c>
      <c r="F40" s="117">
        <v>0.41</v>
      </c>
      <c r="G40" s="117">
        <v>0.41099999999999998</v>
      </c>
      <c r="H40" s="117">
        <v>0.41199999999999998</v>
      </c>
      <c r="I40" s="117">
        <v>0.41299999999999998</v>
      </c>
      <c r="J40" s="117">
        <v>0.41399999999999998</v>
      </c>
      <c r="K40" s="117">
        <v>0.41499999999999998</v>
      </c>
      <c r="L40" s="117">
        <v>0.41599999999999998</v>
      </c>
      <c r="M40" s="117">
        <v>0.41699999999999998</v>
      </c>
    </row>
    <row r="41" spans="1:13" x14ac:dyDescent="0.25">
      <c r="A41" s="99">
        <v>34</v>
      </c>
      <c r="B41" s="117">
        <v>0.41799999999999998</v>
      </c>
      <c r="C41" s="117">
        <v>0.41899999999999998</v>
      </c>
      <c r="D41" s="117">
        <v>0.42</v>
      </c>
      <c r="E41" s="117">
        <v>0.42099999999999999</v>
      </c>
      <c r="F41" s="117">
        <v>0.42199999999999999</v>
      </c>
      <c r="G41" s="117">
        <v>0.42299999999999999</v>
      </c>
      <c r="H41" s="117">
        <v>0.42299999999999999</v>
      </c>
      <c r="I41" s="117">
        <v>0.42399999999999999</v>
      </c>
      <c r="J41" s="117">
        <v>0.42499999999999999</v>
      </c>
      <c r="K41" s="117">
        <v>0.42599999999999999</v>
      </c>
      <c r="L41" s="117">
        <v>0.42699999999999999</v>
      </c>
      <c r="M41" s="117">
        <v>0.42799999999999999</v>
      </c>
    </row>
    <row r="42" spans="1:13" x14ac:dyDescent="0.25">
      <c r="A42" s="99">
        <v>35</v>
      </c>
      <c r="B42" s="117">
        <v>0.42899999999999999</v>
      </c>
      <c r="C42" s="117">
        <v>0.43</v>
      </c>
      <c r="D42" s="117">
        <v>0.43099999999999999</v>
      </c>
      <c r="E42" s="117">
        <v>0.432</v>
      </c>
      <c r="F42" s="117">
        <v>0.433</v>
      </c>
      <c r="G42" s="117">
        <v>0.434</v>
      </c>
      <c r="H42" s="117">
        <v>0.435</v>
      </c>
      <c r="I42" s="117">
        <v>0.436</v>
      </c>
      <c r="J42" s="117">
        <v>0.437</v>
      </c>
      <c r="K42" s="117">
        <v>0.438</v>
      </c>
      <c r="L42" s="117">
        <v>0.439</v>
      </c>
      <c r="M42" s="117">
        <v>0.44</v>
      </c>
    </row>
    <row r="43" spans="1:13" x14ac:dyDescent="0.25">
      <c r="A43" s="99">
        <v>36</v>
      </c>
      <c r="B43" s="117">
        <v>0.441</v>
      </c>
      <c r="C43" s="117">
        <v>0.442</v>
      </c>
      <c r="D43" s="117">
        <v>0.443</v>
      </c>
      <c r="E43" s="117">
        <v>0.44400000000000001</v>
      </c>
      <c r="F43" s="117">
        <v>0.44500000000000001</v>
      </c>
      <c r="G43" s="117">
        <v>0.44600000000000001</v>
      </c>
      <c r="H43" s="117">
        <v>0.44700000000000001</v>
      </c>
      <c r="I43" s="117">
        <v>0.44800000000000001</v>
      </c>
      <c r="J43" s="117">
        <v>0.44900000000000001</v>
      </c>
      <c r="K43" s="117">
        <v>0.45</v>
      </c>
      <c r="L43" s="117">
        <v>0.45100000000000001</v>
      </c>
      <c r="M43" s="117">
        <v>0.45200000000000001</v>
      </c>
    </row>
    <row r="44" spans="1:13" x14ac:dyDescent="0.25">
      <c r="A44" s="99">
        <v>37</v>
      </c>
      <c r="B44" s="117">
        <v>0.45300000000000001</v>
      </c>
      <c r="C44" s="117">
        <v>0.45400000000000001</v>
      </c>
      <c r="D44" s="117">
        <v>0.45500000000000002</v>
      </c>
      <c r="E44" s="117">
        <v>0.45600000000000002</v>
      </c>
      <c r="F44" s="117">
        <v>0.45800000000000002</v>
      </c>
      <c r="G44" s="117">
        <v>0.45900000000000002</v>
      </c>
      <c r="H44" s="117">
        <v>0.46</v>
      </c>
      <c r="I44" s="117">
        <v>0.46100000000000002</v>
      </c>
      <c r="J44" s="117">
        <v>0.46200000000000002</v>
      </c>
      <c r="K44" s="117">
        <v>0.46300000000000002</v>
      </c>
      <c r="L44" s="117">
        <v>0.46400000000000002</v>
      </c>
      <c r="M44" s="117">
        <v>0.46500000000000002</v>
      </c>
    </row>
    <row r="45" spans="1:13" x14ac:dyDescent="0.25">
      <c r="A45" s="99">
        <v>38</v>
      </c>
      <c r="B45" s="117">
        <v>0.46600000000000003</v>
      </c>
      <c r="C45" s="117">
        <v>0.46700000000000003</v>
      </c>
      <c r="D45" s="117">
        <v>0.46800000000000003</v>
      </c>
      <c r="E45" s="117">
        <v>0.46899999999999997</v>
      </c>
      <c r="F45" s="117">
        <v>0.47099999999999997</v>
      </c>
      <c r="G45" s="117">
        <v>0.47199999999999998</v>
      </c>
      <c r="H45" s="117">
        <v>0.47299999999999998</v>
      </c>
      <c r="I45" s="117">
        <v>0.47399999999999998</v>
      </c>
      <c r="J45" s="117">
        <v>0.47499999999999998</v>
      </c>
      <c r="K45" s="117">
        <v>0.47599999999999998</v>
      </c>
      <c r="L45" s="117">
        <v>0.47699999999999998</v>
      </c>
      <c r="M45" s="117">
        <v>0.47799999999999998</v>
      </c>
    </row>
    <row r="46" spans="1:13" x14ac:dyDescent="0.25">
      <c r="A46" s="99">
        <v>39</v>
      </c>
      <c r="B46" s="117">
        <v>0.48</v>
      </c>
      <c r="C46" s="117">
        <v>0.48099999999999998</v>
      </c>
      <c r="D46" s="117">
        <v>0.48199999999999998</v>
      </c>
      <c r="E46" s="117">
        <v>0.48299999999999998</v>
      </c>
      <c r="F46" s="117">
        <v>0.48399999999999999</v>
      </c>
      <c r="G46" s="117">
        <v>0.48499999999999999</v>
      </c>
      <c r="H46" s="117">
        <v>0.48699999999999999</v>
      </c>
      <c r="I46" s="117">
        <v>0.48799999999999999</v>
      </c>
      <c r="J46" s="117">
        <v>0.48899999999999999</v>
      </c>
      <c r="K46" s="117">
        <v>0.49</v>
      </c>
      <c r="L46" s="117">
        <v>0.49099999999999999</v>
      </c>
      <c r="M46" s="117">
        <v>0.49199999999999999</v>
      </c>
    </row>
    <row r="47" spans="1:13" x14ac:dyDescent="0.25">
      <c r="A47" s="99">
        <v>40</v>
      </c>
      <c r="B47" s="117">
        <v>0.49399999999999999</v>
      </c>
      <c r="C47" s="117">
        <v>0.495</v>
      </c>
      <c r="D47" s="117">
        <v>0.496</v>
      </c>
      <c r="E47" s="117">
        <v>0.497</v>
      </c>
      <c r="F47" s="117">
        <v>0.498</v>
      </c>
      <c r="G47" s="117">
        <v>0.5</v>
      </c>
      <c r="H47" s="117">
        <v>0.501</v>
      </c>
      <c r="I47" s="117">
        <v>0.502</v>
      </c>
      <c r="J47" s="117">
        <v>0.503</v>
      </c>
      <c r="K47" s="117">
        <v>0.505</v>
      </c>
      <c r="L47" s="117">
        <v>0.50600000000000001</v>
      </c>
      <c r="M47" s="117">
        <v>0.50700000000000001</v>
      </c>
    </row>
    <row r="48" spans="1:13" x14ac:dyDescent="0.25">
      <c r="A48" s="99">
        <v>41</v>
      </c>
      <c r="B48" s="117">
        <v>0.50800000000000001</v>
      </c>
      <c r="C48" s="117">
        <v>0.50900000000000001</v>
      </c>
      <c r="D48" s="117">
        <v>0.51100000000000001</v>
      </c>
      <c r="E48" s="117">
        <v>0.51200000000000001</v>
      </c>
      <c r="F48" s="117">
        <v>0.51300000000000001</v>
      </c>
      <c r="G48" s="117">
        <v>0.51500000000000001</v>
      </c>
      <c r="H48" s="117">
        <v>0.51600000000000001</v>
      </c>
      <c r="I48" s="117">
        <v>0.51700000000000002</v>
      </c>
      <c r="J48" s="117">
        <v>0.51800000000000002</v>
      </c>
      <c r="K48" s="117">
        <v>0.52</v>
      </c>
      <c r="L48" s="117">
        <v>0.52100000000000002</v>
      </c>
      <c r="M48" s="117">
        <v>0.52200000000000002</v>
      </c>
    </row>
    <row r="49" spans="1:13" x14ac:dyDescent="0.25">
      <c r="A49" s="99">
        <v>42</v>
      </c>
      <c r="B49" s="117">
        <v>0.52400000000000002</v>
      </c>
      <c r="C49" s="117">
        <v>0.52500000000000002</v>
      </c>
      <c r="D49" s="117">
        <v>0.52600000000000002</v>
      </c>
      <c r="E49" s="117">
        <v>0.52800000000000002</v>
      </c>
      <c r="F49" s="117">
        <v>0.52900000000000003</v>
      </c>
      <c r="G49" s="117">
        <v>0.53</v>
      </c>
      <c r="H49" s="117">
        <v>0.53200000000000003</v>
      </c>
      <c r="I49" s="117">
        <v>0.53300000000000003</v>
      </c>
      <c r="J49" s="117">
        <v>0.53400000000000003</v>
      </c>
      <c r="K49" s="117">
        <v>0.53600000000000003</v>
      </c>
      <c r="L49" s="117">
        <v>0.53700000000000003</v>
      </c>
      <c r="M49" s="117">
        <v>0.53800000000000003</v>
      </c>
    </row>
    <row r="50" spans="1:13" x14ac:dyDescent="0.25">
      <c r="A50" s="99">
        <v>43</v>
      </c>
      <c r="B50" s="117">
        <v>0.54</v>
      </c>
      <c r="C50" s="117">
        <v>0.54100000000000004</v>
      </c>
      <c r="D50" s="117">
        <v>0.54200000000000004</v>
      </c>
      <c r="E50" s="117">
        <v>0.54400000000000004</v>
      </c>
      <c r="F50" s="117">
        <v>0.54500000000000004</v>
      </c>
      <c r="G50" s="117">
        <v>0.54700000000000004</v>
      </c>
      <c r="H50" s="117">
        <v>0.54800000000000004</v>
      </c>
      <c r="I50" s="117">
        <v>0.54900000000000004</v>
      </c>
      <c r="J50" s="117">
        <v>0.55100000000000005</v>
      </c>
      <c r="K50" s="117">
        <v>0.55200000000000005</v>
      </c>
      <c r="L50" s="117">
        <v>0.55400000000000005</v>
      </c>
      <c r="M50" s="117">
        <v>0.55500000000000005</v>
      </c>
    </row>
    <row r="51" spans="1:13" x14ac:dyDescent="0.25">
      <c r="A51" s="99">
        <v>44</v>
      </c>
      <c r="B51" s="117">
        <v>0.55600000000000005</v>
      </c>
      <c r="C51" s="117">
        <v>0.55800000000000005</v>
      </c>
      <c r="D51" s="117">
        <v>0.55900000000000005</v>
      </c>
      <c r="E51" s="117">
        <v>0.56100000000000005</v>
      </c>
      <c r="F51" s="117">
        <v>0.56200000000000006</v>
      </c>
      <c r="G51" s="117">
        <v>0.56399999999999995</v>
      </c>
      <c r="H51" s="117">
        <v>0.56499999999999995</v>
      </c>
      <c r="I51" s="117">
        <v>0.56699999999999995</v>
      </c>
      <c r="J51" s="117">
        <v>0.56799999999999995</v>
      </c>
      <c r="K51" s="117">
        <v>0.56999999999999995</v>
      </c>
      <c r="L51" s="117">
        <v>0.57099999999999995</v>
      </c>
      <c r="M51" s="117">
        <v>0.57299999999999995</v>
      </c>
    </row>
    <row r="52" spans="1:13" x14ac:dyDescent="0.25">
      <c r="A52" s="99">
        <v>45</v>
      </c>
      <c r="B52" s="117">
        <v>0.57399999999999995</v>
      </c>
      <c r="C52" s="117">
        <v>0.57599999999999996</v>
      </c>
      <c r="D52" s="117">
        <v>0.57699999999999996</v>
      </c>
      <c r="E52" s="117">
        <v>0.57899999999999996</v>
      </c>
      <c r="F52" s="117">
        <v>0.57999999999999996</v>
      </c>
      <c r="G52" s="117">
        <v>0.58199999999999996</v>
      </c>
      <c r="H52" s="117">
        <v>0.58299999999999996</v>
      </c>
      <c r="I52" s="117">
        <v>0.58499999999999996</v>
      </c>
      <c r="J52" s="117">
        <v>0.58599999999999997</v>
      </c>
      <c r="K52" s="117">
        <v>0.58799999999999997</v>
      </c>
      <c r="L52" s="117">
        <v>0.58899999999999997</v>
      </c>
      <c r="M52" s="117">
        <v>0.59099999999999997</v>
      </c>
    </row>
    <row r="53" spans="1:13" x14ac:dyDescent="0.25">
      <c r="A53" s="99">
        <v>46</v>
      </c>
      <c r="B53" s="117">
        <v>0.59299999999999997</v>
      </c>
      <c r="C53" s="117">
        <v>0.59399999999999997</v>
      </c>
      <c r="D53" s="117">
        <v>0.59599999999999997</v>
      </c>
      <c r="E53" s="117">
        <v>0.59699999999999998</v>
      </c>
      <c r="F53" s="117">
        <v>0.59899999999999998</v>
      </c>
      <c r="G53" s="117">
        <v>0.60099999999999998</v>
      </c>
      <c r="H53" s="117">
        <v>0.60199999999999998</v>
      </c>
      <c r="I53" s="117">
        <v>0.60399999999999998</v>
      </c>
      <c r="J53" s="117">
        <v>0.60599999999999998</v>
      </c>
      <c r="K53" s="117">
        <v>0.60699999999999998</v>
      </c>
      <c r="L53" s="117">
        <v>0.60899999999999999</v>
      </c>
      <c r="M53" s="117">
        <v>0.61</v>
      </c>
    </row>
    <row r="54" spans="1:13" x14ac:dyDescent="0.25">
      <c r="A54" s="99">
        <v>47</v>
      </c>
      <c r="B54" s="117">
        <v>0.61199999999999999</v>
      </c>
      <c r="C54" s="117">
        <v>0.61399999999999999</v>
      </c>
      <c r="D54" s="117">
        <v>0.61599999999999999</v>
      </c>
      <c r="E54" s="117">
        <v>0.61699999999999999</v>
      </c>
      <c r="F54" s="117">
        <v>0.61899999999999999</v>
      </c>
      <c r="G54" s="117">
        <v>0.621</v>
      </c>
      <c r="H54" s="117">
        <v>0.622</v>
      </c>
      <c r="I54" s="117">
        <v>0.624</v>
      </c>
      <c r="J54" s="117">
        <v>0.626</v>
      </c>
      <c r="K54" s="117">
        <v>0.627</v>
      </c>
      <c r="L54" s="117">
        <v>0.629</v>
      </c>
      <c r="M54" s="117">
        <v>0.63100000000000001</v>
      </c>
    </row>
    <row r="55" spans="1:13" x14ac:dyDescent="0.25">
      <c r="A55" s="99">
        <v>48</v>
      </c>
      <c r="B55" s="117">
        <v>0.63300000000000001</v>
      </c>
      <c r="C55" s="117">
        <v>0.63400000000000001</v>
      </c>
      <c r="D55" s="117">
        <v>0.63600000000000001</v>
      </c>
      <c r="E55" s="117">
        <v>0.63800000000000001</v>
      </c>
      <c r="F55" s="117">
        <v>0.64</v>
      </c>
      <c r="G55" s="117">
        <v>0.64200000000000002</v>
      </c>
      <c r="H55" s="117">
        <v>0.64300000000000002</v>
      </c>
      <c r="I55" s="117">
        <v>0.64500000000000002</v>
      </c>
      <c r="J55" s="117">
        <v>0.64700000000000002</v>
      </c>
      <c r="K55" s="117">
        <v>0.64900000000000002</v>
      </c>
      <c r="L55" s="117">
        <v>0.65100000000000002</v>
      </c>
      <c r="M55" s="117">
        <v>0.65200000000000002</v>
      </c>
    </row>
    <row r="56" spans="1:13" x14ac:dyDescent="0.25">
      <c r="A56" s="99">
        <v>49</v>
      </c>
      <c r="B56" s="117">
        <v>0.65400000000000003</v>
      </c>
      <c r="C56" s="117">
        <v>0.65600000000000003</v>
      </c>
      <c r="D56" s="117">
        <v>0.65800000000000003</v>
      </c>
      <c r="E56" s="117">
        <v>0.66</v>
      </c>
      <c r="F56" s="117">
        <v>0.66200000000000003</v>
      </c>
      <c r="G56" s="117">
        <v>0.66400000000000003</v>
      </c>
      <c r="H56" s="117">
        <v>0.66600000000000004</v>
      </c>
      <c r="I56" s="117">
        <v>0.66800000000000004</v>
      </c>
      <c r="J56" s="117">
        <v>0.67</v>
      </c>
      <c r="K56" s="117">
        <v>0.67100000000000004</v>
      </c>
      <c r="L56" s="117">
        <v>0.67300000000000004</v>
      </c>
      <c r="M56" s="117">
        <v>0.67500000000000004</v>
      </c>
    </row>
    <row r="57" spans="1:13" x14ac:dyDescent="0.25">
      <c r="A57" s="99">
        <v>50</v>
      </c>
      <c r="B57" s="117">
        <v>0.67700000000000005</v>
      </c>
      <c r="C57" s="117">
        <v>0.67900000000000005</v>
      </c>
      <c r="D57" s="117">
        <v>0.68100000000000005</v>
      </c>
      <c r="E57" s="117">
        <v>0.68300000000000005</v>
      </c>
      <c r="F57" s="117">
        <v>0.68500000000000005</v>
      </c>
      <c r="G57" s="117">
        <v>0.68700000000000006</v>
      </c>
      <c r="H57" s="117">
        <v>0.68899999999999995</v>
      </c>
      <c r="I57" s="117">
        <v>0.69099999999999995</v>
      </c>
      <c r="J57" s="117">
        <v>0.69299999999999995</v>
      </c>
      <c r="K57" s="117">
        <v>0.69499999999999995</v>
      </c>
      <c r="L57" s="117">
        <v>0.69699999999999995</v>
      </c>
      <c r="M57" s="117">
        <v>0.69899999999999995</v>
      </c>
    </row>
    <row r="58" spans="1:13" x14ac:dyDescent="0.25">
      <c r="A58" s="99">
        <v>51</v>
      </c>
      <c r="B58" s="117">
        <v>0.70099999999999996</v>
      </c>
      <c r="C58" s="117">
        <v>0.70399999999999996</v>
      </c>
      <c r="D58" s="117">
        <v>0.70599999999999996</v>
      </c>
      <c r="E58" s="117">
        <v>0.70799999999999996</v>
      </c>
      <c r="F58" s="117">
        <v>0.71</v>
      </c>
      <c r="G58" s="117">
        <v>0.71199999999999997</v>
      </c>
      <c r="H58" s="117">
        <v>0.71399999999999997</v>
      </c>
      <c r="I58" s="117">
        <v>0.71599999999999997</v>
      </c>
      <c r="J58" s="117">
        <v>0.71799999999999997</v>
      </c>
      <c r="K58" s="117">
        <v>0.72099999999999997</v>
      </c>
      <c r="L58" s="117">
        <v>0.72299999999999998</v>
      </c>
      <c r="M58" s="117">
        <v>0.72499999999999998</v>
      </c>
    </row>
    <row r="59" spans="1:13" x14ac:dyDescent="0.25">
      <c r="A59" s="99">
        <v>52</v>
      </c>
      <c r="B59" s="117">
        <v>0.72699999999999998</v>
      </c>
      <c r="C59" s="117">
        <v>0.72899999999999998</v>
      </c>
      <c r="D59" s="117">
        <v>0.73199999999999998</v>
      </c>
      <c r="E59" s="117">
        <v>0.73399999999999999</v>
      </c>
      <c r="F59" s="117">
        <v>0.73599999999999999</v>
      </c>
      <c r="G59" s="117">
        <v>0.73799999999999999</v>
      </c>
      <c r="H59" s="117">
        <v>0.74099999999999999</v>
      </c>
      <c r="I59" s="117">
        <v>0.74299999999999999</v>
      </c>
      <c r="J59" s="117">
        <v>0.745</v>
      </c>
      <c r="K59" s="117">
        <v>0.747</v>
      </c>
      <c r="L59" s="117">
        <v>0.75</v>
      </c>
      <c r="M59" s="117">
        <v>0.752</v>
      </c>
    </row>
    <row r="60" spans="1:13" x14ac:dyDescent="0.25">
      <c r="A60" s="99">
        <v>53</v>
      </c>
      <c r="B60" s="117">
        <v>0.754</v>
      </c>
      <c r="C60" s="117">
        <v>0.75700000000000001</v>
      </c>
      <c r="D60" s="117">
        <v>0.75900000000000001</v>
      </c>
      <c r="E60" s="117">
        <v>0.76100000000000001</v>
      </c>
      <c r="F60" s="117">
        <v>0.76400000000000001</v>
      </c>
      <c r="G60" s="117">
        <v>0.76600000000000001</v>
      </c>
      <c r="H60" s="117">
        <v>0.76900000000000002</v>
      </c>
      <c r="I60" s="117">
        <v>0.77100000000000002</v>
      </c>
      <c r="J60" s="117">
        <v>0.77300000000000002</v>
      </c>
      <c r="K60" s="117">
        <v>0.77600000000000002</v>
      </c>
      <c r="L60" s="117">
        <v>0.77800000000000002</v>
      </c>
      <c r="M60" s="117">
        <v>0.78100000000000003</v>
      </c>
    </row>
    <row r="61" spans="1:13" x14ac:dyDescent="0.25">
      <c r="A61" s="99">
        <v>54</v>
      </c>
      <c r="B61" s="117">
        <v>0.78300000000000003</v>
      </c>
      <c r="C61" s="117">
        <v>0.78600000000000003</v>
      </c>
      <c r="D61" s="117">
        <v>0.78800000000000003</v>
      </c>
      <c r="E61" s="117">
        <v>0.79100000000000004</v>
      </c>
      <c r="F61" s="117">
        <v>0.79300000000000004</v>
      </c>
      <c r="G61" s="117">
        <v>0.79600000000000004</v>
      </c>
      <c r="H61" s="117">
        <v>0.79800000000000004</v>
      </c>
      <c r="I61" s="117">
        <v>0.80100000000000005</v>
      </c>
      <c r="J61" s="117">
        <v>0.80300000000000005</v>
      </c>
      <c r="K61" s="117">
        <v>0.80600000000000005</v>
      </c>
      <c r="L61" s="117">
        <v>0.80900000000000005</v>
      </c>
      <c r="M61" s="117">
        <v>0.81100000000000005</v>
      </c>
    </row>
    <row r="62" spans="1:13" x14ac:dyDescent="0.25">
      <c r="A62" s="99">
        <v>55</v>
      </c>
      <c r="B62" s="117">
        <v>0.81399999999999995</v>
      </c>
      <c r="C62" s="117">
        <v>0.81599999999999995</v>
      </c>
      <c r="D62" s="117">
        <v>0.81899999999999995</v>
      </c>
      <c r="E62" s="117">
        <v>0.82199999999999995</v>
      </c>
      <c r="F62" s="117">
        <v>0.82499999999999996</v>
      </c>
      <c r="G62" s="117">
        <v>0.82699999999999996</v>
      </c>
      <c r="H62" s="117">
        <v>0.83</v>
      </c>
      <c r="I62" s="117">
        <v>0.83299999999999996</v>
      </c>
      <c r="J62" s="117">
        <v>0.83599999999999997</v>
      </c>
      <c r="K62" s="117">
        <v>0.83799999999999997</v>
      </c>
      <c r="L62" s="117">
        <v>0.84099999999999997</v>
      </c>
      <c r="M62" s="117">
        <v>0.84399999999999997</v>
      </c>
    </row>
    <row r="63" spans="1:13" x14ac:dyDescent="0.25">
      <c r="A63" s="99">
        <v>56</v>
      </c>
      <c r="B63" s="117">
        <v>0.84599999999999997</v>
      </c>
      <c r="C63" s="117">
        <v>0.84899999999999998</v>
      </c>
      <c r="D63" s="117">
        <v>0.85199999999999998</v>
      </c>
      <c r="E63" s="117">
        <v>0.85499999999999998</v>
      </c>
      <c r="F63" s="117">
        <v>0.85799999999999998</v>
      </c>
      <c r="G63" s="117">
        <v>0.86099999999999999</v>
      </c>
      <c r="H63" s="117">
        <v>0.86399999999999999</v>
      </c>
      <c r="I63" s="117">
        <v>0.86699999999999999</v>
      </c>
      <c r="J63" s="117">
        <v>0.87</v>
      </c>
      <c r="K63" s="117">
        <v>0.873</v>
      </c>
      <c r="L63" s="117">
        <v>0.876</v>
      </c>
      <c r="M63" s="117">
        <v>0.878</v>
      </c>
    </row>
    <row r="64" spans="1:13" x14ac:dyDescent="0.25">
      <c r="A64" s="99">
        <v>57</v>
      </c>
      <c r="B64" s="117">
        <v>0.88100000000000001</v>
      </c>
      <c r="C64" s="117">
        <v>0.88500000000000001</v>
      </c>
      <c r="D64" s="117">
        <v>0.88800000000000001</v>
      </c>
      <c r="E64" s="117">
        <v>0.89100000000000001</v>
      </c>
      <c r="F64" s="117">
        <v>0.89400000000000002</v>
      </c>
      <c r="G64" s="117">
        <v>0.89700000000000002</v>
      </c>
      <c r="H64" s="117">
        <v>0.9</v>
      </c>
      <c r="I64" s="117">
        <v>0.90300000000000002</v>
      </c>
      <c r="J64" s="117">
        <v>0.90600000000000003</v>
      </c>
      <c r="K64" s="117">
        <v>0.90900000000000003</v>
      </c>
      <c r="L64" s="117">
        <v>0.91200000000000003</v>
      </c>
      <c r="M64" s="117">
        <v>0.91600000000000004</v>
      </c>
    </row>
    <row r="65" spans="1:13" x14ac:dyDescent="0.25">
      <c r="A65" s="99">
        <v>58</v>
      </c>
      <c r="B65" s="117">
        <v>0.91900000000000004</v>
      </c>
      <c r="C65" s="117">
        <v>0.92200000000000004</v>
      </c>
      <c r="D65" s="117">
        <v>0.92500000000000004</v>
      </c>
      <c r="E65" s="117">
        <v>0.92900000000000005</v>
      </c>
      <c r="F65" s="117">
        <v>0.93200000000000005</v>
      </c>
      <c r="G65" s="117">
        <v>0.93500000000000005</v>
      </c>
      <c r="H65" s="117">
        <v>0.93899999999999995</v>
      </c>
      <c r="I65" s="117">
        <v>0.94199999999999995</v>
      </c>
      <c r="J65" s="117">
        <v>0.94499999999999995</v>
      </c>
      <c r="K65" s="117">
        <v>0.94899999999999995</v>
      </c>
      <c r="L65" s="117">
        <v>0.95199999999999996</v>
      </c>
      <c r="M65" s="117">
        <v>0.95499999999999996</v>
      </c>
    </row>
    <row r="66" spans="1:13" x14ac:dyDescent="0.25">
      <c r="A66" s="99">
        <v>59</v>
      </c>
      <c r="B66" s="117">
        <v>0.95899999999999996</v>
      </c>
      <c r="C66" s="117">
        <v>0.96199999999999997</v>
      </c>
      <c r="D66" s="117">
        <v>0.96599999999999997</v>
      </c>
      <c r="E66" s="117">
        <v>0.97</v>
      </c>
      <c r="F66" s="117">
        <v>0.97299999999999998</v>
      </c>
      <c r="G66" s="117">
        <v>0.97699999999999998</v>
      </c>
      <c r="H66" s="117">
        <v>0.98</v>
      </c>
      <c r="I66" s="117">
        <v>0.98399999999999999</v>
      </c>
      <c r="J66" s="117">
        <v>0.98699999999999999</v>
      </c>
      <c r="K66" s="117">
        <v>0.99099999999999999</v>
      </c>
      <c r="L66" s="117">
        <v>0.995</v>
      </c>
      <c r="M66" s="117">
        <v>0.998</v>
      </c>
    </row>
    <row r="67" spans="1:13" x14ac:dyDescent="0.25">
      <c r="A67" s="99">
        <v>60</v>
      </c>
      <c r="B67" s="117">
        <v>1</v>
      </c>
      <c r="C67" s="117"/>
      <c r="D67" s="117"/>
      <c r="E67" s="117"/>
      <c r="F67" s="117"/>
      <c r="G67" s="117"/>
      <c r="H67" s="117"/>
      <c r="I67" s="117"/>
      <c r="J67" s="117"/>
      <c r="K67" s="117"/>
      <c r="L67" s="117"/>
      <c r="M67" s="117"/>
    </row>
  </sheetData>
  <sheetProtection algorithmName="SHA-512" hashValue="L8B4t/fQ19fCA0dGKOTPF34l0TYkmRfbR/OMaJ+FWmBLrV+TPaxQ8I9blzv0embcIcsCTWcY9S2h8OdQ7ex3LA==" saltValue="R6VXznUBwhI1u2Qhd2Ow+w==" spinCount="100000" sheet="1" objects="1" scenarios="1"/>
  <conditionalFormatting sqref="A6:A21">
    <cfRule type="expression" dxfId="81" priority="7" stopIfTrue="1">
      <formula>MOD(ROW(),2)=0</formula>
    </cfRule>
    <cfRule type="expression" dxfId="80" priority="8" stopIfTrue="1">
      <formula>MOD(ROW(),2)&lt;&gt;0</formula>
    </cfRule>
  </conditionalFormatting>
  <conditionalFormatting sqref="A26:A67">
    <cfRule type="expression" dxfId="79" priority="1" stopIfTrue="1">
      <formula>MOD(ROW(),2)=0</formula>
    </cfRule>
    <cfRule type="expression" dxfId="78" priority="2" stopIfTrue="1">
      <formula>MOD(ROW(),2)&lt;&gt;0</formula>
    </cfRule>
  </conditionalFormatting>
  <conditionalFormatting sqref="B17:B21">
    <cfRule type="expression" dxfId="77" priority="5" stopIfTrue="1">
      <formula>MOD(ROW(),2)=0</formula>
    </cfRule>
    <cfRule type="expression" dxfId="76" priority="6" stopIfTrue="1">
      <formula>MOD(ROW(),2)&lt;&gt;0</formula>
    </cfRule>
  </conditionalFormatting>
  <conditionalFormatting sqref="B6:M21">
    <cfRule type="expression" dxfId="75" priority="17" stopIfTrue="1">
      <formula>MOD(ROW(),2)=0</formula>
    </cfRule>
    <cfRule type="expression" dxfId="74" priority="18" stopIfTrue="1">
      <formula>MOD(ROW(),2)&lt;&gt;0</formula>
    </cfRule>
  </conditionalFormatting>
  <conditionalFormatting sqref="B26:M67">
    <cfRule type="expression" dxfId="73" priority="3" stopIfTrue="1">
      <formula>MOD(ROW(),2)=0</formula>
    </cfRule>
    <cfRule type="expression" dxfId="72" priority="4" stopIfTrue="1">
      <formula>MOD(ROW(),2)&lt;&gt;0</formula>
    </cfRule>
  </conditionalFormatting>
  <hyperlinks>
    <hyperlink ref="B24" location="Assumptions!A1" display="Assumptions" xr:uid="{095CC5EC-4E20-415E-88F9-44CBD26479A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09"/>
  <dimension ref="A1:M72"/>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Abatement - x-817</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75</v>
      </c>
      <c r="C8" s="161"/>
      <c r="D8" s="161"/>
      <c r="E8" s="161"/>
      <c r="F8" s="161"/>
      <c r="G8" s="161"/>
      <c r="H8" s="161"/>
      <c r="I8" s="161"/>
      <c r="J8" s="161"/>
      <c r="K8" s="161"/>
      <c r="L8" s="161"/>
      <c r="M8" s="161"/>
    </row>
    <row r="9" spans="1:13" x14ac:dyDescent="0.25">
      <c r="A9" s="85" t="s">
        <v>282</v>
      </c>
      <c r="B9" s="161" t="s">
        <v>632</v>
      </c>
      <c r="C9" s="161"/>
      <c r="D9" s="161"/>
      <c r="E9" s="161"/>
      <c r="F9" s="161"/>
      <c r="G9" s="161"/>
      <c r="H9" s="161"/>
      <c r="I9" s="161"/>
      <c r="J9" s="161"/>
      <c r="K9" s="161"/>
      <c r="L9" s="161"/>
      <c r="M9" s="161"/>
    </row>
    <row r="10" spans="1:13" x14ac:dyDescent="0.25">
      <c r="A10" s="85" t="s">
        <v>6</v>
      </c>
      <c r="B10" s="161" t="s">
        <v>637</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634</v>
      </c>
      <c r="C12" s="161"/>
      <c r="D12" s="161"/>
      <c r="E12" s="161"/>
      <c r="F12" s="161"/>
      <c r="G12" s="161"/>
      <c r="H12" s="161"/>
      <c r="I12" s="161"/>
      <c r="J12" s="161"/>
      <c r="K12" s="161"/>
      <c r="L12" s="161"/>
      <c r="M12" s="161"/>
    </row>
    <row r="13" spans="1:13" x14ac:dyDescent="0.25">
      <c r="A13" s="85" t="s">
        <v>289</v>
      </c>
      <c r="B13" s="161">
        <v>1</v>
      </c>
      <c r="C13" s="161"/>
      <c r="D13" s="161"/>
      <c r="E13" s="161"/>
      <c r="F13" s="161"/>
      <c r="G13" s="161"/>
      <c r="H13" s="161"/>
      <c r="I13" s="161"/>
      <c r="J13" s="161"/>
      <c r="K13" s="161"/>
      <c r="L13" s="161"/>
      <c r="M13" s="161"/>
    </row>
    <row r="14" spans="1:13" x14ac:dyDescent="0.25">
      <c r="A14" s="85" t="s">
        <v>291</v>
      </c>
      <c r="B14" s="161">
        <v>817</v>
      </c>
      <c r="C14" s="161"/>
      <c r="D14" s="161"/>
      <c r="E14" s="161"/>
      <c r="F14" s="161"/>
      <c r="G14" s="161"/>
      <c r="H14" s="161"/>
      <c r="I14" s="161"/>
      <c r="J14" s="161"/>
      <c r="K14" s="161"/>
      <c r="L14" s="161"/>
      <c r="M14" s="161"/>
    </row>
    <row r="15" spans="1:13" x14ac:dyDescent="0.25">
      <c r="A15" s="85" t="s">
        <v>293</v>
      </c>
      <c r="B15" s="161" t="s">
        <v>638</v>
      </c>
      <c r="C15" s="161"/>
      <c r="D15" s="161"/>
      <c r="E15" s="161"/>
      <c r="F15" s="161"/>
      <c r="G15" s="161"/>
      <c r="H15" s="161"/>
      <c r="I15" s="161"/>
      <c r="J15" s="161"/>
      <c r="K15" s="161"/>
      <c r="L15" s="161"/>
      <c r="M15" s="161"/>
    </row>
    <row r="16" spans="1:13" x14ac:dyDescent="0.25">
      <c r="A16" s="85" t="s">
        <v>295</v>
      </c>
      <c r="B16" s="161" t="s">
        <v>639</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45135</v>
      </c>
      <c r="C18" s="161"/>
      <c r="D18" s="161"/>
      <c r="E18" s="161"/>
      <c r="F18" s="161"/>
      <c r="G18" s="161"/>
      <c r="H18" s="161"/>
      <c r="I18" s="161"/>
      <c r="J18" s="161"/>
      <c r="K18" s="161"/>
      <c r="L18" s="161"/>
      <c r="M18" s="161"/>
    </row>
    <row r="19" spans="1:13" x14ac:dyDescent="0.25">
      <c r="A19" s="85" t="s">
        <v>301</v>
      </c>
      <c r="B19" s="162">
        <v>45200</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20</v>
      </c>
      <c r="B27" s="117">
        <v>0.23799999999999999</v>
      </c>
      <c r="C27" s="117">
        <v>0.23899999999999999</v>
      </c>
      <c r="D27" s="117">
        <v>0.23899999999999999</v>
      </c>
      <c r="E27" s="117">
        <v>0.24</v>
      </c>
      <c r="F27" s="117">
        <v>0.24</v>
      </c>
      <c r="G27" s="117">
        <v>0.24099999999999999</v>
      </c>
      <c r="H27" s="117">
        <v>0.24099999999999999</v>
      </c>
      <c r="I27" s="117">
        <v>0.24199999999999999</v>
      </c>
      <c r="J27" s="117">
        <v>0.24199999999999999</v>
      </c>
      <c r="K27" s="117">
        <v>0.24199999999999999</v>
      </c>
      <c r="L27" s="117">
        <v>0.24299999999999999</v>
      </c>
      <c r="M27" s="117">
        <v>0.24299999999999999</v>
      </c>
    </row>
    <row r="28" spans="1:13" x14ac:dyDescent="0.25">
      <c r="A28" s="99">
        <v>21</v>
      </c>
      <c r="B28" s="117">
        <v>0.24399999999999999</v>
      </c>
      <c r="C28" s="117">
        <v>0.24399999999999999</v>
      </c>
      <c r="D28" s="117">
        <v>0.245</v>
      </c>
      <c r="E28" s="117">
        <v>0.245</v>
      </c>
      <c r="F28" s="117">
        <v>0.246</v>
      </c>
      <c r="G28" s="117">
        <v>0.246</v>
      </c>
      <c r="H28" s="117">
        <v>0.247</v>
      </c>
      <c r="I28" s="117">
        <v>0.247</v>
      </c>
      <c r="J28" s="117">
        <v>0.248</v>
      </c>
      <c r="K28" s="117">
        <v>0.248</v>
      </c>
      <c r="L28" s="117">
        <v>0.249</v>
      </c>
      <c r="M28" s="117">
        <v>0.249</v>
      </c>
    </row>
    <row r="29" spans="1:13" x14ac:dyDescent="0.25">
      <c r="A29" s="99">
        <v>22</v>
      </c>
      <c r="B29" s="117">
        <v>0.249</v>
      </c>
      <c r="C29" s="117">
        <v>0.25</v>
      </c>
      <c r="D29" s="117">
        <v>0.25</v>
      </c>
      <c r="E29" s="117">
        <v>0.251</v>
      </c>
      <c r="F29" s="117">
        <v>0.251</v>
      </c>
      <c r="G29" s="117">
        <v>0.252</v>
      </c>
      <c r="H29" s="117">
        <v>0.252</v>
      </c>
      <c r="I29" s="117">
        <v>0.253</v>
      </c>
      <c r="J29" s="117">
        <v>0.253</v>
      </c>
      <c r="K29" s="117">
        <v>0.254</v>
      </c>
      <c r="L29" s="117">
        <v>0.254</v>
      </c>
      <c r="M29" s="117">
        <v>0.255</v>
      </c>
    </row>
    <row r="30" spans="1:13" x14ac:dyDescent="0.25">
      <c r="A30" s="99">
        <v>23</v>
      </c>
      <c r="B30" s="117">
        <v>0.255</v>
      </c>
      <c r="C30" s="117">
        <v>0.25600000000000001</v>
      </c>
      <c r="D30" s="117">
        <v>0.25600000000000001</v>
      </c>
      <c r="E30" s="117">
        <v>0.25700000000000001</v>
      </c>
      <c r="F30" s="117">
        <v>0.25700000000000001</v>
      </c>
      <c r="G30" s="117">
        <v>0.25800000000000001</v>
      </c>
      <c r="H30" s="117">
        <v>0.25800000000000001</v>
      </c>
      <c r="I30" s="117">
        <v>0.25900000000000001</v>
      </c>
      <c r="J30" s="117">
        <v>0.25900000000000001</v>
      </c>
      <c r="K30" s="117">
        <v>0.26</v>
      </c>
      <c r="L30" s="117">
        <v>0.26</v>
      </c>
      <c r="M30" s="117">
        <v>0.26100000000000001</v>
      </c>
    </row>
    <row r="31" spans="1:13" x14ac:dyDescent="0.25">
      <c r="A31" s="99">
        <v>24</v>
      </c>
      <c r="B31" s="117">
        <v>0.26100000000000001</v>
      </c>
      <c r="C31" s="117">
        <v>0.26200000000000001</v>
      </c>
      <c r="D31" s="117">
        <v>0.26200000000000001</v>
      </c>
      <c r="E31" s="117">
        <v>0.26300000000000001</v>
      </c>
      <c r="F31" s="117">
        <v>0.26300000000000001</v>
      </c>
      <c r="G31" s="117">
        <v>0.26400000000000001</v>
      </c>
      <c r="H31" s="117">
        <v>0.26400000000000001</v>
      </c>
      <c r="I31" s="117">
        <v>0.26500000000000001</v>
      </c>
      <c r="J31" s="117">
        <v>0.26500000000000001</v>
      </c>
      <c r="K31" s="117">
        <v>0.26600000000000001</v>
      </c>
      <c r="L31" s="117">
        <v>0.26600000000000001</v>
      </c>
      <c r="M31" s="117">
        <v>0.26700000000000002</v>
      </c>
    </row>
    <row r="32" spans="1:13" x14ac:dyDescent="0.25">
      <c r="A32" s="99">
        <v>25</v>
      </c>
      <c r="B32" s="117">
        <v>0.26700000000000002</v>
      </c>
      <c r="C32" s="117">
        <v>0.26800000000000002</v>
      </c>
      <c r="D32" s="117">
        <v>0.26900000000000002</v>
      </c>
      <c r="E32" s="117">
        <v>0.26900000000000002</v>
      </c>
      <c r="F32" s="117">
        <v>0.27</v>
      </c>
      <c r="G32" s="117">
        <v>0.27</v>
      </c>
      <c r="H32" s="117">
        <v>0.27100000000000002</v>
      </c>
      <c r="I32" s="117">
        <v>0.27100000000000002</v>
      </c>
      <c r="J32" s="117">
        <v>0.27200000000000002</v>
      </c>
      <c r="K32" s="117">
        <v>0.27200000000000002</v>
      </c>
      <c r="L32" s="117">
        <v>0.27300000000000002</v>
      </c>
      <c r="M32" s="117">
        <v>0.27300000000000002</v>
      </c>
    </row>
    <row r="33" spans="1:13" x14ac:dyDescent="0.25">
      <c r="A33" s="99">
        <v>26</v>
      </c>
      <c r="B33" s="117">
        <v>0.27400000000000002</v>
      </c>
      <c r="C33" s="117">
        <v>0.27400000000000002</v>
      </c>
      <c r="D33" s="117">
        <v>0.27500000000000002</v>
      </c>
      <c r="E33" s="117">
        <v>0.27600000000000002</v>
      </c>
      <c r="F33" s="117">
        <v>0.27600000000000002</v>
      </c>
      <c r="G33" s="117">
        <v>0.27700000000000002</v>
      </c>
      <c r="H33" s="117">
        <v>0.27700000000000002</v>
      </c>
      <c r="I33" s="117">
        <v>0.27800000000000002</v>
      </c>
      <c r="J33" s="117">
        <v>0.27800000000000002</v>
      </c>
      <c r="K33" s="117">
        <v>0.27900000000000003</v>
      </c>
      <c r="L33" s="117">
        <v>0.27900000000000003</v>
      </c>
      <c r="M33" s="117">
        <v>0.28000000000000003</v>
      </c>
    </row>
    <row r="34" spans="1:13" x14ac:dyDescent="0.25">
      <c r="A34" s="99">
        <v>27</v>
      </c>
      <c r="B34" s="117">
        <v>0.28100000000000003</v>
      </c>
      <c r="C34" s="117">
        <v>0.28100000000000003</v>
      </c>
      <c r="D34" s="117">
        <v>0.28199999999999997</v>
      </c>
      <c r="E34" s="117">
        <v>0.28199999999999997</v>
      </c>
      <c r="F34" s="117">
        <v>0.28299999999999997</v>
      </c>
      <c r="G34" s="117">
        <v>0.28299999999999997</v>
      </c>
      <c r="H34" s="117">
        <v>0.28399999999999997</v>
      </c>
      <c r="I34" s="117">
        <v>0.28499999999999998</v>
      </c>
      <c r="J34" s="117">
        <v>0.28499999999999998</v>
      </c>
      <c r="K34" s="117">
        <v>0.28599999999999998</v>
      </c>
      <c r="L34" s="117">
        <v>0.28599999999999998</v>
      </c>
      <c r="M34" s="117">
        <v>0.28699999999999998</v>
      </c>
    </row>
    <row r="35" spans="1:13" x14ac:dyDescent="0.25">
      <c r="A35" s="99">
        <v>28</v>
      </c>
      <c r="B35" s="117">
        <v>0.28699999999999998</v>
      </c>
      <c r="C35" s="117">
        <v>0.28799999999999998</v>
      </c>
      <c r="D35" s="117">
        <v>0.28899999999999998</v>
      </c>
      <c r="E35" s="117">
        <v>0.28899999999999998</v>
      </c>
      <c r="F35" s="117">
        <v>0.28999999999999998</v>
      </c>
      <c r="G35" s="117">
        <v>0.28999999999999998</v>
      </c>
      <c r="H35" s="117">
        <v>0.29099999999999998</v>
      </c>
      <c r="I35" s="117">
        <v>0.29199999999999998</v>
      </c>
      <c r="J35" s="117">
        <v>0.29199999999999998</v>
      </c>
      <c r="K35" s="117">
        <v>0.29299999999999998</v>
      </c>
      <c r="L35" s="117">
        <v>0.29299999999999998</v>
      </c>
      <c r="M35" s="117">
        <v>0.29399999999999998</v>
      </c>
    </row>
    <row r="36" spans="1:13" x14ac:dyDescent="0.25">
      <c r="A36" s="99">
        <v>29</v>
      </c>
      <c r="B36" s="117">
        <v>0.29499999999999998</v>
      </c>
      <c r="C36" s="117">
        <v>0.29499999999999998</v>
      </c>
      <c r="D36" s="117">
        <v>0.29599999999999999</v>
      </c>
      <c r="E36" s="117">
        <v>0.29599999999999999</v>
      </c>
      <c r="F36" s="117">
        <v>0.29699999999999999</v>
      </c>
      <c r="G36" s="117">
        <v>0.29799999999999999</v>
      </c>
      <c r="H36" s="117">
        <v>0.29799999999999999</v>
      </c>
      <c r="I36" s="117">
        <v>0.29899999999999999</v>
      </c>
      <c r="J36" s="117">
        <v>0.29899999999999999</v>
      </c>
      <c r="K36" s="117">
        <v>0.3</v>
      </c>
      <c r="L36" s="117">
        <v>0.30099999999999999</v>
      </c>
      <c r="M36" s="117">
        <v>0.30099999999999999</v>
      </c>
    </row>
    <row r="37" spans="1:13" x14ac:dyDescent="0.25">
      <c r="A37" s="99">
        <v>30</v>
      </c>
      <c r="B37" s="117">
        <v>0.30199999999999999</v>
      </c>
      <c r="C37" s="117">
        <v>0.30299999999999999</v>
      </c>
      <c r="D37" s="117">
        <v>0.30299999999999999</v>
      </c>
      <c r="E37" s="117">
        <v>0.30399999999999999</v>
      </c>
      <c r="F37" s="117">
        <v>0.30499999999999999</v>
      </c>
      <c r="G37" s="117">
        <v>0.30499999999999999</v>
      </c>
      <c r="H37" s="117">
        <v>0.30599999999999999</v>
      </c>
      <c r="I37" s="117">
        <v>0.30599999999999999</v>
      </c>
      <c r="J37" s="117">
        <v>0.307</v>
      </c>
      <c r="K37" s="117">
        <v>0.308</v>
      </c>
      <c r="L37" s="117">
        <v>0.308</v>
      </c>
      <c r="M37" s="117">
        <v>0.309</v>
      </c>
    </row>
    <row r="38" spans="1:13" x14ac:dyDescent="0.25">
      <c r="A38" s="99">
        <v>31</v>
      </c>
      <c r="B38" s="117">
        <v>0.31</v>
      </c>
      <c r="C38" s="117">
        <v>0.31</v>
      </c>
      <c r="D38" s="117">
        <v>0.311</v>
      </c>
      <c r="E38" s="117">
        <v>0.312</v>
      </c>
      <c r="F38" s="117">
        <v>0.312</v>
      </c>
      <c r="G38" s="117">
        <v>0.313</v>
      </c>
      <c r="H38" s="117">
        <v>0.314</v>
      </c>
      <c r="I38" s="117">
        <v>0.314</v>
      </c>
      <c r="J38" s="117">
        <v>0.315</v>
      </c>
      <c r="K38" s="117">
        <v>0.316</v>
      </c>
      <c r="L38" s="117">
        <v>0.316</v>
      </c>
      <c r="M38" s="117">
        <v>0.317</v>
      </c>
    </row>
    <row r="39" spans="1:13" x14ac:dyDescent="0.25">
      <c r="A39" s="99">
        <v>32</v>
      </c>
      <c r="B39" s="117">
        <v>0.318</v>
      </c>
      <c r="C39" s="117">
        <v>0.318</v>
      </c>
      <c r="D39" s="117">
        <v>0.31900000000000001</v>
      </c>
      <c r="E39" s="117">
        <v>0.32</v>
      </c>
      <c r="F39" s="117">
        <v>0.32</v>
      </c>
      <c r="G39" s="117">
        <v>0.32100000000000001</v>
      </c>
      <c r="H39" s="117">
        <v>0.32200000000000001</v>
      </c>
      <c r="I39" s="117">
        <v>0.32200000000000001</v>
      </c>
      <c r="J39" s="117">
        <v>0.32300000000000001</v>
      </c>
      <c r="K39" s="117">
        <v>0.32400000000000001</v>
      </c>
      <c r="L39" s="117">
        <v>0.32400000000000001</v>
      </c>
      <c r="M39" s="117">
        <v>0.32500000000000001</v>
      </c>
    </row>
    <row r="40" spans="1:13" x14ac:dyDescent="0.25">
      <c r="A40" s="99">
        <v>33</v>
      </c>
      <c r="B40" s="117">
        <v>0.32600000000000001</v>
      </c>
      <c r="C40" s="117">
        <v>0.32700000000000001</v>
      </c>
      <c r="D40" s="117">
        <v>0.32700000000000001</v>
      </c>
      <c r="E40" s="117">
        <v>0.32800000000000001</v>
      </c>
      <c r="F40" s="117">
        <v>0.32900000000000001</v>
      </c>
      <c r="G40" s="117">
        <v>0.32900000000000001</v>
      </c>
      <c r="H40" s="117">
        <v>0.33</v>
      </c>
      <c r="I40" s="117">
        <v>0.33100000000000002</v>
      </c>
      <c r="J40" s="117">
        <v>0.33200000000000002</v>
      </c>
      <c r="K40" s="117">
        <v>0.33200000000000002</v>
      </c>
      <c r="L40" s="117">
        <v>0.33300000000000002</v>
      </c>
      <c r="M40" s="117">
        <v>0.33400000000000002</v>
      </c>
    </row>
    <row r="41" spans="1:13" x14ac:dyDescent="0.25">
      <c r="A41" s="99">
        <v>34</v>
      </c>
      <c r="B41" s="117">
        <v>0.33400000000000002</v>
      </c>
      <c r="C41" s="117">
        <v>0.33500000000000002</v>
      </c>
      <c r="D41" s="117">
        <v>0.33600000000000002</v>
      </c>
      <c r="E41" s="117">
        <v>0.33700000000000002</v>
      </c>
      <c r="F41" s="117">
        <v>0.33700000000000002</v>
      </c>
      <c r="G41" s="117">
        <v>0.33800000000000002</v>
      </c>
      <c r="H41" s="117">
        <v>0.33900000000000002</v>
      </c>
      <c r="I41" s="117">
        <v>0.34</v>
      </c>
      <c r="J41" s="117">
        <v>0.34</v>
      </c>
      <c r="K41" s="117">
        <v>0.34100000000000003</v>
      </c>
      <c r="L41" s="117">
        <v>0.34200000000000003</v>
      </c>
      <c r="M41" s="117">
        <v>0.34300000000000003</v>
      </c>
    </row>
    <row r="42" spans="1:13" x14ac:dyDescent="0.25">
      <c r="A42" s="99">
        <v>35</v>
      </c>
      <c r="B42" s="117">
        <v>0.34300000000000003</v>
      </c>
      <c r="C42" s="117">
        <v>0.34399999999999997</v>
      </c>
      <c r="D42" s="117">
        <v>0.34499999999999997</v>
      </c>
      <c r="E42" s="117">
        <v>0.34599999999999997</v>
      </c>
      <c r="F42" s="117">
        <v>0.34599999999999997</v>
      </c>
      <c r="G42" s="117">
        <v>0.34699999999999998</v>
      </c>
      <c r="H42" s="117">
        <v>0.34799999999999998</v>
      </c>
      <c r="I42" s="117">
        <v>0.34899999999999998</v>
      </c>
      <c r="J42" s="117">
        <v>0.35</v>
      </c>
      <c r="K42" s="117">
        <v>0.35</v>
      </c>
      <c r="L42" s="117">
        <v>0.35099999999999998</v>
      </c>
      <c r="M42" s="117">
        <v>0.35199999999999998</v>
      </c>
    </row>
    <row r="43" spans="1:13" x14ac:dyDescent="0.25">
      <c r="A43" s="99">
        <v>36</v>
      </c>
      <c r="B43" s="117">
        <v>0.35299999999999998</v>
      </c>
      <c r="C43" s="117">
        <v>0.35299999999999998</v>
      </c>
      <c r="D43" s="117">
        <v>0.35399999999999998</v>
      </c>
      <c r="E43" s="117">
        <v>0.35499999999999998</v>
      </c>
      <c r="F43" s="117">
        <v>0.35599999999999998</v>
      </c>
      <c r="G43" s="117">
        <v>0.35699999999999998</v>
      </c>
      <c r="H43" s="117">
        <v>0.35699999999999998</v>
      </c>
      <c r="I43" s="117">
        <v>0.35799999999999998</v>
      </c>
      <c r="J43" s="117">
        <v>0.35899999999999999</v>
      </c>
      <c r="K43" s="117">
        <v>0.36</v>
      </c>
      <c r="L43" s="117">
        <v>0.36099999999999999</v>
      </c>
      <c r="M43" s="117">
        <v>0.36199999999999999</v>
      </c>
    </row>
    <row r="44" spans="1:13" x14ac:dyDescent="0.25">
      <c r="A44" s="99">
        <v>37</v>
      </c>
      <c r="B44" s="117">
        <v>0.36199999999999999</v>
      </c>
      <c r="C44" s="117">
        <v>0.36299999999999999</v>
      </c>
      <c r="D44" s="117">
        <v>0.36399999999999999</v>
      </c>
      <c r="E44" s="117">
        <v>0.36499999999999999</v>
      </c>
      <c r="F44" s="117">
        <v>0.36599999999999999</v>
      </c>
      <c r="G44" s="117">
        <v>0.36699999999999999</v>
      </c>
      <c r="H44" s="117">
        <v>0.36699999999999999</v>
      </c>
      <c r="I44" s="117">
        <v>0.36799999999999999</v>
      </c>
      <c r="J44" s="117">
        <v>0.36899999999999999</v>
      </c>
      <c r="K44" s="117">
        <v>0.37</v>
      </c>
      <c r="L44" s="117">
        <v>0.371</v>
      </c>
      <c r="M44" s="117">
        <v>0.372</v>
      </c>
    </row>
    <row r="45" spans="1:13" x14ac:dyDescent="0.25">
      <c r="A45" s="99">
        <v>38</v>
      </c>
      <c r="B45" s="117">
        <v>0.372</v>
      </c>
      <c r="C45" s="117">
        <v>0.373</v>
      </c>
      <c r="D45" s="117">
        <v>0.374</v>
      </c>
      <c r="E45" s="117">
        <v>0.375</v>
      </c>
      <c r="F45" s="117">
        <v>0.376</v>
      </c>
      <c r="G45" s="117">
        <v>0.377</v>
      </c>
      <c r="H45" s="117">
        <v>0.378</v>
      </c>
      <c r="I45" s="117">
        <v>0.379</v>
      </c>
      <c r="J45" s="117">
        <v>0.379</v>
      </c>
      <c r="K45" s="117">
        <v>0.38</v>
      </c>
      <c r="L45" s="117">
        <v>0.38100000000000001</v>
      </c>
      <c r="M45" s="117">
        <v>0.38200000000000001</v>
      </c>
    </row>
    <row r="46" spans="1:13" x14ac:dyDescent="0.25">
      <c r="A46" s="99">
        <v>39</v>
      </c>
      <c r="B46" s="117">
        <v>0.38300000000000001</v>
      </c>
      <c r="C46" s="117">
        <v>0.38400000000000001</v>
      </c>
      <c r="D46" s="117">
        <v>0.38500000000000001</v>
      </c>
      <c r="E46" s="117">
        <v>0.38600000000000001</v>
      </c>
      <c r="F46" s="117">
        <v>0.38700000000000001</v>
      </c>
      <c r="G46" s="117">
        <v>0.38800000000000001</v>
      </c>
      <c r="H46" s="117">
        <v>0.38800000000000001</v>
      </c>
      <c r="I46" s="117">
        <v>0.38900000000000001</v>
      </c>
      <c r="J46" s="117">
        <v>0.39</v>
      </c>
      <c r="K46" s="117">
        <v>0.39100000000000001</v>
      </c>
      <c r="L46" s="117">
        <v>0.39200000000000002</v>
      </c>
      <c r="M46" s="117">
        <v>0.39300000000000002</v>
      </c>
    </row>
    <row r="47" spans="1:13" x14ac:dyDescent="0.25">
      <c r="A47" s="99">
        <v>40</v>
      </c>
      <c r="B47" s="117">
        <v>0.39400000000000002</v>
      </c>
      <c r="C47" s="117">
        <v>0.39500000000000002</v>
      </c>
      <c r="D47" s="117">
        <v>0.39600000000000002</v>
      </c>
      <c r="E47" s="117">
        <v>0.39700000000000002</v>
      </c>
      <c r="F47" s="117">
        <v>0.39800000000000002</v>
      </c>
      <c r="G47" s="117">
        <v>0.39900000000000002</v>
      </c>
      <c r="H47" s="117">
        <v>0.4</v>
      </c>
      <c r="I47" s="117">
        <v>0.40100000000000002</v>
      </c>
      <c r="J47" s="117">
        <v>0.40200000000000002</v>
      </c>
      <c r="K47" s="117">
        <v>0.40300000000000002</v>
      </c>
      <c r="L47" s="117">
        <v>0.40300000000000002</v>
      </c>
      <c r="M47" s="117">
        <v>0.40400000000000003</v>
      </c>
    </row>
    <row r="48" spans="1:13" x14ac:dyDescent="0.25">
      <c r="A48" s="99">
        <v>41</v>
      </c>
      <c r="B48" s="117">
        <v>0.40500000000000003</v>
      </c>
      <c r="C48" s="117">
        <v>0.40600000000000003</v>
      </c>
      <c r="D48" s="117">
        <v>0.40699999999999997</v>
      </c>
      <c r="E48" s="117">
        <v>0.40799999999999997</v>
      </c>
      <c r="F48" s="117">
        <v>0.40899999999999997</v>
      </c>
      <c r="G48" s="117">
        <v>0.41</v>
      </c>
      <c r="H48" s="117">
        <v>0.41099999999999998</v>
      </c>
      <c r="I48" s="117">
        <v>0.41199999999999998</v>
      </c>
      <c r="J48" s="117">
        <v>0.41299999999999998</v>
      </c>
      <c r="K48" s="117">
        <v>0.41399999999999998</v>
      </c>
      <c r="L48" s="117">
        <v>0.41499999999999998</v>
      </c>
      <c r="M48" s="117">
        <v>0.41599999999999998</v>
      </c>
    </row>
    <row r="49" spans="1:13" x14ac:dyDescent="0.25">
      <c r="A49" s="99">
        <v>42</v>
      </c>
      <c r="B49" s="117">
        <v>0.41699999999999998</v>
      </c>
      <c r="C49" s="117">
        <v>0.41799999999999998</v>
      </c>
      <c r="D49" s="117">
        <v>0.42</v>
      </c>
      <c r="E49" s="117">
        <v>0.42099999999999999</v>
      </c>
      <c r="F49" s="117">
        <v>0.42199999999999999</v>
      </c>
      <c r="G49" s="117">
        <v>0.42299999999999999</v>
      </c>
      <c r="H49" s="117">
        <v>0.42399999999999999</v>
      </c>
      <c r="I49" s="117">
        <v>0.42499999999999999</v>
      </c>
      <c r="J49" s="117">
        <v>0.42599999999999999</v>
      </c>
      <c r="K49" s="117">
        <v>0.42699999999999999</v>
      </c>
      <c r="L49" s="117">
        <v>0.42799999999999999</v>
      </c>
      <c r="M49" s="117">
        <v>0.42899999999999999</v>
      </c>
    </row>
    <row r="50" spans="1:13" x14ac:dyDescent="0.25">
      <c r="A50" s="99">
        <v>43</v>
      </c>
      <c r="B50" s="117">
        <v>0.43</v>
      </c>
      <c r="C50" s="117">
        <v>0.43099999999999999</v>
      </c>
      <c r="D50" s="117">
        <v>0.432</v>
      </c>
      <c r="E50" s="117">
        <v>0.433</v>
      </c>
      <c r="F50" s="117">
        <v>0.434</v>
      </c>
      <c r="G50" s="117">
        <v>0.435</v>
      </c>
      <c r="H50" s="117">
        <v>0.437</v>
      </c>
      <c r="I50" s="117">
        <v>0.438</v>
      </c>
      <c r="J50" s="117">
        <v>0.439</v>
      </c>
      <c r="K50" s="117">
        <v>0.44</v>
      </c>
      <c r="L50" s="117">
        <v>0.441</v>
      </c>
      <c r="M50" s="117">
        <v>0.442</v>
      </c>
    </row>
    <row r="51" spans="1:13" x14ac:dyDescent="0.25">
      <c r="A51" s="99">
        <v>44</v>
      </c>
      <c r="B51" s="117">
        <v>0.443</v>
      </c>
      <c r="C51" s="117">
        <v>0.44400000000000001</v>
      </c>
      <c r="D51" s="117">
        <v>0.44500000000000001</v>
      </c>
      <c r="E51" s="117">
        <v>0.44700000000000001</v>
      </c>
      <c r="F51" s="117">
        <v>0.44800000000000001</v>
      </c>
      <c r="G51" s="117">
        <v>0.44900000000000001</v>
      </c>
      <c r="H51" s="117">
        <v>0.45</v>
      </c>
      <c r="I51" s="117">
        <v>0.45100000000000001</v>
      </c>
      <c r="J51" s="117">
        <v>0.45200000000000001</v>
      </c>
      <c r="K51" s="117">
        <v>0.45400000000000001</v>
      </c>
      <c r="L51" s="117">
        <v>0.45500000000000002</v>
      </c>
      <c r="M51" s="117">
        <v>0.45600000000000002</v>
      </c>
    </row>
    <row r="52" spans="1:13" x14ac:dyDescent="0.25">
      <c r="A52" s="99">
        <v>45</v>
      </c>
      <c r="B52" s="117">
        <v>0.45700000000000002</v>
      </c>
      <c r="C52" s="117">
        <v>0.45800000000000002</v>
      </c>
      <c r="D52" s="117">
        <v>0.45900000000000002</v>
      </c>
      <c r="E52" s="117">
        <v>0.46100000000000002</v>
      </c>
      <c r="F52" s="117">
        <v>0.46200000000000002</v>
      </c>
      <c r="G52" s="117">
        <v>0.46300000000000002</v>
      </c>
      <c r="H52" s="117">
        <v>0.46400000000000002</v>
      </c>
      <c r="I52" s="117">
        <v>0.46500000000000002</v>
      </c>
      <c r="J52" s="117">
        <v>0.46700000000000003</v>
      </c>
      <c r="K52" s="117">
        <v>0.46800000000000003</v>
      </c>
      <c r="L52" s="117">
        <v>0.46899999999999997</v>
      </c>
      <c r="M52" s="117">
        <v>0.47</v>
      </c>
    </row>
    <row r="53" spans="1:13" x14ac:dyDescent="0.25">
      <c r="A53" s="99">
        <v>46</v>
      </c>
      <c r="B53" s="117">
        <v>0.47199999999999998</v>
      </c>
      <c r="C53" s="117">
        <v>0.47299999999999998</v>
      </c>
      <c r="D53" s="117">
        <v>0.47399999999999998</v>
      </c>
      <c r="E53" s="117">
        <v>0.47499999999999998</v>
      </c>
      <c r="F53" s="117">
        <v>0.47699999999999998</v>
      </c>
      <c r="G53" s="117">
        <v>0.47799999999999998</v>
      </c>
      <c r="H53" s="117">
        <v>0.47899999999999998</v>
      </c>
      <c r="I53" s="117">
        <v>0.48</v>
      </c>
      <c r="J53" s="117">
        <v>0.48199999999999998</v>
      </c>
      <c r="K53" s="117">
        <v>0.48299999999999998</v>
      </c>
      <c r="L53" s="117">
        <v>0.48399999999999999</v>
      </c>
      <c r="M53" s="117">
        <v>0.48599999999999999</v>
      </c>
    </row>
    <row r="54" spans="1:13" x14ac:dyDescent="0.25">
      <c r="A54" s="99">
        <v>47</v>
      </c>
      <c r="B54" s="117">
        <v>0.48699999999999999</v>
      </c>
      <c r="C54" s="117">
        <v>0.48799999999999999</v>
      </c>
      <c r="D54" s="117">
        <v>0.48899999999999999</v>
      </c>
      <c r="E54" s="117">
        <v>0.49099999999999999</v>
      </c>
      <c r="F54" s="117">
        <v>0.49199999999999999</v>
      </c>
      <c r="G54" s="117">
        <v>0.49299999999999999</v>
      </c>
      <c r="H54" s="117">
        <v>0.495</v>
      </c>
      <c r="I54" s="117">
        <v>0.496</v>
      </c>
      <c r="J54" s="117">
        <v>0.498</v>
      </c>
      <c r="K54" s="117">
        <v>0.499</v>
      </c>
      <c r="L54" s="117">
        <v>0.5</v>
      </c>
      <c r="M54" s="117">
        <v>0.502</v>
      </c>
    </row>
    <row r="55" spans="1:13" x14ac:dyDescent="0.25">
      <c r="A55" s="99">
        <v>48</v>
      </c>
      <c r="B55" s="117">
        <v>0.503</v>
      </c>
      <c r="C55" s="117">
        <v>0.504</v>
      </c>
      <c r="D55" s="117">
        <v>0.50600000000000001</v>
      </c>
      <c r="E55" s="117">
        <v>0.50700000000000001</v>
      </c>
      <c r="F55" s="117">
        <v>0.50900000000000001</v>
      </c>
      <c r="G55" s="117">
        <v>0.51</v>
      </c>
      <c r="H55" s="117">
        <v>0.51100000000000001</v>
      </c>
      <c r="I55" s="117">
        <v>0.51300000000000001</v>
      </c>
      <c r="J55" s="117">
        <v>0.51400000000000001</v>
      </c>
      <c r="K55" s="117">
        <v>0.51600000000000001</v>
      </c>
      <c r="L55" s="117">
        <v>0.51700000000000002</v>
      </c>
      <c r="M55" s="117">
        <v>0.51800000000000002</v>
      </c>
    </row>
    <row r="56" spans="1:13" x14ac:dyDescent="0.25">
      <c r="A56" s="99">
        <v>49</v>
      </c>
      <c r="B56" s="117">
        <v>0.52</v>
      </c>
      <c r="C56" s="117">
        <v>0.52100000000000002</v>
      </c>
      <c r="D56" s="117">
        <v>0.52300000000000002</v>
      </c>
      <c r="E56" s="117">
        <v>0.52400000000000002</v>
      </c>
      <c r="F56" s="117">
        <v>0.52600000000000002</v>
      </c>
      <c r="G56" s="117">
        <v>0.52700000000000002</v>
      </c>
      <c r="H56" s="117">
        <v>0.52900000000000003</v>
      </c>
      <c r="I56" s="117">
        <v>0.53</v>
      </c>
      <c r="J56" s="117">
        <v>0.53200000000000003</v>
      </c>
      <c r="K56" s="117">
        <v>0.53300000000000003</v>
      </c>
      <c r="L56" s="117">
        <v>0.53500000000000003</v>
      </c>
      <c r="M56" s="117">
        <v>0.53600000000000003</v>
      </c>
    </row>
    <row r="57" spans="1:13" x14ac:dyDescent="0.25">
      <c r="A57" s="99">
        <v>50</v>
      </c>
      <c r="B57" s="117">
        <v>0.53800000000000003</v>
      </c>
      <c r="C57" s="117">
        <v>0.53900000000000003</v>
      </c>
      <c r="D57" s="117">
        <v>0.54100000000000004</v>
      </c>
      <c r="E57" s="117">
        <v>0.54200000000000004</v>
      </c>
      <c r="F57" s="117">
        <v>0.54400000000000004</v>
      </c>
      <c r="G57" s="117">
        <v>0.54600000000000004</v>
      </c>
      <c r="H57" s="117">
        <v>0.54700000000000004</v>
      </c>
      <c r="I57" s="117">
        <v>0.54900000000000004</v>
      </c>
      <c r="J57" s="117">
        <v>0.55000000000000004</v>
      </c>
      <c r="K57" s="117">
        <v>0.55200000000000005</v>
      </c>
      <c r="L57" s="117">
        <v>0.55300000000000005</v>
      </c>
      <c r="M57" s="117">
        <v>0.55500000000000005</v>
      </c>
    </row>
    <row r="58" spans="1:13" x14ac:dyDescent="0.25">
      <c r="A58" s="99">
        <v>51</v>
      </c>
      <c r="B58" s="117">
        <v>0.55700000000000005</v>
      </c>
      <c r="C58" s="117">
        <v>0.55800000000000005</v>
      </c>
      <c r="D58" s="117">
        <v>0.56000000000000005</v>
      </c>
      <c r="E58" s="117">
        <v>0.56200000000000006</v>
      </c>
      <c r="F58" s="117">
        <v>0.56299999999999994</v>
      </c>
      <c r="G58" s="117">
        <v>0.56499999999999995</v>
      </c>
      <c r="H58" s="117">
        <v>0.56699999999999995</v>
      </c>
      <c r="I58" s="117">
        <v>0.56799999999999995</v>
      </c>
      <c r="J58" s="117">
        <v>0.56999999999999995</v>
      </c>
      <c r="K58" s="117">
        <v>0.57199999999999995</v>
      </c>
      <c r="L58" s="117">
        <v>0.57299999999999995</v>
      </c>
      <c r="M58" s="117">
        <v>0.57499999999999996</v>
      </c>
    </row>
    <row r="59" spans="1:13" x14ac:dyDescent="0.25">
      <c r="A59" s="99">
        <v>52</v>
      </c>
      <c r="B59" s="117">
        <v>0.57699999999999996</v>
      </c>
      <c r="C59" s="117">
        <v>0.57799999999999996</v>
      </c>
      <c r="D59" s="117">
        <v>0.57999999999999996</v>
      </c>
      <c r="E59" s="117">
        <v>0.58199999999999996</v>
      </c>
      <c r="F59" s="117">
        <v>0.58399999999999996</v>
      </c>
      <c r="G59" s="117">
        <v>0.58499999999999996</v>
      </c>
      <c r="H59" s="117">
        <v>0.58699999999999997</v>
      </c>
      <c r="I59" s="117">
        <v>0.58899999999999997</v>
      </c>
      <c r="J59" s="117">
        <v>0.59099999999999997</v>
      </c>
      <c r="K59" s="117">
        <v>0.59199999999999997</v>
      </c>
      <c r="L59" s="117">
        <v>0.59399999999999997</v>
      </c>
      <c r="M59" s="117">
        <v>0.59599999999999997</v>
      </c>
    </row>
    <row r="60" spans="1:13" x14ac:dyDescent="0.25">
      <c r="A60" s="99">
        <v>53</v>
      </c>
      <c r="B60" s="117">
        <v>0.59799999999999998</v>
      </c>
      <c r="C60" s="117">
        <v>0.6</v>
      </c>
      <c r="D60" s="117">
        <v>0.60199999999999998</v>
      </c>
      <c r="E60" s="117">
        <v>0.60299999999999998</v>
      </c>
      <c r="F60" s="117">
        <v>0.60499999999999998</v>
      </c>
      <c r="G60" s="117">
        <v>0.60699999999999998</v>
      </c>
      <c r="H60" s="117">
        <v>0.60899999999999999</v>
      </c>
      <c r="I60" s="117">
        <v>0.61099999999999999</v>
      </c>
      <c r="J60" s="117">
        <v>0.61299999999999999</v>
      </c>
      <c r="K60" s="117">
        <v>0.61499999999999999</v>
      </c>
      <c r="L60" s="117">
        <v>0.61699999999999999</v>
      </c>
      <c r="M60" s="117">
        <v>0.61799999999999999</v>
      </c>
    </row>
    <row r="61" spans="1:13" x14ac:dyDescent="0.25">
      <c r="A61" s="99">
        <v>54</v>
      </c>
      <c r="B61" s="117">
        <v>0.62</v>
      </c>
      <c r="C61" s="117">
        <v>0.622</v>
      </c>
      <c r="D61" s="117">
        <v>0.624</v>
      </c>
      <c r="E61" s="117">
        <v>0.626</v>
      </c>
      <c r="F61" s="117">
        <v>0.628</v>
      </c>
      <c r="G61" s="117">
        <v>0.63</v>
      </c>
      <c r="H61" s="117">
        <v>0.63200000000000001</v>
      </c>
      <c r="I61" s="117">
        <v>0.63400000000000001</v>
      </c>
      <c r="J61" s="117">
        <v>0.63600000000000001</v>
      </c>
      <c r="K61" s="117">
        <v>0.63800000000000001</v>
      </c>
      <c r="L61" s="117">
        <v>0.64</v>
      </c>
      <c r="M61" s="117">
        <v>0.64200000000000002</v>
      </c>
    </row>
    <row r="62" spans="1:13" x14ac:dyDescent="0.25">
      <c r="A62" s="99">
        <v>55</v>
      </c>
      <c r="B62" s="117">
        <v>0.64400000000000002</v>
      </c>
      <c r="C62" s="117">
        <v>0.64600000000000002</v>
      </c>
      <c r="D62" s="117">
        <v>0.64800000000000002</v>
      </c>
      <c r="E62" s="117">
        <v>0.65100000000000002</v>
      </c>
      <c r="F62" s="117">
        <v>0.65300000000000002</v>
      </c>
      <c r="G62" s="117">
        <v>0.65500000000000003</v>
      </c>
      <c r="H62" s="117">
        <v>0.65700000000000003</v>
      </c>
      <c r="I62" s="117">
        <v>0.65900000000000003</v>
      </c>
      <c r="J62" s="117">
        <v>0.66100000000000003</v>
      </c>
      <c r="K62" s="117">
        <v>0.66300000000000003</v>
      </c>
      <c r="L62" s="117">
        <v>0.66500000000000004</v>
      </c>
      <c r="M62" s="117">
        <v>0.66800000000000004</v>
      </c>
    </row>
    <row r="63" spans="1:13" x14ac:dyDescent="0.25">
      <c r="A63" s="99">
        <v>56</v>
      </c>
      <c r="B63" s="117">
        <v>0.67</v>
      </c>
      <c r="C63" s="117">
        <v>0.67200000000000004</v>
      </c>
      <c r="D63" s="117">
        <v>0.67400000000000004</v>
      </c>
      <c r="E63" s="117">
        <v>0.67700000000000005</v>
      </c>
      <c r="F63" s="117">
        <v>0.67900000000000005</v>
      </c>
      <c r="G63" s="117">
        <v>0.68100000000000005</v>
      </c>
      <c r="H63" s="117">
        <v>0.68300000000000005</v>
      </c>
      <c r="I63" s="117">
        <v>0.68600000000000005</v>
      </c>
      <c r="J63" s="117">
        <v>0.68799999999999994</v>
      </c>
      <c r="K63" s="117">
        <v>0.69</v>
      </c>
      <c r="L63" s="117">
        <v>0.69199999999999995</v>
      </c>
      <c r="M63" s="117">
        <v>0.69499999999999995</v>
      </c>
    </row>
    <row r="64" spans="1:13" x14ac:dyDescent="0.25">
      <c r="A64" s="99">
        <v>57</v>
      </c>
      <c r="B64" s="117">
        <v>0.69699999999999995</v>
      </c>
      <c r="C64" s="117">
        <v>0.69899999999999995</v>
      </c>
      <c r="D64" s="117">
        <v>0.70199999999999996</v>
      </c>
      <c r="E64" s="117">
        <v>0.70399999999999996</v>
      </c>
      <c r="F64" s="117">
        <v>0.70699999999999996</v>
      </c>
      <c r="G64" s="117">
        <v>0.70899999999999996</v>
      </c>
      <c r="H64" s="117">
        <v>0.71099999999999997</v>
      </c>
      <c r="I64" s="117">
        <v>0.71399999999999997</v>
      </c>
      <c r="J64" s="117">
        <v>0.71599999999999997</v>
      </c>
      <c r="K64" s="117">
        <v>0.71899999999999997</v>
      </c>
      <c r="L64" s="117">
        <v>0.72099999999999997</v>
      </c>
      <c r="M64" s="117">
        <v>0.72399999999999998</v>
      </c>
    </row>
    <row r="65" spans="1:13" x14ac:dyDescent="0.25">
      <c r="A65" s="99">
        <v>58</v>
      </c>
      <c r="B65" s="117">
        <v>0.72599999999999998</v>
      </c>
      <c r="C65" s="117">
        <v>0.72899999999999998</v>
      </c>
      <c r="D65" s="117">
        <v>0.73099999999999998</v>
      </c>
      <c r="E65" s="117">
        <v>0.73399999999999999</v>
      </c>
      <c r="F65" s="117">
        <v>0.73599999999999999</v>
      </c>
      <c r="G65" s="117">
        <v>0.73899999999999999</v>
      </c>
      <c r="H65" s="117">
        <v>0.74199999999999999</v>
      </c>
      <c r="I65" s="117">
        <v>0.74399999999999999</v>
      </c>
      <c r="J65" s="117">
        <v>0.747</v>
      </c>
      <c r="K65" s="117">
        <v>0.749</v>
      </c>
      <c r="L65" s="117">
        <v>0.752</v>
      </c>
      <c r="M65" s="117">
        <v>0.755</v>
      </c>
    </row>
    <row r="66" spans="1:13" x14ac:dyDescent="0.25">
      <c r="A66" s="99">
        <v>59</v>
      </c>
      <c r="B66" s="117">
        <v>0.75700000000000001</v>
      </c>
      <c r="C66" s="117">
        <v>0.76</v>
      </c>
      <c r="D66" s="117">
        <v>0.76300000000000001</v>
      </c>
      <c r="E66" s="117">
        <v>0.76600000000000001</v>
      </c>
      <c r="F66" s="117">
        <v>0.76800000000000002</v>
      </c>
      <c r="G66" s="117">
        <v>0.77100000000000002</v>
      </c>
      <c r="H66" s="117">
        <v>0.77400000000000002</v>
      </c>
      <c r="I66" s="117">
        <v>0.77700000000000002</v>
      </c>
      <c r="J66" s="117">
        <v>0.77900000000000003</v>
      </c>
      <c r="K66" s="117">
        <v>0.78200000000000003</v>
      </c>
      <c r="L66" s="117">
        <v>0.78500000000000003</v>
      </c>
      <c r="M66" s="117">
        <v>0.78800000000000003</v>
      </c>
    </row>
    <row r="67" spans="1:13" x14ac:dyDescent="0.25">
      <c r="A67" s="99">
        <v>60</v>
      </c>
      <c r="B67" s="117">
        <v>0.79100000000000004</v>
      </c>
      <c r="C67" s="117">
        <v>0.79400000000000004</v>
      </c>
      <c r="D67" s="117">
        <v>0.79700000000000004</v>
      </c>
      <c r="E67" s="117">
        <v>0.8</v>
      </c>
      <c r="F67" s="117">
        <v>0.80300000000000005</v>
      </c>
      <c r="G67" s="117">
        <v>0.80600000000000005</v>
      </c>
      <c r="H67" s="117">
        <v>0.80900000000000005</v>
      </c>
      <c r="I67" s="117">
        <v>0.81200000000000006</v>
      </c>
      <c r="J67" s="117">
        <v>0.81499999999999995</v>
      </c>
      <c r="K67" s="117">
        <v>0.81799999999999995</v>
      </c>
      <c r="L67" s="117">
        <v>0.82099999999999995</v>
      </c>
      <c r="M67" s="117">
        <v>0.82399999999999995</v>
      </c>
    </row>
    <row r="68" spans="1:13" x14ac:dyDescent="0.25">
      <c r="A68" s="99">
        <v>61</v>
      </c>
      <c r="B68" s="117">
        <v>0.82699999999999996</v>
      </c>
      <c r="C68" s="117">
        <v>0.83</v>
      </c>
      <c r="D68" s="117">
        <v>0.83299999999999996</v>
      </c>
      <c r="E68" s="117">
        <v>0.83599999999999997</v>
      </c>
      <c r="F68" s="117">
        <v>0.83899999999999997</v>
      </c>
      <c r="G68" s="117">
        <v>0.84299999999999997</v>
      </c>
      <c r="H68" s="117">
        <v>0.84599999999999997</v>
      </c>
      <c r="I68" s="117">
        <v>0.84899999999999998</v>
      </c>
      <c r="J68" s="117">
        <v>0.85199999999999998</v>
      </c>
      <c r="K68" s="117">
        <v>0.85599999999999998</v>
      </c>
      <c r="L68" s="117">
        <v>0.85899999999999999</v>
      </c>
      <c r="M68" s="117">
        <v>0.86199999999999999</v>
      </c>
    </row>
    <row r="69" spans="1:13" x14ac:dyDescent="0.25">
      <c r="A69" s="99">
        <v>62</v>
      </c>
      <c r="B69" s="117">
        <v>0.86499999999999999</v>
      </c>
      <c r="C69" s="117">
        <v>0.86899999999999999</v>
      </c>
      <c r="D69" s="117">
        <v>0.872</v>
      </c>
      <c r="E69" s="117">
        <v>0.876</v>
      </c>
      <c r="F69" s="117">
        <v>0.879</v>
      </c>
      <c r="G69" s="117">
        <v>0.88300000000000001</v>
      </c>
      <c r="H69" s="117">
        <v>0.88600000000000001</v>
      </c>
      <c r="I69" s="117">
        <v>0.89</v>
      </c>
      <c r="J69" s="117">
        <v>0.89300000000000002</v>
      </c>
      <c r="K69" s="117">
        <v>0.89700000000000002</v>
      </c>
      <c r="L69" s="117">
        <v>0.9</v>
      </c>
      <c r="M69" s="117">
        <v>0.90400000000000003</v>
      </c>
    </row>
    <row r="70" spans="1:13" x14ac:dyDescent="0.25">
      <c r="A70" s="99">
        <v>63</v>
      </c>
      <c r="B70" s="117">
        <v>0.90700000000000003</v>
      </c>
      <c r="C70" s="117">
        <v>0.91100000000000003</v>
      </c>
      <c r="D70" s="117">
        <v>0.91500000000000004</v>
      </c>
      <c r="E70" s="117">
        <v>0.91900000000000004</v>
      </c>
      <c r="F70" s="117">
        <v>0.92200000000000004</v>
      </c>
      <c r="G70" s="117">
        <v>0.92600000000000005</v>
      </c>
      <c r="H70" s="117">
        <v>0.93</v>
      </c>
      <c r="I70" s="117">
        <v>0.93400000000000005</v>
      </c>
      <c r="J70" s="117">
        <v>0.93799999999999994</v>
      </c>
      <c r="K70" s="117">
        <v>0.94099999999999995</v>
      </c>
      <c r="L70" s="117">
        <v>0.94499999999999995</v>
      </c>
      <c r="M70" s="117">
        <v>0.94899999999999995</v>
      </c>
    </row>
    <row r="71" spans="1:13" x14ac:dyDescent="0.25">
      <c r="A71" s="99">
        <v>64</v>
      </c>
      <c r="B71" s="117">
        <v>0.95299999999999996</v>
      </c>
      <c r="C71" s="117">
        <v>0.95699999999999996</v>
      </c>
      <c r="D71" s="117">
        <v>0.96099999999999997</v>
      </c>
      <c r="E71" s="117">
        <v>0.96499999999999997</v>
      </c>
      <c r="F71" s="117">
        <v>0.96899999999999997</v>
      </c>
      <c r="G71" s="117">
        <v>0.97299999999999998</v>
      </c>
      <c r="H71" s="117">
        <v>0.97699999999999998</v>
      </c>
      <c r="I71" s="117">
        <v>0.98199999999999998</v>
      </c>
      <c r="J71" s="117">
        <v>0.98599999999999999</v>
      </c>
      <c r="K71" s="117">
        <v>0.99</v>
      </c>
      <c r="L71" s="117">
        <v>0.99399999999999999</v>
      </c>
      <c r="M71" s="117">
        <v>0.998</v>
      </c>
    </row>
    <row r="72" spans="1:13" x14ac:dyDescent="0.25">
      <c r="A72" s="99">
        <v>65</v>
      </c>
      <c r="B72" s="117">
        <v>1</v>
      </c>
      <c r="C72" s="117"/>
      <c r="D72" s="117"/>
      <c r="E72" s="117"/>
      <c r="F72" s="117"/>
      <c r="G72" s="117"/>
      <c r="H72" s="117"/>
      <c r="I72" s="117"/>
      <c r="J72" s="117"/>
      <c r="K72" s="117"/>
      <c r="L72" s="117"/>
      <c r="M72" s="117"/>
    </row>
  </sheetData>
  <sheetProtection algorithmName="SHA-512" hashValue="C4K4EH66fLnog16oLTRa4hXkfnzUqLTAG/lsnqIZUpNnpMY2D2o3QEcjE9lTaJJhQqLS/MFQDl6QMkcygPPqmg==" saltValue="EVFnTLNKJ1cDbIqOrEwozg==" spinCount="100000" sheet="1" objects="1" scenarios="1"/>
  <conditionalFormatting sqref="A6:A21">
    <cfRule type="expression" dxfId="71" priority="7" stopIfTrue="1">
      <formula>MOD(ROW(),2)=0</formula>
    </cfRule>
    <cfRule type="expression" dxfId="70" priority="8" stopIfTrue="1">
      <formula>MOD(ROW(),2)&lt;&gt;0</formula>
    </cfRule>
  </conditionalFormatting>
  <conditionalFormatting sqref="A26:A72">
    <cfRule type="expression" dxfId="69" priority="1" stopIfTrue="1">
      <formula>MOD(ROW(),2)=0</formula>
    </cfRule>
    <cfRule type="expression" dxfId="68" priority="2" stopIfTrue="1">
      <formula>MOD(ROW(),2)&lt;&gt;0</formula>
    </cfRule>
  </conditionalFormatting>
  <conditionalFormatting sqref="B17:B21">
    <cfRule type="expression" dxfId="67" priority="5" stopIfTrue="1">
      <formula>MOD(ROW(),2)=0</formula>
    </cfRule>
    <cfRule type="expression" dxfId="66" priority="6" stopIfTrue="1">
      <formula>MOD(ROW(),2)&lt;&gt;0</formula>
    </cfRule>
  </conditionalFormatting>
  <conditionalFormatting sqref="B6:M21">
    <cfRule type="expression" dxfId="65" priority="17" stopIfTrue="1">
      <formula>MOD(ROW(),2)=0</formula>
    </cfRule>
    <cfRule type="expression" dxfId="64" priority="18" stopIfTrue="1">
      <formula>MOD(ROW(),2)&lt;&gt;0</formula>
    </cfRule>
  </conditionalFormatting>
  <conditionalFormatting sqref="B26:M72">
    <cfRule type="expression" dxfId="63" priority="3" stopIfTrue="1">
      <formula>MOD(ROW(),2)=0</formula>
    </cfRule>
    <cfRule type="expression" dxfId="62" priority="4" stopIfTrue="1">
      <formula>MOD(ROW(),2)&lt;&gt;0</formula>
    </cfRule>
  </conditionalFormatting>
  <hyperlinks>
    <hyperlink ref="B24" location="Assumptions!A1" display="Assumptions" xr:uid="{9339B478-1086-4E4F-A1E4-0504F959F2A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10"/>
  <dimension ref="A1:M67"/>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Abatement - x-818</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75</v>
      </c>
      <c r="C8" s="161"/>
      <c r="D8" s="161"/>
      <c r="E8" s="161"/>
      <c r="F8" s="161"/>
      <c r="G8" s="161"/>
      <c r="H8" s="161"/>
      <c r="I8" s="161"/>
      <c r="J8" s="161"/>
      <c r="K8" s="161"/>
      <c r="L8" s="161"/>
      <c r="M8" s="161"/>
    </row>
    <row r="9" spans="1:13" x14ac:dyDescent="0.25">
      <c r="A9" s="85" t="s">
        <v>282</v>
      </c>
      <c r="B9" s="161" t="s">
        <v>632</v>
      </c>
      <c r="C9" s="161"/>
      <c r="D9" s="161"/>
      <c r="E9" s="161"/>
      <c r="F9" s="161"/>
      <c r="G9" s="161"/>
      <c r="H9" s="161"/>
      <c r="I9" s="161"/>
      <c r="J9" s="161"/>
      <c r="K9" s="161"/>
      <c r="L9" s="161"/>
      <c r="M9" s="161"/>
    </row>
    <row r="10" spans="1:13" x14ac:dyDescent="0.25">
      <c r="A10" s="85" t="s">
        <v>6</v>
      </c>
      <c r="B10" s="161" t="s">
        <v>640</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634</v>
      </c>
      <c r="C12" s="161"/>
      <c r="D12" s="161"/>
      <c r="E12" s="161"/>
      <c r="F12" s="161"/>
      <c r="G12" s="161"/>
      <c r="H12" s="161"/>
      <c r="I12" s="161"/>
      <c r="J12" s="161"/>
      <c r="K12" s="161"/>
      <c r="L12" s="161"/>
      <c r="M12" s="161"/>
    </row>
    <row r="13" spans="1:13" x14ac:dyDescent="0.25">
      <c r="A13" s="85" t="s">
        <v>289</v>
      </c>
      <c r="B13" s="161">
        <v>1</v>
      </c>
      <c r="C13" s="161"/>
      <c r="D13" s="161"/>
      <c r="E13" s="161"/>
      <c r="F13" s="161"/>
      <c r="G13" s="161"/>
      <c r="H13" s="161"/>
      <c r="I13" s="161"/>
      <c r="J13" s="161"/>
      <c r="K13" s="161"/>
      <c r="L13" s="161"/>
      <c r="M13" s="161"/>
    </row>
    <row r="14" spans="1:13" x14ac:dyDescent="0.25">
      <c r="A14" s="85" t="s">
        <v>291</v>
      </c>
      <c r="B14" s="161">
        <v>818</v>
      </c>
      <c r="C14" s="161"/>
      <c r="D14" s="161"/>
      <c r="E14" s="161"/>
      <c r="F14" s="161"/>
      <c r="G14" s="161"/>
      <c r="H14" s="161"/>
      <c r="I14" s="161"/>
      <c r="J14" s="161"/>
      <c r="K14" s="161"/>
      <c r="L14" s="161"/>
      <c r="M14" s="161"/>
    </row>
    <row r="15" spans="1:13" x14ac:dyDescent="0.25">
      <c r="A15" s="85" t="s">
        <v>293</v>
      </c>
      <c r="B15" s="161" t="s">
        <v>641</v>
      </c>
      <c r="C15" s="161"/>
      <c r="D15" s="161"/>
      <c r="E15" s="161"/>
      <c r="F15" s="161"/>
      <c r="G15" s="161"/>
      <c r="H15" s="161"/>
      <c r="I15" s="161"/>
      <c r="J15" s="161"/>
      <c r="K15" s="161"/>
      <c r="L15" s="161"/>
      <c r="M15" s="161"/>
    </row>
    <row r="16" spans="1:13" x14ac:dyDescent="0.25">
      <c r="A16" s="85" t="s">
        <v>295</v>
      </c>
      <c r="B16" s="161" t="s">
        <v>642</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45135</v>
      </c>
      <c r="C18" s="161"/>
      <c r="D18" s="161"/>
      <c r="E18" s="161"/>
      <c r="F18" s="161"/>
      <c r="G18" s="161"/>
      <c r="H18" s="161"/>
      <c r="I18" s="161"/>
      <c r="J18" s="161"/>
      <c r="K18" s="161"/>
      <c r="L18" s="161"/>
      <c r="M18" s="161"/>
    </row>
    <row r="19" spans="1:13" x14ac:dyDescent="0.25">
      <c r="A19" s="85" t="s">
        <v>301</v>
      </c>
      <c r="B19" s="162">
        <v>45200</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20</v>
      </c>
      <c r="B27" s="117">
        <v>0.32700000000000001</v>
      </c>
      <c r="C27" s="117">
        <v>0.32800000000000001</v>
      </c>
      <c r="D27" s="117">
        <v>0.32900000000000001</v>
      </c>
      <c r="E27" s="117">
        <v>0.32900000000000001</v>
      </c>
      <c r="F27" s="117">
        <v>0.33</v>
      </c>
      <c r="G27" s="117">
        <v>0.33</v>
      </c>
      <c r="H27" s="117">
        <v>0.33100000000000002</v>
      </c>
      <c r="I27" s="117">
        <v>0.33200000000000002</v>
      </c>
      <c r="J27" s="117">
        <v>0.33200000000000002</v>
      </c>
      <c r="K27" s="117">
        <v>0.33300000000000002</v>
      </c>
      <c r="L27" s="117">
        <v>0.33300000000000002</v>
      </c>
      <c r="M27" s="117">
        <v>0.33400000000000002</v>
      </c>
    </row>
    <row r="28" spans="1:13" x14ac:dyDescent="0.25">
      <c r="A28" s="99">
        <v>21</v>
      </c>
      <c r="B28" s="117">
        <v>0.33500000000000002</v>
      </c>
      <c r="C28" s="117">
        <v>0.33500000000000002</v>
      </c>
      <c r="D28" s="117">
        <v>0.33600000000000002</v>
      </c>
      <c r="E28" s="117">
        <v>0.33600000000000002</v>
      </c>
      <c r="F28" s="117">
        <v>0.33700000000000002</v>
      </c>
      <c r="G28" s="117">
        <v>0.33800000000000002</v>
      </c>
      <c r="H28" s="117">
        <v>0.33800000000000002</v>
      </c>
      <c r="I28" s="117">
        <v>0.33900000000000002</v>
      </c>
      <c r="J28" s="117">
        <v>0.34</v>
      </c>
      <c r="K28" s="117">
        <v>0.34</v>
      </c>
      <c r="L28" s="117">
        <v>0.34100000000000003</v>
      </c>
      <c r="M28" s="117">
        <v>0.34200000000000003</v>
      </c>
    </row>
    <row r="29" spans="1:13" x14ac:dyDescent="0.25">
      <c r="A29" s="99">
        <v>22</v>
      </c>
      <c r="B29" s="117">
        <v>0.34200000000000003</v>
      </c>
      <c r="C29" s="117">
        <v>0.34300000000000003</v>
      </c>
      <c r="D29" s="117">
        <v>0.34300000000000003</v>
      </c>
      <c r="E29" s="117">
        <v>0.34399999999999997</v>
      </c>
      <c r="F29" s="117">
        <v>0.34499999999999997</v>
      </c>
      <c r="G29" s="117">
        <v>0.34499999999999997</v>
      </c>
      <c r="H29" s="117">
        <v>0.34599999999999997</v>
      </c>
      <c r="I29" s="117">
        <v>0.34699999999999998</v>
      </c>
      <c r="J29" s="117">
        <v>0.34699999999999998</v>
      </c>
      <c r="K29" s="117">
        <v>0.34799999999999998</v>
      </c>
      <c r="L29" s="117">
        <v>0.34899999999999998</v>
      </c>
      <c r="M29" s="117">
        <v>0.34899999999999998</v>
      </c>
    </row>
    <row r="30" spans="1:13" x14ac:dyDescent="0.25">
      <c r="A30" s="99">
        <v>23</v>
      </c>
      <c r="B30" s="117">
        <v>0.35</v>
      </c>
      <c r="C30" s="117">
        <v>0.35099999999999998</v>
      </c>
      <c r="D30" s="117">
        <v>0.35099999999999998</v>
      </c>
      <c r="E30" s="117">
        <v>0.35199999999999998</v>
      </c>
      <c r="F30" s="117">
        <v>0.35299999999999998</v>
      </c>
      <c r="G30" s="117">
        <v>0.35299999999999998</v>
      </c>
      <c r="H30" s="117">
        <v>0.35399999999999998</v>
      </c>
      <c r="I30" s="117">
        <v>0.35499999999999998</v>
      </c>
      <c r="J30" s="117">
        <v>0.35499999999999998</v>
      </c>
      <c r="K30" s="117">
        <v>0.35599999999999998</v>
      </c>
      <c r="L30" s="117">
        <v>0.35699999999999998</v>
      </c>
      <c r="M30" s="117">
        <v>0.35699999999999998</v>
      </c>
    </row>
    <row r="31" spans="1:13" x14ac:dyDescent="0.25">
      <c r="A31" s="99">
        <v>24</v>
      </c>
      <c r="B31" s="117">
        <v>0.35799999999999998</v>
      </c>
      <c r="C31" s="117">
        <v>0.35899999999999999</v>
      </c>
      <c r="D31" s="117">
        <v>0.35899999999999999</v>
      </c>
      <c r="E31" s="117">
        <v>0.36</v>
      </c>
      <c r="F31" s="117">
        <v>0.36099999999999999</v>
      </c>
      <c r="G31" s="117">
        <v>0.36099999999999999</v>
      </c>
      <c r="H31" s="117">
        <v>0.36199999999999999</v>
      </c>
      <c r="I31" s="117">
        <v>0.36299999999999999</v>
      </c>
      <c r="J31" s="117">
        <v>0.36299999999999999</v>
      </c>
      <c r="K31" s="117">
        <v>0.36399999999999999</v>
      </c>
      <c r="L31" s="117">
        <v>0.36499999999999999</v>
      </c>
      <c r="M31" s="117">
        <v>0.36599999999999999</v>
      </c>
    </row>
    <row r="32" spans="1:13" x14ac:dyDescent="0.25">
      <c r="A32" s="99">
        <v>25</v>
      </c>
      <c r="B32" s="117">
        <v>0.36599999999999999</v>
      </c>
      <c r="C32" s="117">
        <v>0.36699999999999999</v>
      </c>
      <c r="D32" s="117">
        <v>0.36799999999999999</v>
      </c>
      <c r="E32" s="117">
        <v>0.36799999999999999</v>
      </c>
      <c r="F32" s="117">
        <v>0.36899999999999999</v>
      </c>
      <c r="G32" s="117">
        <v>0.37</v>
      </c>
      <c r="H32" s="117">
        <v>0.371</v>
      </c>
      <c r="I32" s="117">
        <v>0.371</v>
      </c>
      <c r="J32" s="117">
        <v>0.372</v>
      </c>
      <c r="K32" s="117">
        <v>0.373</v>
      </c>
      <c r="L32" s="117">
        <v>0.373</v>
      </c>
      <c r="M32" s="117">
        <v>0.374</v>
      </c>
    </row>
    <row r="33" spans="1:13" x14ac:dyDescent="0.25">
      <c r="A33" s="99">
        <v>26</v>
      </c>
      <c r="B33" s="117">
        <v>0.375</v>
      </c>
      <c r="C33" s="117">
        <v>0.376</v>
      </c>
      <c r="D33" s="117">
        <v>0.376</v>
      </c>
      <c r="E33" s="117">
        <v>0.377</v>
      </c>
      <c r="F33" s="117">
        <v>0.378</v>
      </c>
      <c r="G33" s="117">
        <v>0.379</v>
      </c>
      <c r="H33" s="117">
        <v>0.379</v>
      </c>
      <c r="I33" s="117">
        <v>0.38</v>
      </c>
      <c r="J33" s="117">
        <v>0.38100000000000001</v>
      </c>
      <c r="K33" s="117">
        <v>0.38100000000000001</v>
      </c>
      <c r="L33" s="117">
        <v>0.38200000000000001</v>
      </c>
      <c r="M33" s="117">
        <v>0.38300000000000001</v>
      </c>
    </row>
    <row r="34" spans="1:13" x14ac:dyDescent="0.25">
      <c r="A34" s="99">
        <v>27</v>
      </c>
      <c r="B34" s="117">
        <v>0.38400000000000001</v>
      </c>
      <c r="C34" s="117">
        <v>0.38400000000000001</v>
      </c>
      <c r="D34" s="117">
        <v>0.38500000000000001</v>
      </c>
      <c r="E34" s="117">
        <v>0.38600000000000001</v>
      </c>
      <c r="F34" s="117">
        <v>0.38700000000000001</v>
      </c>
      <c r="G34" s="117">
        <v>0.38800000000000001</v>
      </c>
      <c r="H34" s="117">
        <v>0.38800000000000001</v>
      </c>
      <c r="I34" s="117">
        <v>0.38900000000000001</v>
      </c>
      <c r="J34" s="117">
        <v>0.39</v>
      </c>
      <c r="K34" s="117">
        <v>0.39100000000000001</v>
      </c>
      <c r="L34" s="117">
        <v>0.39100000000000001</v>
      </c>
      <c r="M34" s="117">
        <v>0.39200000000000002</v>
      </c>
    </row>
    <row r="35" spans="1:13" x14ac:dyDescent="0.25">
      <c r="A35" s="99">
        <v>28</v>
      </c>
      <c r="B35" s="117">
        <v>0.39300000000000002</v>
      </c>
      <c r="C35" s="117">
        <v>0.39400000000000002</v>
      </c>
      <c r="D35" s="117">
        <v>0.39500000000000002</v>
      </c>
      <c r="E35" s="117">
        <v>0.39500000000000002</v>
      </c>
      <c r="F35" s="117">
        <v>0.39600000000000002</v>
      </c>
      <c r="G35" s="117">
        <v>0.39700000000000002</v>
      </c>
      <c r="H35" s="117">
        <v>0.39800000000000002</v>
      </c>
      <c r="I35" s="117">
        <v>0.39800000000000002</v>
      </c>
      <c r="J35" s="117">
        <v>0.39900000000000002</v>
      </c>
      <c r="K35" s="117">
        <v>0.4</v>
      </c>
      <c r="L35" s="117">
        <v>0.40100000000000002</v>
      </c>
      <c r="M35" s="117">
        <v>0.40200000000000002</v>
      </c>
    </row>
    <row r="36" spans="1:13" x14ac:dyDescent="0.25">
      <c r="A36" s="99">
        <v>29</v>
      </c>
      <c r="B36" s="117">
        <v>0.40200000000000002</v>
      </c>
      <c r="C36" s="117">
        <v>0.40300000000000002</v>
      </c>
      <c r="D36" s="117">
        <v>0.40400000000000003</v>
      </c>
      <c r="E36" s="117">
        <v>0.40500000000000003</v>
      </c>
      <c r="F36" s="117">
        <v>0.40600000000000003</v>
      </c>
      <c r="G36" s="117">
        <v>0.40699999999999997</v>
      </c>
      <c r="H36" s="117">
        <v>0.40699999999999997</v>
      </c>
      <c r="I36" s="117">
        <v>0.40799999999999997</v>
      </c>
      <c r="J36" s="117">
        <v>0.40899999999999997</v>
      </c>
      <c r="K36" s="117">
        <v>0.41</v>
      </c>
      <c r="L36" s="117">
        <v>0.41099999999999998</v>
      </c>
      <c r="M36" s="117">
        <v>0.41099999999999998</v>
      </c>
    </row>
    <row r="37" spans="1:13" x14ac:dyDescent="0.25">
      <c r="A37" s="99">
        <v>30</v>
      </c>
      <c r="B37" s="117">
        <v>0.41199999999999998</v>
      </c>
      <c r="C37" s="117">
        <v>0.41299999999999998</v>
      </c>
      <c r="D37" s="117">
        <v>0.41399999999999998</v>
      </c>
      <c r="E37" s="117">
        <v>0.41499999999999998</v>
      </c>
      <c r="F37" s="117">
        <v>0.41599999999999998</v>
      </c>
      <c r="G37" s="117">
        <v>0.41699999999999998</v>
      </c>
      <c r="H37" s="117">
        <v>0.41699999999999998</v>
      </c>
      <c r="I37" s="117">
        <v>0.41799999999999998</v>
      </c>
      <c r="J37" s="117">
        <v>0.41899999999999998</v>
      </c>
      <c r="K37" s="117">
        <v>0.42</v>
      </c>
      <c r="L37" s="117">
        <v>0.42099999999999999</v>
      </c>
      <c r="M37" s="117">
        <v>0.42199999999999999</v>
      </c>
    </row>
    <row r="38" spans="1:13" x14ac:dyDescent="0.25">
      <c r="A38" s="99">
        <v>31</v>
      </c>
      <c r="B38" s="117">
        <v>0.42299999999999999</v>
      </c>
      <c r="C38" s="117">
        <v>0.42299999999999999</v>
      </c>
      <c r="D38" s="117">
        <v>0.42399999999999999</v>
      </c>
      <c r="E38" s="117">
        <v>0.42499999999999999</v>
      </c>
      <c r="F38" s="117">
        <v>0.42599999999999999</v>
      </c>
      <c r="G38" s="117">
        <v>0.42699999999999999</v>
      </c>
      <c r="H38" s="117">
        <v>0.42799999999999999</v>
      </c>
      <c r="I38" s="117">
        <v>0.42899999999999999</v>
      </c>
      <c r="J38" s="117">
        <v>0.43</v>
      </c>
      <c r="K38" s="117">
        <v>0.43099999999999999</v>
      </c>
      <c r="L38" s="117">
        <v>0.43099999999999999</v>
      </c>
      <c r="M38" s="117">
        <v>0.432</v>
      </c>
    </row>
    <row r="39" spans="1:13" x14ac:dyDescent="0.25">
      <c r="A39" s="99">
        <v>32</v>
      </c>
      <c r="B39" s="117">
        <v>0.433</v>
      </c>
      <c r="C39" s="117">
        <v>0.434</v>
      </c>
      <c r="D39" s="117">
        <v>0.435</v>
      </c>
      <c r="E39" s="117">
        <v>0.436</v>
      </c>
      <c r="F39" s="117">
        <v>0.437</v>
      </c>
      <c r="G39" s="117">
        <v>0.438</v>
      </c>
      <c r="H39" s="117">
        <v>0.439</v>
      </c>
      <c r="I39" s="117">
        <v>0.44</v>
      </c>
      <c r="J39" s="117">
        <v>0.441</v>
      </c>
      <c r="K39" s="117">
        <v>0.441</v>
      </c>
      <c r="L39" s="117">
        <v>0.442</v>
      </c>
      <c r="M39" s="117">
        <v>0.443</v>
      </c>
    </row>
    <row r="40" spans="1:13" x14ac:dyDescent="0.25">
      <c r="A40" s="99">
        <v>33</v>
      </c>
      <c r="B40" s="117">
        <v>0.44400000000000001</v>
      </c>
      <c r="C40" s="117">
        <v>0.44500000000000001</v>
      </c>
      <c r="D40" s="117">
        <v>0.44600000000000001</v>
      </c>
      <c r="E40" s="117">
        <v>0.44700000000000001</v>
      </c>
      <c r="F40" s="117">
        <v>0.44800000000000001</v>
      </c>
      <c r="G40" s="117">
        <v>0.44900000000000001</v>
      </c>
      <c r="H40" s="117">
        <v>0.45</v>
      </c>
      <c r="I40" s="117">
        <v>0.45100000000000001</v>
      </c>
      <c r="J40" s="117">
        <v>0.45200000000000001</v>
      </c>
      <c r="K40" s="117">
        <v>0.45300000000000001</v>
      </c>
      <c r="L40" s="117">
        <v>0.45400000000000001</v>
      </c>
      <c r="M40" s="117">
        <v>0.45500000000000002</v>
      </c>
    </row>
    <row r="41" spans="1:13" x14ac:dyDescent="0.25">
      <c r="A41" s="99">
        <v>34</v>
      </c>
      <c r="B41" s="117">
        <v>0.45600000000000002</v>
      </c>
      <c r="C41" s="117">
        <v>0.45700000000000002</v>
      </c>
      <c r="D41" s="117">
        <v>0.45800000000000002</v>
      </c>
      <c r="E41" s="117">
        <v>0.45900000000000002</v>
      </c>
      <c r="F41" s="117">
        <v>0.46</v>
      </c>
      <c r="G41" s="117">
        <v>0.46100000000000002</v>
      </c>
      <c r="H41" s="117">
        <v>0.46200000000000002</v>
      </c>
      <c r="I41" s="117">
        <v>0.46300000000000002</v>
      </c>
      <c r="J41" s="117">
        <v>0.46400000000000002</v>
      </c>
      <c r="K41" s="117">
        <v>0.46500000000000002</v>
      </c>
      <c r="L41" s="117">
        <v>0.46600000000000003</v>
      </c>
      <c r="M41" s="117">
        <v>0.46700000000000003</v>
      </c>
    </row>
    <row r="42" spans="1:13" x14ac:dyDescent="0.25">
      <c r="A42" s="99">
        <v>35</v>
      </c>
      <c r="B42" s="117">
        <v>0.46800000000000003</v>
      </c>
      <c r="C42" s="117">
        <v>0.46899999999999997</v>
      </c>
      <c r="D42" s="117">
        <v>0.47</v>
      </c>
      <c r="E42" s="117">
        <v>0.47099999999999997</v>
      </c>
      <c r="F42" s="117">
        <v>0.47199999999999998</v>
      </c>
      <c r="G42" s="117">
        <v>0.47299999999999998</v>
      </c>
      <c r="H42" s="117">
        <v>0.47399999999999998</v>
      </c>
      <c r="I42" s="117">
        <v>0.47499999999999998</v>
      </c>
      <c r="J42" s="117">
        <v>0.47599999999999998</v>
      </c>
      <c r="K42" s="117">
        <v>0.47699999999999998</v>
      </c>
      <c r="L42" s="117">
        <v>0.47799999999999998</v>
      </c>
      <c r="M42" s="117">
        <v>0.47899999999999998</v>
      </c>
    </row>
    <row r="43" spans="1:13" x14ac:dyDescent="0.25">
      <c r="A43" s="99">
        <v>36</v>
      </c>
      <c r="B43" s="117">
        <v>0.48</v>
      </c>
      <c r="C43" s="117">
        <v>0.48099999999999998</v>
      </c>
      <c r="D43" s="117">
        <v>0.48199999999999998</v>
      </c>
      <c r="E43" s="117">
        <v>0.48299999999999998</v>
      </c>
      <c r="F43" s="117">
        <v>0.48399999999999999</v>
      </c>
      <c r="G43" s="117">
        <v>0.48499999999999999</v>
      </c>
      <c r="H43" s="117">
        <v>0.48699999999999999</v>
      </c>
      <c r="I43" s="117">
        <v>0.48799999999999999</v>
      </c>
      <c r="J43" s="117">
        <v>0.48899999999999999</v>
      </c>
      <c r="K43" s="117">
        <v>0.49</v>
      </c>
      <c r="L43" s="117">
        <v>0.49099999999999999</v>
      </c>
      <c r="M43" s="117">
        <v>0.49199999999999999</v>
      </c>
    </row>
    <row r="44" spans="1:13" x14ac:dyDescent="0.25">
      <c r="A44" s="99">
        <v>37</v>
      </c>
      <c r="B44" s="117">
        <v>0.49299999999999999</v>
      </c>
      <c r="C44" s="117">
        <v>0.49399999999999999</v>
      </c>
      <c r="D44" s="117">
        <v>0.495</v>
      </c>
      <c r="E44" s="117">
        <v>0.496</v>
      </c>
      <c r="F44" s="117">
        <v>0.497</v>
      </c>
      <c r="G44" s="117">
        <v>0.499</v>
      </c>
      <c r="H44" s="117">
        <v>0.5</v>
      </c>
      <c r="I44" s="117">
        <v>0.501</v>
      </c>
      <c r="J44" s="117">
        <v>0.502</v>
      </c>
      <c r="K44" s="117">
        <v>0.503</v>
      </c>
      <c r="L44" s="117">
        <v>0.504</v>
      </c>
      <c r="M44" s="117">
        <v>0.505</v>
      </c>
    </row>
    <row r="45" spans="1:13" x14ac:dyDescent="0.25">
      <c r="A45" s="99">
        <v>38</v>
      </c>
      <c r="B45" s="117">
        <v>0.50600000000000001</v>
      </c>
      <c r="C45" s="117">
        <v>0.50800000000000001</v>
      </c>
      <c r="D45" s="117">
        <v>0.50900000000000001</v>
      </c>
      <c r="E45" s="117">
        <v>0.51</v>
      </c>
      <c r="F45" s="117">
        <v>0.51100000000000001</v>
      </c>
      <c r="G45" s="117">
        <v>0.51200000000000001</v>
      </c>
      <c r="H45" s="117">
        <v>0.51300000000000001</v>
      </c>
      <c r="I45" s="117">
        <v>0.51500000000000001</v>
      </c>
      <c r="J45" s="117">
        <v>0.51600000000000001</v>
      </c>
      <c r="K45" s="117">
        <v>0.51700000000000002</v>
      </c>
      <c r="L45" s="117">
        <v>0.51800000000000002</v>
      </c>
      <c r="M45" s="117">
        <v>0.51900000000000002</v>
      </c>
    </row>
    <row r="46" spans="1:13" x14ac:dyDescent="0.25">
      <c r="A46" s="99">
        <v>39</v>
      </c>
      <c r="B46" s="117">
        <v>0.52100000000000002</v>
      </c>
      <c r="C46" s="117">
        <v>0.52200000000000002</v>
      </c>
      <c r="D46" s="117">
        <v>0.52300000000000002</v>
      </c>
      <c r="E46" s="117">
        <v>0.52400000000000002</v>
      </c>
      <c r="F46" s="117">
        <v>0.52500000000000002</v>
      </c>
      <c r="G46" s="117">
        <v>0.52700000000000002</v>
      </c>
      <c r="H46" s="117">
        <v>0.52800000000000002</v>
      </c>
      <c r="I46" s="117">
        <v>0.52900000000000003</v>
      </c>
      <c r="J46" s="117">
        <v>0.53</v>
      </c>
      <c r="K46" s="117">
        <v>0.53200000000000003</v>
      </c>
      <c r="L46" s="117">
        <v>0.53300000000000003</v>
      </c>
      <c r="M46" s="117">
        <v>0.53400000000000003</v>
      </c>
    </row>
    <row r="47" spans="1:13" x14ac:dyDescent="0.25">
      <c r="A47" s="99">
        <v>40</v>
      </c>
      <c r="B47" s="117">
        <v>0.53500000000000003</v>
      </c>
      <c r="C47" s="117">
        <v>0.53600000000000003</v>
      </c>
      <c r="D47" s="117">
        <v>0.53800000000000003</v>
      </c>
      <c r="E47" s="117">
        <v>0.53900000000000003</v>
      </c>
      <c r="F47" s="117">
        <v>0.54</v>
      </c>
      <c r="G47" s="117">
        <v>0.54200000000000004</v>
      </c>
      <c r="H47" s="117">
        <v>0.54300000000000004</v>
      </c>
      <c r="I47" s="117">
        <v>0.54400000000000004</v>
      </c>
      <c r="J47" s="117">
        <v>0.54500000000000004</v>
      </c>
      <c r="K47" s="117">
        <v>0.54700000000000004</v>
      </c>
      <c r="L47" s="117">
        <v>0.54800000000000004</v>
      </c>
      <c r="M47" s="117">
        <v>0.54900000000000004</v>
      </c>
    </row>
    <row r="48" spans="1:13" x14ac:dyDescent="0.25">
      <c r="A48" s="99">
        <v>41</v>
      </c>
      <c r="B48" s="117">
        <v>0.55100000000000005</v>
      </c>
      <c r="C48" s="117">
        <v>0.55200000000000005</v>
      </c>
      <c r="D48" s="117">
        <v>0.55300000000000005</v>
      </c>
      <c r="E48" s="117">
        <v>0.55500000000000005</v>
      </c>
      <c r="F48" s="117">
        <v>0.55600000000000005</v>
      </c>
      <c r="G48" s="117">
        <v>0.55700000000000005</v>
      </c>
      <c r="H48" s="117">
        <v>0.55900000000000005</v>
      </c>
      <c r="I48" s="117">
        <v>0.56000000000000005</v>
      </c>
      <c r="J48" s="117">
        <v>0.56100000000000005</v>
      </c>
      <c r="K48" s="117">
        <v>0.56299999999999994</v>
      </c>
      <c r="L48" s="117">
        <v>0.56399999999999995</v>
      </c>
      <c r="M48" s="117">
        <v>0.56499999999999995</v>
      </c>
    </row>
    <row r="49" spans="1:13" x14ac:dyDescent="0.25">
      <c r="A49" s="99">
        <v>42</v>
      </c>
      <c r="B49" s="117">
        <v>0.56699999999999995</v>
      </c>
      <c r="C49" s="117">
        <v>0.56799999999999995</v>
      </c>
      <c r="D49" s="117">
        <v>0.56899999999999995</v>
      </c>
      <c r="E49" s="117">
        <v>0.57099999999999995</v>
      </c>
      <c r="F49" s="117">
        <v>0.57199999999999995</v>
      </c>
      <c r="G49" s="117">
        <v>0.57399999999999995</v>
      </c>
      <c r="H49" s="117">
        <v>0.57499999999999996</v>
      </c>
      <c r="I49" s="117">
        <v>0.57599999999999996</v>
      </c>
      <c r="J49" s="117">
        <v>0.57799999999999996</v>
      </c>
      <c r="K49" s="117">
        <v>0.57899999999999996</v>
      </c>
      <c r="L49" s="117">
        <v>0.58099999999999996</v>
      </c>
      <c r="M49" s="117">
        <v>0.58199999999999996</v>
      </c>
    </row>
    <row r="50" spans="1:13" x14ac:dyDescent="0.25">
      <c r="A50" s="99">
        <v>43</v>
      </c>
      <c r="B50" s="117">
        <v>0.58299999999999996</v>
      </c>
      <c r="C50" s="117">
        <v>0.58499999999999996</v>
      </c>
      <c r="D50" s="117">
        <v>0.58599999999999997</v>
      </c>
      <c r="E50" s="117">
        <v>0.58799999999999997</v>
      </c>
      <c r="F50" s="117">
        <v>0.58899999999999997</v>
      </c>
      <c r="G50" s="117">
        <v>0.59099999999999997</v>
      </c>
      <c r="H50" s="117">
        <v>0.59199999999999997</v>
      </c>
      <c r="I50" s="117">
        <v>0.59399999999999997</v>
      </c>
      <c r="J50" s="117">
        <v>0.59499999999999997</v>
      </c>
      <c r="K50" s="117">
        <v>0.59699999999999998</v>
      </c>
      <c r="L50" s="117">
        <v>0.59799999999999998</v>
      </c>
      <c r="M50" s="117">
        <v>0.59899999999999998</v>
      </c>
    </row>
    <row r="51" spans="1:13" x14ac:dyDescent="0.25">
      <c r="A51" s="99">
        <v>44</v>
      </c>
      <c r="B51" s="117">
        <v>0.60099999999999998</v>
      </c>
      <c r="C51" s="117">
        <v>0.60299999999999998</v>
      </c>
      <c r="D51" s="117">
        <v>0.60399999999999998</v>
      </c>
      <c r="E51" s="117">
        <v>0.60599999999999998</v>
      </c>
      <c r="F51" s="117">
        <v>0.60699999999999998</v>
      </c>
      <c r="G51" s="117">
        <v>0.60899999999999999</v>
      </c>
      <c r="H51" s="117">
        <v>0.61</v>
      </c>
      <c r="I51" s="117">
        <v>0.61199999999999999</v>
      </c>
      <c r="J51" s="117">
        <v>0.61299999999999999</v>
      </c>
      <c r="K51" s="117">
        <v>0.61499999999999999</v>
      </c>
      <c r="L51" s="117">
        <v>0.61599999999999999</v>
      </c>
      <c r="M51" s="117">
        <v>0.61799999999999999</v>
      </c>
    </row>
    <row r="52" spans="1:13" x14ac:dyDescent="0.25">
      <c r="A52" s="99">
        <v>45</v>
      </c>
      <c r="B52" s="117">
        <v>0.61899999999999999</v>
      </c>
      <c r="C52" s="117">
        <v>0.621</v>
      </c>
      <c r="D52" s="117">
        <v>0.623</v>
      </c>
      <c r="E52" s="117">
        <v>0.624</v>
      </c>
      <c r="F52" s="117">
        <v>0.626</v>
      </c>
      <c r="G52" s="117">
        <v>0.627</v>
      </c>
      <c r="H52" s="117">
        <v>0.629</v>
      </c>
      <c r="I52" s="117">
        <v>0.63100000000000001</v>
      </c>
      <c r="J52" s="117">
        <v>0.63200000000000001</v>
      </c>
      <c r="K52" s="117">
        <v>0.63400000000000001</v>
      </c>
      <c r="L52" s="117">
        <v>0.63600000000000001</v>
      </c>
      <c r="M52" s="117">
        <v>0.63700000000000001</v>
      </c>
    </row>
    <row r="53" spans="1:13" x14ac:dyDescent="0.25">
      <c r="A53" s="99">
        <v>46</v>
      </c>
      <c r="B53" s="117">
        <v>0.63900000000000001</v>
      </c>
      <c r="C53" s="117">
        <v>0.64100000000000001</v>
      </c>
      <c r="D53" s="117">
        <v>0.64200000000000002</v>
      </c>
      <c r="E53" s="117">
        <v>0.64400000000000002</v>
      </c>
      <c r="F53" s="117">
        <v>0.64600000000000002</v>
      </c>
      <c r="G53" s="117">
        <v>0.64700000000000002</v>
      </c>
      <c r="H53" s="117">
        <v>0.64900000000000002</v>
      </c>
      <c r="I53" s="117">
        <v>0.65100000000000002</v>
      </c>
      <c r="J53" s="117">
        <v>0.65200000000000002</v>
      </c>
      <c r="K53" s="117">
        <v>0.65400000000000003</v>
      </c>
      <c r="L53" s="117">
        <v>0.65600000000000003</v>
      </c>
      <c r="M53" s="117">
        <v>0.65700000000000003</v>
      </c>
    </row>
    <row r="54" spans="1:13" x14ac:dyDescent="0.25">
      <c r="A54" s="99">
        <v>47</v>
      </c>
      <c r="B54" s="117">
        <v>0.65900000000000003</v>
      </c>
      <c r="C54" s="117">
        <v>0.66100000000000003</v>
      </c>
      <c r="D54" s="117">
        <v>0.66300000000000003</v>
      </c>
      <c r="E54" s="117">
        <v>0.66500000000000004</v>
      </c>
      <c r="F54" s="117">
        <v>0.66600000000000004</v>
      </c>
      <c r="G54" s="117">
        <v>0.66800000000000004</v>
      </c>
      <c r="H54" s="117">
        <v>0.67</v>
      </c>
      <c r="I54" s="117">
        <v>0.67200000000000004</v>
      </c>
      <c r="J54" s="117">
        <v>0.67300000000000004</v>
      </c>
      <c r="K54" s="117">
        <v>0.67500000000000004</v>
      </c>
      <c r="L54" s="117">
        <v>0.67700000000000005</v>
      </c>
      <c r="M54" s="117">
        <v>0.67900000000000005</v>
      </c>
    </row>
    <row r="55" spans="1:13" x14ac:dyDescent="0.25">
      <c r="A55" s="99">
        <v>48</v>
      </c>
      <c r="B55" s="117">
        <v>0.68100000000000005</v>
      </c>
      <c r="C55" s="117">
        <v>0.68300000000000005</v>
      </c>
      <c r="D55" s="117">
        <v>0.68400000000000005</v>
      </c>
      <c r="E55" s="117">
        <v>0.68600000000000005</v>
      </c>
      <c r="F55" s="117">
        <v>0.68799999999999994</v>
      </c>
      <c r="G55" s="117">
        <v>0.69</v>
      </c>
      <c r="H55" s="117">
        <v>0.69199999999999995</v>
      </c>
      <c r="I55" s="117">
        <v>0.69399999999999995</v>
      </c>
      <c r="J55" s="117">
        <v>0.69599999999999995</v>
      </c>
      <c r="K55" s="117">
        <v>0.69799999999999995</v>
      </c>
      <c r="L55" s="117">
        <v>0.69899999999999995</v>
      </c>
      <c r="M55" s="117">
        <v>0.70099999999999996</v>
      </c>
    </row>
    <row r="56" spans="1:13" x14ac:dyDescent="0.25">
      <c r="A56" s="99">
        <v>49</v>
      </c>
      <c r="B56" s="117">
        <v>0.70299999999999996</v>
      </c>
      <c r="C56" s="117">
        <v>0.70499999999999996</v>
      </c>
      <c r="D56" s="117">
        <v>0.70699999999999996</v>
      </c>
      <c r="E56" s="117">
        <v>0.70899999999999996</v>
      </c>
      <c r="F56" s="117">
        <v>0.71099999999999997</v>
      </c>
      <c r="G56" s="117">
        <v>0.71299999999999997</v>
      </c>
      <c r="H56" s="117">
        <v>0.71499999999999997</v>
      </c>
      <c r="I56" s="117">
        <v>0.71699999999999997</v>
      </c>
      <c r="J56" s="117">
        <v>0.71899999999999997</v>
      </c>
      <c r="K56" s="117">
        <v>0.72099999999999997</v>
      </c>
      <c r="L56" s="117">
        <v>0.72299999999999998</v>
      </c>
      <c r="M56" s="117">
        <v>0.72499999999999998</v>
      </c>
    </row>
    <row r="57" spans="1:13" x14ac:dyDescent="0.25">
      <c r="A57" s="99">
        <v>50</v>
      </c>
      <c r="B57" s="117">
        <v>0.72699999999999998</v>
      </c>
      <c r="C57" s="117">
        <v>0.72899999999999998</v>
      </c>
      <c r="D57" s="117">
        <v>0.73099999999999998</v>
      </c>
      <c r="E57" s="117">
        <v>0.73299999999999998</v>
      </c>
      <c r="F57" s="117">
        <v>0.73599999999999999</v>
      </c>
      <c r="G57" s="117">
        <v>0.73799999999999999</v>
      </c>
      <c r="H57" s="117">
        <v>0.74</v>
      </c>
      <c r="I57" s="117">
        <v>0.74199999999999999</v>
      </c>
      <c r="J57" s="117">
        <v>0.74399999999999999</v>
      </c>
      <c r="K57" s="117">
        <v>0.746</v>
      </c>
      <c r="L57" s="117">
        <v>0.748</v>
      </c>
      <c r="M57" s="117">
        <v>0.75</v>
      </c>
    </row>
    <row r="58" spans="1:13" x14ac:dyDescent="0.25">
      <c r="A58" s="99">
        <v>51</v>
      </c>
      <c r="B58" s="117">
        <v>0.752</v>
      </c>
      <c r="C58" s="117">
        <v>0.755</v>
      </c>
      <c r="D58" s="117">
        <v>0.75700000000000001</v>
      </c>
      <c r="E58" s="117">
        <v>0.75900000000000001</v>
      </c>
      <c r="F58" s="117">
        <v>0.76100000000000001</v>
      </c>
      <c r="G58" s="117">
        <v>0.76400000000000001</v>
      </c>
      <c r="H58" s="117">
        <v>0.76600000000000001</v>
      </c>
      <c r="I58" s="117">
        <v>0.76800000000000002</v>
      </c>
      <c r="J58" s="117">
        <v>0.77</v>
      </c>
      <c r="K58" s="117">
        <v>0.77200000000000002</v>
      </c>
      <c r="L58" s="117">
        <v>0.77500000000000002</v>
      </c>
      <c r="M58" s="117">
        <v>0.77700000000000002</v>
      </c>
    </row>
    <row r="59" spans="1:13" x14ac:dyDescent="0.25">
      <c r="A59" s="99">
        <v>52</v>
      </c>
      <c r="B59" s="117">
        <v>0.77900000000000003</v>
      </c>
      <c r="C59" s="117">
        <v>0.78100000000000003</v>
      </c>
      <c r="D59" s="117">
        <v>0.78400000000000003</v>
      </c>
      <c r="E59" s="117">
        <v>0.78600000000000003</v>
      </c>
      <c r="F59" s="117">
        <v>0.78900000000000003</v>
      </c>
      <c r="G59" s="117">
        <v>0.79100000000000004</v>
      </c>
      <c r="H59" s="117">
        <v>0.79300000000000004</v>
      </c>
      <c r="I59" s="117">
        <v>0.79600000000000004</v>
      </c>
      <c r="J59" s="117">
        <v>0.79800000000000004</v>
      </c>
      <c r="K59" s="117">
        <v>0.8</v>
      </c>
      <c r="L59" s="117">
        <v>0.80300000000000005</v>
      </c>
      <c r="M59" s="117">
        <v>0.80500000000000005</v>
      </c>
    </row>
    <row r="60" spans="1:13" x14ac:dyDescent="0.25">
      <c r="A60" s="99">
        <v>53</v>
      </c>
      <c r="B60" s="117">
        <v>0.80700000000000005</v>
      </c>
      <c r="C60" s="117">
        <v>0.81</v>
      </c>
      <c r="D60" s="117">
        <v>0.81200000000000006</v>
      </c>
      <c r="E60" s="117">
        <v>0.81499999999999995</v>
      </c>
      <c r="F60" s="117">
        <v>0.81699999999999995</v>
      </c>
      <c r="G60" s="117">
        <v>0.82</v>
      </c>
      <c r="H60" s="117">
        <v>0.82199999999999995</v>
      </c>
      <c r="I60" s="117">
        <v>0.82499999999999996</v>
      </c>
      <c r="J60" s="117">
        <v>0.82699999999999996</v>
      </c>
      <c r="K60" s="117">
        <v>0.83</v>
      </c>
      <c r="L60" s="117">
        <v>0.83199999999999996</v>
      </c>
      <c r="M60" s="117">
        <v>0.83499999999999996</v>
      </c>
    </row>
    <row r="61" spans="1:13" x14ac:dyDescent="0.25">
      <c r="A61" s="99">
        <v>54</v>
      </c>
      <c r="B61" s="117">
        <v>0.83699999999999997</v>
      </c>
      <c r="C61" s="117">
        <v>0.83899999999999997</v>
      </c>
      <c r="D61" s="117">
        <v>0.84099999999999997</v>
      </c>
      <c r="E61" s="117">
        <v>0.84299999999999997</v>
      </c>
      <c r="F61" s="117">
        <v>0.84499999999999997</v>
      </c>
      <c r="G61" s="117">
        <v>0.84699999999999998</v>
      </c>
      <c r="H61" s="117">
        <v>0.84899999999999998</v>
      </c>
      <c r="I61" s="117">
        <v>0.85099999999999998</v>
      </c>
      <c r="J61" s="117">
        <v>0.85199999999999998</v>
      </c>
      <c r="K61" s="117">
        <v>0.85399999999999998</v>
      </c>
      <c r="L61" s="117">
        <v>0.85599999999999998</v>
      </c>
      <c r="M61" s="117">
        <v>0.85799999999999998</v>
      </c>
    </row>
    <row r="62" spans="1:13" x14ac:dyDescent="0.25">
      <c r="A62" s="99">
        <v>55</v>
      </c>
      <c r="B62" s="117">
        <v>0.86</v>
      </c>
      <c r="C62" s="117">
        <v>0.86199999999999999</v>
      </c>
      <c r="D62" s="117">
        <v>0.86399999999999999</v>
      </c>
      <c r="E62" s="117">
        <v>0.86599999999999999</v>
      </c>
      <c r="F62" s="117">
        <v>0.86799999999999999</v>
      </c>
      <c r="G62" s="117">
        <v>0.87</v>
      </c>
      <c r="H62" s="117">
        <v>0.873</v>
      </c>
      <c r="I62" s="117">
        <v>0.875</v>
      </c>
      <c r="J62" s="117">
        <v>0.877</v>
      </c>
      <c r="K62" s="117">
        <v>0.879</v>
      </c>
      <c r="L62" s="117">
        <v>0.88100000000000001</v>
      </c>
      <c r="M62" s="117">
        <v>0.88300000000000001</v>
      </c>
    </row>
    <row r="63" spans="1:13" x14ac:dyDescent="0.25">
      <c r="A63" s="99">
        <v>56</v>
      </c>
      <c r="B63" s="117">
        <v>0.88500000000000001</v>
      </c>
      <c r="C63" s="117">
        <v>0.88700000000000001</v>
      </c>
      <c r="D63" s="117">
        <v>0.88900000000000001</v>
      </c>
      <c r="E63" s="117">
        <v>0.89100000000000001</v>
      </c>
      <c r="F63" s="117">
        <v>0.89400000000000002</v>
      </c>
      <c r="G63" s="117">
        <v>0.89600000000000002</v>
      </c>
      <c r="H63" s="117">
        <v>0.89800000000000002</v>
      </c>
      <c r="I63" s="117">
        <v>0.9</v>
      </c>
      <c r="J63" s="117">
        <v>0.90200000000000002</v>
      </c>
      <c r="K63" s="117">
        <v>0.90500000000000003</v>
      </c>
      <c r="L63" s="117">
        <v>0.90700000000000003</v>
      </c>
      <c r="M63" s="117">
        <v>0.90900000000000003</v>
      </c>
    </row>
    <row r="64" spans="1:13" x14ac:dyDescent="0.25">
      <c r="A64" s="99">
        <v>57</v>
      </c>
      <c r="B64" s="117">
        <v>0.91100000000000003</v>
      </c>
      <c r="C64" s="117">
        <v>0.91300000000000003</v>
      </c>
      <c r="D64" s="117">
        <v>0.91600000000000004</v>
      </c>
      <c r="E64" s="117">
        <v>0.91800000000000004</v>
      </c>
      <c r="F64" s="117">
        <v>0.92</v>
      </c>
      <c r="G64" s="117">
        <v>0.92300000000000004</v>
      </c>
      <c r="H64" s="117">
        <v>0.92500000000000004</v>
      </c>
      <c r="I64" s="117">
        <v>0.92700000000000005</v>
      </c>
      <c r="J64" s="117">
        <v>0.93</v>
      </c>
      <c r="K64" s="117">
        <v>0.93200000000000005</v>
      </c>
      <c r="L64" s="117">
        <v>0.93400000000000005</v>
      </c>
      <c r="M64" s="117">
        <v>0.93700000000000006</v>
      </c>
    </row>
    <row r="65" spans="1:13" x14ac:dyDescent="0.25">
      <c r="A65" s="99">
        <v>58</v>
      </c>
      <c r="B65" s="117">
        <v>0.93899999999999995</v>
      </c>
      <c r="C65" s="117">
        <v>0.94199999999999995</v>
      </c>
      <c r="D65" s="117">
        <v>0.94399999999999995</v>
      </c>
      <c r="E65" s="117">
        <v>0.94699999999999995</v>
      </c>
      <c r="F65" s="117">
        <v>0.94899999999999995</v>
      </c>
      <c r="G65" s="117">
        <v>0.95199999999999996</v>
      </c>
      <c r="H65" s="117">
        <v>0.95399999999999996</v>
      </c>
      <c r="I65" s="117">
        <v>0.95699999999999996</v>
      </c>
      <c r="J65" s="117">
        <v>0.95899999999999996</v>
      </c>
      <c r="K65" s="117">
        <v>0.96199999999999997</v>
      </c>
      <c r="L65" s="117">
        <v>0.96399999999999997</v>
      </c>
      <c r="M65" s="117">
        <v>0.96699999999999997</v>
      </c>
    </row>
    <row r="66" spans="1:13" x14ac:dyDescent="0.25">
      <c r="A66" s="99">
        <v>59</v>
      </c>
      <c r="B66" s="117">
        <v>0.96899999999999997</v>
      </c>
      <c r="C66" s="117">
        <v>0.97199999999999998</v>
      </c>
      <c r="D66" s="117">
        <v>0.97499999999999998</v>
      </c>
      <c r="E66" s="117">
        <v>0.97699999999999998</v>
      </c>
      <c r="F66" s="117">
        <v>0.98</v>
      </c>
      <c r="G66" s="117">
        <v>0.98299999999999998</v>
      </c>
      <c r="H66" s="117">
        <v>0.98499999999999999</v>
      </c>
      <c r="I66" s="117">
        <v>0.98799999999999999</v>
      </c>
      <c r="J66" s="117">
        <v>0.99099999999999999</v>
      </c>
      <c r="K66" s="117">
        <v>0.99299999999999999</v>
      </c>
      <c r="L66" s="117">
        <v>0.996</v>
      </c>
      <c r="M66" s="117">
        <v>0.999</v>
      </c>
    </row>
    <row r="67" spans="1:13" x14ac:dyDescent="0.25">
      <c r="A67" s="99">
        <v>60</v>
      </c>
      <c r="B67" s="117">
        <v>1</v>
      </c>
      <c r="C67" s="117"/>
      <c r="D67" s="117"/>
      <c r="E67" s="117"/>
      <c r="F67" s="117"/>
      <c r="G67" s="117"/>
      <c r="H67" s="117"/>
      <c r="I67" s="117"/>
      <c r="J67" s="117"/>
      <c r="K67" s="117"/>
      <c r="L67" s="117"/>
      <c r="M67" s="117"/>
    </row>
  </sheetData>
  <sheetProtection algorithmName="SHA-512" hashValue="eygYWKrJWkORwNaHD2T/Bwmd1J1kOuckeDK47rJSmB5uVtmMKyYzjR2m+Kdr+7tW7pIjQvBIJwpl0mvcPDGdog==" saltValue="McnJWK46oroVRfjvPbI7kw==" spinCount="100000" sheet="1" objects="1" scenarios="1"/>
  <conditionalFormatting sqref="A6:A21">
    <cfRule type="expression" dxfId="61" priority="7" stopIfTrue="1">
      <formula>MOD(ROW(),2)=0</formula>
    </cfRule>
    <cfRule type="expression" dxfId="60" priority="8" stopIfTrue="1">
      <formula>MOD(ROW(),2)&lt;&gt;0</formula>
    </cfRule>
  </conditionalFormatting>
  <conditionalFormatting sqref="A26:A67">
    <cfRule type="expression" dxfId="59" priority="1" stopIfTrue="1">
      <formula>MOD(ROW(),2)=0</formula>
    </cfRule>
    <cfRule type="expression" dxfId="58" priority="2" stopIfTrue="1">
      <formula>MOD(ROW(),2)&lt;&gt;0</formula>
    </cfRule>
  </conditionalFormatting>
  <conditionalFormatting sqref="B17:B21">
    <cfRule type="expression" dxfId="57" priority="5" stopIfTrue="1">
      <formula>MOD(ROW(),2)=0</formula>
    </cfRule>
    <cfRule type="expression" dxfId="56" priority="6" stopIfTrue="1">
      <formula>MOD(ROW(),2)&lt;&gt;0</formula>
    </cfRule>
  </conditionalFormatting>
  <conditionalFormatting sqref="B6:M21">
    <cfRule type="expression" dxfId="55" priority="17" stopIfTrue="1">
      <formula>MOD(ROW(),2)=0</formula>
    </cfRule>
    <cfRule type="expression" dxfId="54" priority="18" stopIfTrue="1">
      <formula>MOD(ROW(),2)&lt;&gt;0</formula>
    </cfRule>
  </conditionalFormatting>
  <conditionalFormatting sqref="B26:M67">
    <cfRule type="expression" dxfId="53" priority="3" stopIfTrue="1">
      <formula>MOD(ROW(),2)=0</formula>
    </cfRule>
    <cfRule type="expression" dxfId="52" priority="4" stopIfTrue="1">
      <formula>MOD(ROW(),2)&lt;&gt;0</formula>
    </cfRule>
  </conditionalFormatting>
  <hyperlinks>
    <hyperlink ref="B24" location="Assumptions!A1" display="Assumptions" xr:uid="{7F091CB3-B170-4136-B515-791F969F73D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11"/>
  <dimension ref="A1:M72"/>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Abatement - x-819</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75</v>
      </c>
      <c r="C8" s="161"/>
      <c r="D8" s="161"/>
      <c r="E8" s="161"/>
      <c r="F8" s="161"/>
      <c r="G8" s="161"/>
      <c r="H8" s="161"/>
      <c r="I8" s="161"/>
      <c r="J8" s="161"/>
      <c r="K8" s="161"/>
      <c r="L8" s="161"/>
      <c r="M8" s="161"/>
    </row>
    <row r="9" spans="1:13" x14ac:dyDescent="0.25">
      <c r="A9" s="85" t="s">
        <v>282</v>
      </c>
      <c r="B9" s="161" t="s">
        <v>632</v>
      </c>
      <c r="C9" s="161"/>
      <c r="D9" s="161"/>
      <c r="E9" s="161"/>
      <c r="F9" s="161"/>
      <c r="G9" s="161"/>
      <c r="H9" s="161"/>
      <c r="I9" s="161"/>
      <c r="J9" s="161"/>
      <c r="K9" s="161"/>
      <c r="L9" s="161"/>
      <c r="M9" s="161"/>
    </row>
    <row r="10" spans="1:13" x14ac:dyDescent="0.25">
      <c r="A10" s="85" t="s">
        <v>6</v>
      </c>
      <c r="B10" s="161" t="s">
        <v>643</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634</v>
      </c>
      <c r="C12" s="161"/>
      <c r="D12" s="161"/>
      <c r="E12" s="161"/>
      <c r="F12" s="161"/>
      <c r="G12" s="161"/>
      <c r="H12" s="161"/>
      <c r="I12" s="161"/>
      <c r="J12" s="161"/>
      <c r="K12" s="161"/>
      <c r="L12" s="161"/>
      <c r="M12" s="161"/>
    </row>
    <row r="13" spans="1:13" x14ac:dyDescent="0.25">
      <c r="A13" s="85" t="s">
        <v>289</v>
      </c>
      <c r="B13" s="161">
        <v>1</v>
      </c>
      <c r="C13" s="161"/>
      <c r="D13" s="161"/>
      <c r="E13" s="161"/>
      <c r="F13" s="161"/>
      <c r="G13" s="161"/>
      <c r="H13" s="161"/>
      <c r="I13" s="161"/>
      <c r="J13" s="161"/>
      <c r="K13" s="161"/>
      <c r="L13" s="161"/>
      <c r="M13" s="161"/>
    </row>
    <row r="14" spans="1:13" x14ac:dyDescent="0.25">
      <c r="A14" s="85" t="s">
        <v>291</v>
      </c>
      <c r="B14" s="161">
        <v>819</v>
      </c>
      <c r="C14" s="161"/>
      <c r="D14" s="161"/>
      <c r="E14" s="161"/>
      <c r="F14" s="161"/>
      <c r="G14" s="161"/>
      <c r="H14" s="161"/>
      <c r="I14" s="161"/>
      <c r="J14" s="161"/>
      <c r="K14" s="161"/>
      <c r="L14" s="161"/>
      <c r="M14" s="161"/>
    </row>
    <row r="15" spans="1:13" x14ac:dyDescent="0.25">
      <c r="A15" s="85" t="s">
        <v>293</v>
      </c>
      <c r="B15" s="161" t="s">
        <v>644</v>
      </c>
      <c r="C15" s="161"/>
      <c r="D15" s="161"/>
      <c r="E15" s="161"/>
      <c r="F15" s="161"/>
      <c r="G15" s="161"/>
      <c r="H15" s="161"/>
      <c r="I15" s="161"/>
      <c r="J15" s="161"/>
      <c r="K15" s="161"/>
      <c r="L15" s="161"/>
      <c r="M15" s="161"/>
    </row>
    <row r="16" spans="1:13" x14ac:dyDescent="0.25">
      <c r="A16" s="85" t="s">
        <v>295</v>
      </c>
      <c r="B16" s="161" t="s">
        <v>645</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45135</v>
      </c>
      <c r="C18" s="161"/>
      <c r="D18" s="161"/>
      <c r="E18" s="161"/>
      <c r="F18" s="161"/>
      <c r="G18" s="161"/>
      <c r="H18" s="161"/>
      <c r="I18" s="161"/>
      <c r="J18" s="161"/>
      <c r="K18" s="161"/>
      <c r="L18" s="161"/>
      <c r="M18" s="161"/>
    </row>
    <row r="19" spans="1:13" x14ac:dyDescent="0.25">
      <c r="A19" s="85" t="s">
        <v>301</v>
      </c>
      <c r="B19" s="162">
        <v>45200</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20</v>
      </c>
      <c r="B27" s="117">
        <v>0.26500000000000001</v>
      </c>
      <c r="C27" s="117">
        <v>0.26500000000000001</v>
      </c>
      <c r="D27" s="117">
        <v>0.26600000000000001</v>
      </c>
      <c r="E27" s="117">
        <v>0.26600000000000001</v>
      </c>
      <c r="F27" s="117">
        <v>0.26700000000000002</v>
      </c>
      <c r="G27" s="117">
        <v>0.26700000000000002</v>
      </c>
      <c r="H27" s="117">
        <v>0.26800000000000002</v>
      </c>
      <c r="I27" s="117">
        <v>0.26800000000000002</v>
      </c>
      <c r="J27" s="117">
        <v>0.26900000000000002</v>
      </c>
      <c r="K27" s="117">
        <v>0.26900000000000002</v>
      </c>
      <c r="L27" s="117">
        <v>0.27</v>
      </c>
      <c r="M27" s="117">
        <v>0.27</v>
      </c>
    </row>
    <row r="28" spans="1:13" x14ac:dyDescent="0.25">
      <c r="A28" s="99">
        <v>21</v>
      </c>
      <c r="B28" s="117">
        <v>0.27100000000000002</v>
      </c>
      <c r="C28" s="117">
        <v>0.27100000000000002</v>
      </c>
      <c r="D28" s="117">
        <v>0.27200000000000002</v>
      </c>
      <c r="E28" s="117">
        <v>0.27200000000000002</v>
      </c>
      <c r="F28" s="117">
        <v>0.27300000000000002</v>
      </c>
      <c r="G28" s="117">
        <v>0.27300000000000002</v>
      </c>
      <c r="H28" s="117">
        <v>0.27400000000000002</v>
      </c>
      <c r="I28" s="117">
        <v>0.27400000000000002</v>
      </c>
      <c r="J28" s="117">
        <v>0.27500000000000002</v>
      </c>
      <c r="K28" s="117">
        <v>0.27500000000000002</v>
      </c>
      <c r="L28" s="117">
        <v>0.27600000000000002</v>
      </c>
      <c r="M28" s="117">
        <v>0.27600000000000002</v>
      </c>
    </row>
    <row r="29" spans="1:13" x14ac:dyDescent="0.25">
      <c r="A29" s="99">
        <v>22</v>
      </c>
      <c r="B29" s="117">
        <v>0.27700000000000002</v>
      </c>
      <c r="C29" s="117">
        <v>0.27700000000000002</v>
      </c>
      <c r="D29" s="117">
        <v>0.27800000000000002</v>
      </c>
      <c r="E29" s="117">
        <v>0.27800000000000002</v>
      </c>
      <c r="F29" s="117">
        <v>0.27900000000000003</v>
      </c>
      <c r="G29" s="117">
        <v>0.27900000000000003</v>
      </c>
      <c r="H29" s="117">
        <v>0.28000000000000003</v>
      </c>
      <c r="I29" s="117">
        <v>0.28000000000000003</v>
      </c>
      <c r="J29" s="117">
        <v>0.28100000000000003</v>
      </c>
      <c r="K29" s="117">
        <v>0.28100000000000003</v>
      </c>
      <c r="L29" s="117">
        <v>0.28199999999999997</v>
      </c>
      <c r="M29" s="117">
        <v>0.28199999999999997</v>
      </c>
    </row>
    <row r="30" spans="1:13" x14ac:dyDescent="0.25">
      <c r="A30" s="99">
        <v>23</v>
      </c>
      <c r="B30" s="117">
        <v>0.28299999999999997</v>
      </c>
      <c r="C30" s="117">
        <v>0.28299999999999997</v>
      </c>
      <c r="D30" s="117">
        <v>0.28399999999999997</v>
      </c>
      <c r="E30" s="117">
        <v>0.28399999999999997</v>
      </c>
      <c r="F30" s="117">
        <v>0.28499999999999998</v>
      </c>
      <c r="G30" s="117">
        <v>0.28599999999999998</v>
      </c>
      <c r="H30" s="117">
        <v>0.28599999999999998</v>
      </c>
      <c r="I30" s="117">
        <v>0.28699999999999998</v>
      </c>
      <c r="J30" s="117">
        <v>0.28699999999999998</v>
      </c>
      <c r="K30" s="117">
        <v>0.28799999999999998</v>
      </c>
      <c r="L30" s="117">
        <v>0.28799999999999998</v>
      </c>
      <c r="M30" s="117">
        <v>0.28899999999999998</v>
      </c>
    </row>
    <row r="31" spans="1:13" x14ac:dyDescent="0.25">
      <c r="A31" s="99">
        <v>24</v>
      </c>
      <c r="B31" s="117">
        <v>0.28899999999999998</v>
      </c>
      <c r="C31" s="117">
        <v>0.28999999999999998</v>
      </c>
      <c r="D31" s="117">
        <v>0.28999999999999998</v>
      </c>
      <c r="E31" s="117">
        <v>0.29099999999999998</v>
      </c>
      <c r="F31" s="117">
        <v>0.29099999999999998</v>
      </c>
      <c r="G31" s="117">
        <v>0.29199999999999998</v>
      </c>
      <c r="H31" s="117">
        <v>0.29299999999999998</v>
      </c>
      <c r="I31" s="117">
        <v>0.29299999999999998</v>
      </c>
      <c r="J31" s="117">
        <v>0.29399999999999998</v>
      </c>
      <c r="K31" s="117">
        <v>0.29399999999999998</v>
      </c>
      <c r="L31" s="117">
        <v>0.29499999999999998</v>
      </c>
      <c r="M31" s="117">
        <v>0.29499999999999998</v>
      </c>
    </row>
    <row r="32" spans="1:13" x14ac:dyDescent="0.25">
      <c r="A32" s="99">
        <v>25</v>
      </c>
      <c r="B32" s="117">
        <v>0.29599999999999999</v>
      </c>
      <c r="C32" s="117">
        <v>0.29599999999999999</v>
      </c>
      <c r="D32" s="117">
        <v>0.29699999999999999</v>
      </c>
      <c r="E32" s="117">
        <v>0.29799999999999999</v>
      </c>
      <c r="F32" s="117">
        <v>0.29799999999999999</v>
      </c>
      <c r="G32" s="117">
        <v>0.29899999999999999</v>
      </c>
      <c r="H32" s="117">
        <v>0.29899999999999999</v>
      </c>
      <c r="I32" s="117">
        <v>0.3</v>
      </c>
      <c r="J32" s="117">
        <v>0.3</v>
      </c>
      <c r="K32" s="117">
        <v>0.30099999999999999</v>
      </c>
      <c r="L32" s="117">
        <v>0.30099999999999999</v>
      </c>
      <c r="M32" s="117">
        <v>0.30199999999999999</v>
      </c>
    </row>
    <row r="33" spans="1:13" x14ac:dyDescent="0.25">
      <c r="A33" s="99">
        <v>26</v>
      </c>
      <c r="B33" s="117">
        <v>0.30299999999999999</v>
      </c>
      <c r="C33" s="117">
        <v>0.30299999999999999</v>
      </c>
      <c r="D33" s="117">
        <v>0.30399999999999999</v>
      </c>
      <c r="E33" s="117">
        <v>0.30399999999999999</v>
      </c>
      <c r="F33" s="117">
        <v>0.30499999999999999</v>
      </c>
      <c r="G33" s="117">
        <v>0.30599999999999999</v>
      </c>
      <c r="H33" s="117">
        <v>0.30599999999999999</v>
      </c>
      <c r="I33" s="117">
        <v>0.307</v>
      </c>
      <c r="J33" s="117">
        <v>0.307</v>
      </c>
      <c r="K33" s="117">
        <v>0.308</v>
      </c>
      <c r="L33" s="117">
        <v>0.308</v>
      </c>
      <c r="M33" s="117">
        <v>0.309</v>
      </c>
    </row>
    <row r="34" spans="1:13" x14ac:dyDescent="0.25">
      <c r="A34" s="99">
        <v>27</v>
      </c>
      <c r="B34" s="117">
        <v>0.31</v>
      </c>
      <c r="C34" s="117">
        <v>0.31</v>
      </c>
      <c r="D34" s="117">
        <v>0.311</v>
      </c>
      <c r="E34" s="117">
        <v>0.311</v>
      </c>
      <c r="F34" s="117">
        <v>0.312</v>
      </c>
      <c r="G34" s="117">
        <v>0.313</v>
      </c>
      <c r="H34" s="117">
        <v>0.313</v>
      </c>
      <c r="I34" s="117">
        <v>0.314</v>
      </c>
      <c r="J34" s="117">
        <v>0.315</v>
      </c>
      <c r="K34" s="117">
        <v>0.315</v>
      </c>
      <c r="L34" s="117">
        <v>0.316</v>
      </c>
      <c r="M34" s="117">
        <v>0.316</v>
      </c>
    </row>
    <row r="35" spans="1:13" x14ac:dyDescent="0.25">
      <c r="A35" s="99">
        <v>28</v>
      </c>
      <c r="B35" s="117">
        <v>0.317</v>
      </c>
      <c r="C35" s="117">
        <v>0.318</v>
      </c>
      <c r="D35" s="117">
        <v>0.318</v>
      </c>
      <c r="E35" s="117">
        <v>0.31900000000000001</v>
      </c>
      <c r="F35" s="117">
        <v>0.31900000000000001</v>
      </c>
      <c r="G35" s="117">
        <v>0.32</v>
      </c>
      <c r="H35" s="117">
        <v>0.32100000000000001</v>
      </c>
      <c r="I35" s="117">
        <v>0.32100000000000001</v>
      </c>
      <c r="J35" s="117">
        <v>0.32200000000000001</v>
      </c>
      <c r="K35" s="117">
        <v>0.32300000000000001</v>
      </c>
      <c r="L35" s="117">
        <v>0.32300000000000001</v>
      </c>
      <c r="M35" s="117">
        <v>0.32400000000000001</v>
      </c>
    </row>
    <row r="36" spans="1:13" x14ac:dyDescent="0.25">
      <c r="A36" s="99">
        <v>29</v>
      </c>
      <c r="B36" s="117">
        <v>0.32400000000000001</v>
      </c>
      <c r="C36" s="117">
        <v>0.32500000000000001</v>
      </c>
      <c r="D36" s="117">
        <v>0.32600000000000001</v>
      </c>
      <c r="E36" s="117">
        <v>0.32600000000000001</v>
      </c>
      <c r="F36" s="117">
        <v>0.32700000000000001</v>
      </c>
      <c r="G36" s="117">
        <v>0.32800000000000001</v>
      </c>
      <c r="H36" s="117">
        <v>0.32800000000000001</v>
      </c>
      <c r="I36" s="117">
        <v>0.32900000000000001</v>
      </c>
      <c r="J36" s="117">
        <v>0.33</v>
      </c>
      <c r="K36" s="117">
        <v>0.33</v>
      </c>
      <c r="L36" s="117">
        <v>0.33100000000000002</v>
      </c>
      <c r="M36" s="117">
        <v>0.33200000000000002</v>
      </c>
    </row>
    <row r="37" spans="1:13" x14ac:dyDescent="0.25">
      <c r="A37" s="99">
        <v>30</v>
      </c>
      <c r="B37" s="117">
        <v>0.33200000000000002</v>
      </c>
      <c r="C37" s="117">
        <v>0.33300000000000002</v>
      </c>
      <c r="D37" s="117">
        <v>0.33400000000000002</v>
      </c>
      <c r="E37" s="117">
        <v>0.33400000000000002</v>
      </c>
      <c r="F37" s="117">
        <v>0.33500000000000002</v>
      </c>
      <c r="G37" s="117">
        <v>0.33600000000000002</v>
      </c>
      <c r="H37" s="117">
        <v>0.33600000000000002</v>
      </c>
      <c r="I37" s="117">
        <v>0.33700000000000002</v>
      </c>
      <c r="J37" s="117">
        <v>0.33800000000000002</v>
      </c>
      <c r="K37" s="117">
        <v>0.33800000000000002</v>
      </c>
      <c r="L37" s="117">
        <v>0.33900000000000002</v>
      </c>
      <c r="M37" s="117">
        <v>0.34</v>
      </c>
    </row>
    <row r="38" spans="1:13" x14ac:dyDescent="0.25">
      <c r="A38" s="99">
        <v>31</v>
      </c>
      <c r="B38" s="117">
        <v>0.34</v>
      </c>
      <c r="C38" s="117">
        <v>0.34100000000000003</v>
      </c>
      <c r="D38" s="117">
        <v>0.34200000000000003</v>
      </c>
      <c r="E38" s="117">
        <v>0.34300000000000003</v>
      </c>
      <c r="F38" s="117">
        <v>0.34300000000000003</v>
      </c>
      <c r="G38" s="117">
        <v>0.34399999999999997</v>
      </c>
      <c r="H38" s="117">
        <v>0.34499999999999997</v>
      </c>
      <c r="I38" s="117">
        <v>0.34499999999999997</v>
      </c>
      <c r="J38" s="117">
        <v>0.34599999999999997</v>
      </c>
      <c r="K38" s="117">
        <v>0.34699999999999998</v>
      </c>
      <c r="L38" s="117">
        <v>0.34699999999999998</v>
      </c>
      <c r="M38" s="117">
        <v>0.34799999999999998</v>
      </c>
    </row>
    <row r="39" spans="1:13" x14ac:dyDescent="0.25">
      <c r="A39" s="99">
        <v>32</v>
      </c>
      <c r="B39" s="117">
        <v>0.34899999999999998</v>
      </c>
      <c r="C39" s="117">
        <v>0.35</v>
      </c>
      <c r="D39" s="117">
        <v>0.35</v>
      </c>
      <c r="E39" s="117">
        <v>0.35099999999999998</v>
      </c>
      <c r="F39" s="117">
        <v>0.35199999999999998</v>
      </c>
      <c r="G39" s="117">
        <v>0.35199999999999998</v>
      </c>
      <c r="H39" s="117">
        <v>0.35299999999999998</v>
      </c>
      <c r="I39" s="117">
        <v>0.35399999999999998</v>
      </c>
      <c r="J39" s="117">
        <v>0.35499999999999998</v>
      </c>
      <c r="K39" s="117">
        <v>0.35499999999999998</v>
      </c>
      <c r="L39" s="117">
        <v>0.35599999999999998</v>
      </c>
      <c r="M39" s="117">
        <v>0.35699999999999998</v>
      </c>
    </row>
    <row r="40" spans="1:13" x14ac:dyDescent="0.25">
      <c r="A40" s="99">
        <v>33</v>
      </c>
      <c r="B40" s="117">
        <v>0.35799999999999998</v>
      </c>
      <c r="C40" s="117">
        <v>0.35799999999999998</v>
      </c>
      <c r="D40" s="117">
        <v>0.35899999999999999</v>
      </c>
      <c r="E40" s="117">
        <v>0.36</v>
      </c>
      <c r="F40" s="117">
        <v>0.36099999999999999</v>
      </c>
      <c r="G40" s="117">
        <v>0.36099999999999999</v>
      </c>
      <c r="H40" s="117">
        <v>0.36199999999999999</v>
      </c>
      <c r="I40" s="117">
        <v>0.36299999999999999</v>
      </c>
      <c r="J40" s="117">
        <v>0.36399999999999999</v>
      </c>
      <c r="K40" s="117">
        <v>0.36399999999999999</v>
      </c>
      <c r="L40" s="117">
        <v>0.36499999999999999</v>
      </c>
      <c r="M40" s="117">
        <v>0.36599999999999999</v>
      </c>
    </row>
    <row r="41" spans="1:13" x14ac:dyDescent="0.25">
      <c r="A41" s="99">
        <v>34</v>
      </c>
      <c r="B41" s="117">
        <v>0.36699999999999999</v>
      </c>
      <c r="C41" s="117">
        <v>0.36699999999999999</v>
      </c>
      <c r="D41" s="117">
        <v>0.36799999999999999</v>
      </c>
      <c r="E41" s="117">
        <v>0.36899999999999999</v>
      </c>
      <c r="F41" s="117">
        <v>0.37</v>
      </c>
      <c r="G41" s="117">
        <v>0.371</v>
      </c>
      <c r="H41" s="117">
        <v>0.371</v>
      </c>
      <c r="I41" s="117">
        <v>0.372</v>
      </c>
      <c r="J41" s="117">
        <v>0.373</v>
      </c>
      <c r="K41" s="117">
        <v>0.374</v>
      </c>
      <c r="L41" s="117">
        <v>0.374</v>
      </c>
      <c r="M41" s="117">
        <v>0.375</v>
      </c>
    </row>
    <row r="42" spans="1:13" x14ac:dyDescent="0.25">
      <c r="A42" s="99">
        <v>35</v>
      </c>
      <c r="B42" s="117">
        <v>0.376</v>
      </c>
      <c r="C42" s="117">
        <v>0.377</v>
      </c>
      <c r="D42" s="117">
        <v>0.378</v>
      </c>
      <c r="E42" s="117">
        <v>0.378</v>
      </c>
      <c r="F42" s="117">
        <v>0.379</v>
      </c>
      <c r="G42" s="117">
        <v>0.38</v>
      </c>
      <c r="H42" s="117">
        <v>0.38100000000000001</v>
      </c>
      <c r="I42" s="117">
        <v>0.38200000000000001</v>
      </c>
      <c r="J42" s="117">
        <v>0.38300000000000001</v>
      </c>
      <c r="K42" s="117">
        <v>0.38300000000000001</v>
      </c>
      <c r="L42" s="117">
        <v>0.38400000000000001</v>
      </c>
      <c r="M42" s="117">
        <v>0.38500000000000001</v>
      </c>
    </row>
    <row r="43" spans="1:13" x14ac:dyDescent="0.25">
      <c r="A43" s="99">
        <v>36</v>
      </c>
      <c r="B43" s="117">
        <v>0.38600000000000001</v>
      </c>
      <c r="C43" s="117">
        <v>0.38700000000000001</v>
      </c>
      <c r="D43" s="117">
        <v>0.38800000000000001</v>
      </c>
      <c r="E43" s="117">
        <v>0.38800000000000001</v>
      </c>
      <c r="F43" s="117">
        <v>0.38900000000000001</v>
      </c>
      <c r="G43" s="117">
        <v>0.39</v>
      </c>
      <c r="H43" s="117">
        <v>0.39100000000000001</v>
      </c>
      <c r="I43" s="117">
        <v>0.39200000000000002</v>
      </c>
      <c r="J43" s="117">
        <v>0.39300000000000002</v>
      </c>
      <c r="K43" s="117">
        <v>0.39300000000000002</v>
      </c>
      <c r="L43" s="117">
        <v>0.39400000000000002</v>
      </c>
      <c r="M43" s="117">
        <v>0.39500000000000002</v>
      </c>
    </row>
    <row r="44" spans="1:13" x14ac:dyDescent="0.25">
      <c r="A44" s="99">
        <v>37</v>
      </c>
      <c r="B44" s="117">
        <v>0.39600000000000002</v>
      </c>
      <c r="C44" s="117">
        <v>0.39700000000000002</v>
      </c>
      <c r="D44" s="117">
        <v>0.39800000000000002</v>
      </c>
      <c r="E44" s="117">
        <v>0.39900000000000002</v>
      </c>
      <c r="F44" s="117">
        <v>0.4</v>
      </c>
      <c r="G44" s="117">
        <v>0.4</v>
      </c>
      <c r="H44" s="117">
        <v>0.40100000000000002</v>
      </c>
      <c r="I44" s="117">
        <v>0.40200000000000002</v>
      </c>
      <c r="J44" s="117">
        <v>0.40300000000000002</v>
      </c>
      <c r="K44" s="117">
        <v>0.40400000000000003</v>
      </c>
      <c r="L44" s="117">
        <v>0.40500000000000003</v>
      </c>
      <c r="M44" s="117">
        <v>0.40600000000000003</v>
      </c>
    </row>
    <row r="45" spans="1:13" x14ac:dyDescent="0.25">
      <c r="A45" s="99">
        <v>38</v>
      </c>
      <c r="B45" s="117">
        <v>0.40699999999999997</v>
      </c>
      <c r="C45" s="117">
        <v>0.40799999999999997</v>
      </c>
      <c r="D45" s="117">
        <v>0.40799999999999997</v>
      </c>
      <c r="E45" s="117">
        <v>0.40899999999999997</v>
      </c>
      <c r="F45" s="117">
        <v>0.41</v>
      </c>
      <c r="G45" s="117">
        <v>0.41099999999999998</v>
      </c>
      <c r="H45" s="117">
        <v>0.41199999999999998</v>
      </c>
      <c r="I45" s="117">
        <v>0.41299999999999998</v>
      </c>
      <c r="J45" s="117">
        <v>0.41399999999999998</v>
      </c>
      <c r="K45" s="117">
        <v>0.41499999999999998</v>
      </c>
      <c r="L45" s="117">
        <v>0.41599999999999998</v>
      </c>
      <c r="M45" s="117">
        <v>0.41699999999999998</v>
      </c>
    </row>
    <row r="46" spans="1:13" x14ac:dyDescent="0.25">
      <c r="A46" s="99">
        <v>39</v>
      </c>
      <c r="B46" s="117">
        <v>0.41799999999999998</v>
      </c>
      <c r="C46" s="117">
        <v>0.41899999999999998</v>
      </c>
      <c r="D46" s="117">
        <v>0.42</v>
      </c>
      <c r="E46" s="117">
        <v>0.42099999999999999</v>
      </c>
      <c r="F46" s="117">
        <v>0.42199999999999999</v>
      </c>
      <c r="G46" s="117">
        <v>0.42299999999999999</v>
      </c>
      <c r="H46" s="117">
        <v>0.42299999999999999</v>
      </c>
      <c r="I46" s="117">
        <v>0.42399999999999999</v>
      </c>
      <c r="J46" s="117">
        <v>0.42499999999999999</v>
      </c>
      <c r="K46" s="117">
        <v>0.42599999999999999</v>
      </c>
      <c r="L46" s="117">
        <v>0.42699999999999999</v>
      </c>
      <c r="M46" s="117">
        <v>0.42799999999999999</v>
      </c>
    </row>
    <row r="47" spans="1:13" x14ac:dyDescent="0.25">
      <c r="A47" s="99">
        <v>40</v>
      </c>
      <c r="B47" s="117">
        <v>0.42899999999999999</v>
      </c>
      <c r="C47" s="117">
        <v>0.43</v>
      </c>
      <c r="D47" s="117">
        <v>0.43099999999999999</v>
      </c>
      <c r="E47" s="117">
        <v>0.432</v>
      </c>
      <c r="F47" s="117">
        <v>0.433</v>
      </c>
      <c r="G47" s="117">
        <v>0.434</v>
      </c>
      <c r="H47" s="117">
        <v>0.435</v>
      </c>
      <c r="I47" s="117">
        <v>0.436</v>
      </c>
      <c r="J47" s="117">
        <v>0.437</v>
      </c>
      <c r="K47" s="117">
        <v>0.438</v>
      </c>
      <c r="L47" s="117">
        <v>0.439</v>
      </c>
      <c r="M47" s="117">
        <v>0.44</v>
      </c>
    </row>
    <row r="48" spans="1:13" x14ac:dyDescent="0.25">
      <c r="A48" s="99">
        <v>41</v>
      </c>
      <c r="B48" s="117">
        <v>0.441</v>
      </c>
      <c r="C48" s="117">
        <v>0.442</v>
      </c>
      <c r="D48" s="117">
        <v>0.443</v>
      </c>
      <c r="E48" s="117">
        <v>0.44500000000000001</v>
      </c>
      <c r="F48" s="117">
        <v>0.44600000000000001</v>
      </c>
      <c r="G48" s="117">
        <v>0.44700000000000001</v>
      </c>
      <c r="H48" s="117">
        <v>0.44800000000000001</v>
      </c>
      <c r="I48" s="117">
        <v>0.44900000000000001</v>
      </c>
      <c r="J48" s="117">
        <v>0.45</v>
      </c>
      <c r="K48" s="117">
        <v>0.45100000000000001</v>
      </c>
      <c r="L48" s="117">
        <v>0.45200000000000001</v>
      </c>
      <c r="M48" s="117">
        <v>0.45300000000000001</v>
      </c>
    </row>
    <row r="49" spans="1:13" x14ac:dyDescent="0.25">
      <c r="A49" s="99">
        <v>42</v>
      </c>
      <c r="B49" s="117">
        <v>0.45400000000000001</v>
      </c>
      <c r="C49" s="117">
        <v>0.45500000000000002</v>
      </c>
      <c r="D49" s="117">
        <v>0.45600000000000002</v>
      </c>
      <c r="E49" s="117">
        <v>0.45700000000000002</v>
      </c>
      <c r="F49" s="117">
        <v>0.45800000000000002</v>
      </c>
      <c r="G49" s="117">
        <v>0.45900000000000002</v>
      </c>
      <c r="H49" s="117">
        <v>0.46100000000000002</v>
      </c>
      <c r="I49" s="117">
        <v>0.46200000000000002</v>
      </c>
      <c r="J49" s="117">
        <v>0.46300000000000002</v>
      </c>
      <c r="K49" s="117">
        <v>0.46400000000000002</v>
      </c>
      <c r="L49" s="117">
        <v>0.46500000000000002</v>
      </c>
      <c r="M49" s="117">
        <v>0.46600000000000003</v>
      </c>
    </row>
    <row r="50" spans="1:13" x14ac:dyDescent="0.25">
      <c r="A50" s="99">
        <v>43</v>
      </c>
      <c r="B50" s="117">
        <v>0.46700000000000003</v>
      </c>
      <c r="C50" s="117">
        <v>0.46800000000000003</v>
      </c>
      <c r="D50" s="117">
        <v>0.47</v>
      </c>
      <c r="E50" s="117">
        <v>0.47099999999999997</v>
      </c>
      <c r="F50" s="117">
        <v>0.47199999999999998</v>
      </c>
      <c r="G50" s="117">
        <v>0.47299999999999998</v>
      </c>
      <c r="H50" s="117">
        <v>0.47399999999999998</v>
      </c>
      <c r="I50" s="117">
        <v>0.47499999999999998</v>
      </c>
      <c r="J50" s="117">
        <v>0.47599999999999998</v>
      </c>
      <c r="K50" s="117">
        <v>0.47799999999999998</v>
      </c>
      <c r="L50" s="117">
        <v>0.47899999999999998</v>
      </c>
      <c r="M50" s="117">
        <v>0.48</v>
      </c>
    </row>
    <row r="51" spans="1:13" x14ac:dyDescent="0.25">
      <c r="A51" s="99">
        <v>44</v>
      </c>
      <c r="B51" s="117">
        <v>0.48099999999999998</v>
      </c>
      <c r="C51" s="117">
        <v>0.48199999999999998</v>
      </c>
      <c r="D51" s="117">
        <v>0.48299999999999998</v>
      </c>
      <c r="E51" s="117">
        <v>0.48499999999999999</v>
      </c>
      <c r="F51" s="117">
        <v>0.48599999999999999</v>
      </c>
      <c r="G51" s="117">
        <v>0.48699999999999999</v>
      </c>
      <c r="H51" s="117">
        <v>0.48799999999999999</v>
      </c>
      <c r="I51" s="117">
        <v>0.49</v>
      </c>
      <c r="J51" s="117">
        <v>0.49099999999999999</v>
      </c>
      <c r="K51" s="117">
        <v>0.49199999999999999</v>
      </c>
      <c r="L51" s="117">
        <v>0.49299999999999999</v>
      </c>
      <c r="M51" s="117">
        <v>0.49399999999999999</v>
      </c>
    </row>
    <row r="52" spans="1:13" x14ac:dyDescent="0.25">
      <c r="A52" s="99">
        <v>45</v>
      </c>
      <c r="B52" s="117">
        <v>0.496</v>
      </c>
      <c r="C52" s="117">
        <v>0.497</v>
      </c>
      <c r="D52" s="117">
        <v>0.498</v>
      </c>
      <c r="E52" s="117">
        <v>0.499</v>
      </c>
      <c r="F52" s="117">
        <v>0.501</v>
      </c>
      <c r="G52" s="117">
        <v>0.502</v>
      </c>
      <c r="H52" s="117">
        <v>0.503</v>
      </c>
      <c r="I52" s="117">
        <v>0.504</v>
      </c>
      <c r="J52" s="117">
        <v>0.50600000000000001</v>
      </c>
      <c r="K52" s="117">
        <v>0.50700000000000001</v>
      </c>
      <c r="L52" s="117">
        <v>0.50800000000000001</v>
      </c>
      <c r="M52" s="117">
        <v>0.51</v>
      </c>
    </row>
    <row r="53" spans="1:13" x14ac:dyDescent="0.25">
      <c r="A53" s="99">
        <v>46</v>
      </c>
      <c r="B53" s="117">
        <v>0.51100000000000001</v>
      </c>
      <c r="C53" s="117">
        <v>0.51200000000000001</v>
      </c>
      <c r="D53" s="117">
        <v>0.51300000000000001</v>
      </c>
      <c r="E53" s="117">
        <v>0.51500000000000001</v>
      </c>
      <c r="F53" s="117">
        <v>0.51600000000000001</v>
      </c>
      <c r="G53" s="117">
        <v>0.51700000000000002</v>
      </c>
      <c r="H53" s="117">
        <v>0.51900000000000002</v>
      </c>
      <c r="I53" s="117">
        <v>0.52</v>
      </c>
      <c r="J53" s="117">
        <v>0.52100000000000002</v>
      </c>
      <c r="K53" s="117">
        <v>0.52300000000000002</v>
      </c>
      <c r="L53" s="117">
        <v>0.52400000000000002</v>
      </c>
      <c r="M53" s="117">
        <v>0.52500000000000002</v>
      </c>
    </row>
    <row r="54" spans="1:13" x14ac:dyDescent="0.25">
      <c r="A54" s="99">
        <v>47</v>
      </c>
      <c r="B54" s="117">
        <v>0.52700000000000002</v>
      </c>
      <c r="C54" s="117">
        <v>0.52800000000000002</v>
      </c>
      <c r="D54" s="117">
        <v>0.53</v>
      </c>
      <c r="E54" s="117">
        <v>0.53100000000000003</v>
      </c>
      <c r="F54" s="117">
        <v>0.53200000000000003</v>
      </c>
      <c r="G54" s="117">
        <v>0.53400000000000003</v>
      </c>
      <c r="H54" s="117">
        <v>0.53500000000000003</v>
      </c>
      <c r="I54" s="117">
        <v>0.53700000000000003</v>
      </c>
      <c r="J54" s="117">
        <v>0.53800000000000003</v>
      </c>
      <c r="K54" s="117">
        <v>0.53900000000000003</v>
      </c>
      <c r="L54" s="117">
        <v>0.54100000000000004</v>
      </c>
      <c r="M54" s="117">
        <v>0.54200000000000004</v>
      </c>
    </row>
    <row r="55" spans="1:13" x14ac:dyDescent="0.25">
      <c r="A55" s="99">
        <v>48</v>
      </c>
      <c r="B55" s="117">
        <v>0.54400000000000004</v>
      </c>
      <c r="C55" s="117">
        <v>0.54500000000000004</v>
      </c>
      <c r="D55" s="117">
        <v>0.54700000000000004</v>
      </c>
      <c r="E55" s="117">
        <v>0.54800000000000004</v>
      </c>
      <c r="F55" s="117">
        <v>0.55000000000000004</v>
      </c>
      <c r="G55" s="117">
        <v>0.55100000000000005</v>
      </c>
      <c r="H55" s="117">
        <v>0.55300000000000005</v>
      </c>
      <c r="I55" s="117">
        <v>0.55400000000000005</v>
      </c>
      <c r="J55" s="117">
        <v>0.55600000000000005</v>
      </c>
      <c r="K55" s="117">
        <v>0.55700000000000005</v>
      </c>
      <c r="L55" s="117">
        <v>0.55800000000000005</v>
      </c>
      <c r="M55" s="117">
        <v>0.56000000000000005</v>
      </c>
    </row>
    <row r="56" spans="1:13" x14ac:dyDescent="0.25">
      <c r="A56" s="99">
        <v>49</v>
      </c>
      <c r="B56" s="117">
        <v>0.56100000000000005</v>
      </c>
      <c r="C56" s="117">
        <v>0.56299999999999994</v>
      </c>
      <c r="D56" s="117">
        <v>0.56499999999999995</v>
      </c>
      <c r="E56" s="117">
        <v>0.56599999999999995</v>
      </c>
      <c r="F56" s="117">
        <v>0.56799999999999995</v>
      </c>
      <c r="G56" s="117">
        <v>0.56899999999999995</v>
      </c>
      <c r="H56" s="117">
        <v>0.57099999999999995</v>
      </c>
      <c r="I56" s="117">
        <v>0.57199999999999995</v>
      </c>
      <c r="J56" s="117">
        <v>0.57399999999999995</v>
      </c>
      <c r="K56" s="117">
        <v>0.57599999999999996</v>
      </c>
      <c r="L56" s="117">
        <v>0.57699999999999996</v>
      </c>
      <c r="M56" s="117">
        <v>0.57899999999999996</v>
      </c>
    </row>
    <row r="57" spans="1:13" x14ac:dyDescent="0.25">
      <c r="A57" s="99">
        <v>50</v>
      </c>
      <c r="B57" s="117">
        <v>0.57999999999999996</v>
      </c>
      <c r="C57" s="117">
        <v>0.58199999999999996</v>
      </c>
      <c r="D57" s="117">
        <v>0.58399999999999996</v>
      </c>
      <c r="E57" s="117">
        <v>0.58499999999999996</v>
      </c>
      <c r="F57" s="117">
        <v>0.58699999999999997</v>
      </c>
      <c r="G57" s="117">
        <v>0.58799999999999997</v>
      </c>
      <c r="H57" s="117">
        <v>0.59</v>
      </c>
      <c r="I57" s="117">
        <v>0.59199999999999997</v>
      </c>
      <c r="J57" s="117">
        <v>0.59299999999999997</v>
      </c>
      <c r="K57" s="117">
        <v>0.59499999999999997</v>
      </c>
      <c r="L57" s="117">
        <v>0.59699999999999998</v>
      </c>
      <c r="M57" s="117">
        <v>0.59799999999999998</v>
      </c>
    </row>
    <row r="58" spans="1:13" x14ac:dyDescent="0.25">
      <c r="A58" s="99">
        <v>51</v>
      </c>
      <c r="B58" s="117">
        <v>0.6</v>
      </c>
      <c r="C58" s="117">
        <v>0.60199999999999998</v>
      </c>
      <c r="D58" s="117">
        <v>0.60399999999999998</v>
      </c>
      <c r="E58" s="117">
        <v>0.60499999999999998</v>
      </c>
      <c r="F58" s="117">
        <v>0.60699999999999998</v>
      </c>
      <c r="G58" s="117">
        <v>0.60899999999999999</v>
      </c>
      <c r="H58" s="117">
        <v>0.61</v>
      </c>
      <c r="I58" s="117">
        <v>0.61199999999999999</v>
      </c>
      <c r="J58" s="117">
        <v>0.61399999999999999</v>
      </c>
      <c r="K58" s="117">
        <v>0.61599999999999999</v>
      </c>
      <c r="L58" s="117">
        <v>0.61699999999999999</v>
      </c>
      <c r="M58" s="117">
        <v>0.61899999999999999</v>
      </c>
    </row>
    <row r="59" spans="1:13" x14ac:dyDescent="0.25">
      <c r="A59" s="99">
        <v>52</v>
      </c>
      <c r="B59" s="117">
        <v>0.621</v>
      </c>
      <c r="C59" s="117">
        <v>0.623</v>
      </c>
      <c r="D59" s="117">
        <v>0.625</v>
      </c>
      <c r="E59" s="117">
        <v>0.627</v>
      </c>
      <c r="F59" s="117">
        <v>0.628</v>
      </c>
      <c r="G59" s="117">
        <v>0.63</v>
      </c>
      <c r="H59" s="117">
        <v>0.63200000000000001</v>
      </c>
      <c r="I59" s="117">
        <v>0.63400000000000001</v>
      </c>
      <c r="J59" s="117">
        <v>0.63600000000000001</v>
      </c>
      <c r="K59" s="117">
        <v>0.63800000000000001</v>
      </c>
      <c r="L59" s="117">
        <v>0.63900000000000001</v>
      </c>
      <c r="M59" s="117">
        <v>0.64100000000000001</v>
      </c>
    </row>
    <row r="60" spans="1:13" x14ac:dyDescent="0.25">
      <c r="A60" s="99">
        <v>53</v>
      </c>
      <c r="B60" s="117">
        <v>0.64300000000000002</v>
      </c>
      <c r="C60" s="117">
        <v>0.64500000000000002</v>
      </c>
      <c r="D60" s="117">
        <v>0.64700000000000002</v>
      </c>
      <c r="E60" s="117">
        <v>0.64900000000000002</v>
      </c>
      <c r="F60" s="117">
        <v>0.65100000000000002</v>
      </c>
      <c r="G60" s="117">
        <v>0.65300000000000002</v>
      </c>
      <c r="H60" s="117">
        <v>0.65500000000000003</v>
      </c>
      <c r="I60" s="117">
        <v>0.65700000000000003</v>
      </c>
      <c r="J60" s="117">
        <v>0.65900000000000003</v>
      </c>
      <c r="K60" s="117">
        <v>0.66100000000000003</v>
      </c>
      <c r="L60" s="117">
        <v>0.66300000000000003</v>
      </c>
      <c r="M60" s="117">
        <v>0.66500000000000004</v>
      </c>
    </row>
    <row r="61" spans="1:13" x14ac:dyDescent="0.25">
      <c r="A61" s="99">
        <v>54</v>
      </c>
      <c r="B61" s="117">
        <v>0.66700000000000004</v>
      </c>
      <c r="C61" s="117">
        <v>0.66900000000000004</v>
      </c>
      <c r="D61" s="117">
        <v>0.67100000000000004</v>
      </c>
      <c r="E61" s="117">
        <v>0.67300000000000004</v>
      </c>
      <c r="F61" s="117">
        <v>0.67500000000000004</v>
      </c>
      <c r="G61" s="117">
        <v>0.67700000000000005</v>
      </c>
      <c r="H61" s="117">
        <v>0.67900000000000005</v>
      </c>
      <c r="I61" s="117">
        <v>0.68100000000000005</v>
      </c>
      <c r="J61" s="117">
        <v>0.68300000000000005</v>
      </c>
      <c r="K61" s="117">
        <v>0.68500000000000005</v>
      </c>
      <c r="L61" s="117">
        <v>0.68799999999999994</v>
      </c>
      <c r="M61" s="117">
        <v>0.69</v>
      </c>
    </row>
    <row r="62" spans="1:13" x14ac:dyDescent="0.25">
      <c r="A62" s="99">
        <v>55</v>
      </c>
      <c r="B62" s="117">
        <v>0.69199999999999995</v>
      </c>
      <c r="C62" s="117">
        <v>0.69399999999999995</v>
      </c>
      <c r="D62" s="117">
        <v>0.69599999999999995</v>
      </c>
      <c r="E62" s="117">
        <v>0.69799999999999995</v>
      </c>
      <c r="F62" s="117">
        <v>0.70099999999999996</v>
      </c>
      <c r="G62" s="117">
        <v>0.70299999999999996</v>
      </c>
      <c r="H62" s="117">
        <v>0.70499999999999996</v>
      </c>
      <c r="I62" s="117">
        <v>0.70699999999999996</v>
      </c>
      <c r="J62" s="117">
        <v>0.71</v>
      </c>
      <c r="K62" s="117">
        <v>0.71199999999999997</v>
      </c>
      <c r="L62" s="117">
        <v>0.71399999999999997</v>
      </c>
      <c r="M62" s="117">
        <v>0.71599999999999997</v>
      </c>
    </row>
    <row r="63" spans="1:13" x14ac:dyDescent="0.25">
      <c r="A63" s="99">
        <v>56</v>
      </c>
      <c r="B63" s="117">
        <v>0.71799999999999997</v>
      </c>
      <c r="C63" s="117">
        <v>0.72099999999999997</v>
      </c>
      <c r="D63" s="117">
        <v>0.72299999999999998</v>
      </c>
      <c r="E63" s="117">
        <v>0.72599999999999998</v>
      </c>
      <c r="F63" s="117">
        <v>0.72799999999999998</v>
      </c>
      <c r="G63" s="117">
        <v>0.73</v>
      </c>
      <c r="H63" s="117">
        <v>0.73299999999999998</v>
      </c>
      <c r="I63" s="117">
        <v>0.73499999999999999</v>
      </c>
      <c r="J63" s="117">
        <v>0.73699999999999999</v>
      </c>
      <c r="K63" s="117">
        <v>0.74</v>
      </c>
      <c r="L63" s="117">
        <v>0.74199999999999999</v>
      </c>
      <c r="M63" s="117">
        <v>0.74399999999999999</v>
      </c>
    </row>
    <row r="64" spans="1:13" x14ac:dyDescent="0.25">
      <c r="A64" s="99">
        <v>57</v>
      </c>
      <c r="B64" s="117">
        <v>0.747</v>
      </c>
      <c r="C64" s="117">
        <v>0.749</v>
      </c>
      <c r="D64" s="117">
        <v>0.752</v>
      </c>
      <c r="E64" s="117">
        <v>0.754</v>
      </c>
      <c r="F64" s="117">
        <v>0.75700000000000001</v>
      </c>
      <c r="G64" s="117">
        <v>0.76</v>
      </c>
      <c r="H64" s="117">
        <v>0.76200000000000001</v>
      </c>
      <c r="I64" s="117">
        <v>0.76500000000000001</v>
      </c>
      <c r="J64" s="117">
        <v>0.76700000000000002</v>
      </c>
      <c r="K64" s="117">
        <v>0.77</v>
      </c>
      <c r="L64" s="117">
        <v>0.77200000000000002</v>
      </c>
      <c r="M64" s="117">
        <v>0.77500000000000002</v>
      </c>
    </row>
    <row r="65" spans="1:13" x14ac:dyDescent="0.25">
      <c r="A65" s="99">
        <v>58</v>
      </c>
      <c r="B65" s="117">
        <v>0.77700000000000002</v>
      </c>
      <c r="C65" s="117">
        <v>0.78</v>
      </c>
      <c r="D65" s="117">
        <v>0.78300000000000003</v>
      </c>
      <c r="E65" s="117">
        <v>0.78500000000000003</v>
      </c>
      <c r="F65" s="117">
        <v>0.78800000000000003</v>
      </c>
      <c r="G65" s="117">
        <v>0.79100000000000004</v>
      </c>
      <c r="H65" s="117">
        <v>0.79400000000000004</v>
      </c>
      <c r="I65" s="117">
        <v>0.79600000000000004</v>
      </c>
      <c r="J65" s="117">
        <v>0.79900000000000004</v>
      </c>
      <c r="K65" s="117">
        <v>0.80200000000000005</v>
      </c>
      <c r="L65" s="117">
        <v>0.80400000000000005</v>
      </c>
      <c r="M65" s="117">
        <v>0.80700000000000005</v>
      </c>
    </row>
    <row r="66" spans="1:13" x14ac:dyDescent="0.25">
      <c r="A66" s="99">
        <v>59</v>
      </c>
      <c r="B66" s="117">
        <v>0.80900000000000005</v>
      </c>
      <c r="C66" s="117">
        <v>0.81200000000000006</v>
      </c>
      <c r="D66" s="117">
        <v>0.81399999999999995</v>
      </c>
      <c r="E66" s="117">
        <v>0.81599999999999995</v>
      </c>
      <c r="F66" s="117">
        <v>0.81799999999999995</v>
      </c>
      <c r="G66" s="117">
        <v>0.82</v>
      </c>
      <c r="H66" s="117">
        <v>0.82199999999999995</v>
      </c>
      <c r="I66" s="117">
        <v>0.82399999999999995</v>
      </c>
      <c r="J66" s="117">
        <v>0.82599999999999996</v>
      </c>
      <c r="K66" s="117">
        <v>0.82899999999999996</v>
      </c>
      <c r="L66" s="117">
        <v>0.83099999999999996</v>
      </c>
      <c r="M66" s="117">
        <v>0.83299999999999996</v>
      </c>
    </row>
    <row r="67" spans="1:13" x14ac:dyDescent="0.25">
      <c r="A67" s="99">
        <v>60</v>
      </c>
      <c r="B67" s="117">
        <v>0.83499999999999996</v>
      </c>
      <c r="C67" s="117">
        <v>0.83699999999999997</v>
      </c>
      <c r="D67" s="117">
        <v>0.84</v>
      </c>
      <c r="E67" s="117">
        <v>0.84199999999999997</v>
      </c>
      <c r="F67" s="117">
        <v>0.84399999999999997</v>
      </c>
      <c r="G67" s="117">
        <v>0.84699999999999998</v>
      </c>
      <c r="H67" s="117">
        <v>0.84899999999999998</v>
      </c>
      <c r="I67" s="117">
        <v>0.85099999999999998</v>
      </c>
      <c r="J67" s="117">
        <v>0.85399999999999998</v>
      </c>
      <c r="K67" s="117">
        <v>0.85599999999999998</v>
      </c>
      <c r="L67" s="117">
        <v>0.85799999999999998</v>
      </c>
      <c r="M67" s="117">
        <v>0.86099999999999999</v>
      </c>
    </row>
    <row r="68" spans="1:13" x14ac:dyDescent="0.25">
      <c r="A68" s="99">
        <v>61</v>
      </c>
      <c r="B68" s="117">
        <v>0.86299999999999999</v>
      </c>
      <c r="C68" s="117">
        <v>0.86499999999999999</v>
      </c>
      <c r="D68" s="117">
        <v>0.86799999999999999</v>
      </c>
      <c r="E68" s="117">
        <v>0.871</v>
      </c>
      <c r="F68" s="117">
        <v>0.873</v>
      </c>
      <c r="G68" s="117">
        <v>0.876</v>
      </c>
      <c r="H68" s="117">
        <v>0.878</v>
      </c>
      <c r="I68" s="117">
        <v>0.88100000000000001</v>
      </c>
      <c r="J68" s="117">
        <v>0.88300000000000001</v>
      </c>
      <c r="K68" s="117">
        <v>0.88600000000000001</v>
      </c>
      <c r="L68" s="117">
        <v>0.88800000000000001</v>
      </c>
      <c r="M68" s="117">
        <v>0.89100000000000001</v>
      </c>
    </row>
    <row r="69" spans="1:13" x14ac:dyDescent="0.25">
      <c r="A69" s="99">
        <v>62</v>
      </c>
      <c r="B69" s="117">
        <v>0.89300000000000002</v>
      </c>
      <c r="C69" s="117">
        <v>0.89600000000000002</v>
      </c>
      <c r="D69" s="117">
        <v>0.89900000000000002</v>
      </c>
      <c r="E69" s="117">
        <v>0.90200000000000002</v>
      </c>
      <c r="F69" s="117">
        <v>0.90400000000000003</v>
      </c>
      <c r="G69" s="117">
        <v>0.90700000000000003</v>
      </c>
      <c r="H69" s="117">
        <v>0.91</v>
      </c>
      <c r="I69" s="117">
        <v>0.91300000000000003</v>
      </c>
      <c r="J69" s="117">
        <v>0.91500000000000004</v>
      </c>
      <c r="K69" s="117">
        <v>0.91800000000000004</v>
      </c>
      <c r="L69" s="117">
        <v>0.92100000000000004</v>
      </c>
      <c r="M69" s="117">
        <v>0.92400000000000004</v>
      </c>
    </row>
    <row r="70" spans="1:13" x14ac:dyDescent="0.25">
      <c r="A70" s="99">
        <v>63</v>
      </c>
      <c r="B70" s="117">
        <v>0.92700000000000005</v>
      </c>
      <c r="C70" s="117">
        <v>0.93</v>
      </c>
      <c r="D70" s="117">
        <v>0.93300000000000005</v>
      </c>
      <c r="E70" s="117">
        <v>0.93600000000000005</v>
      </c>
      <c r="F70" s="117">
        <v>0.93899999999999995</v>
      </c>
      <c r="G70" s="117">
        <v>0.94199999999999995</v>
      </c>
      <c r="H70" s="117">
        <v>0.94499999999999995</v>
      </c>
      <c r="I70" s="117">
        <v>0.94799999999999995</v>
      </c>
      <c r="J70" s="117">
        <v>0.95099999999999996</v>
      </c>
      <c r="K70" s="117">
        <v>0.95399999999999996</v>
      </c>
      <c r="L70" s="117">
        <v>0.95699999999999996</v>
      </c>
      <c r="M70" s="117">
        <v>0.96</v>
      </c>
    </row>
    <row r="71" spans="1:13" x14ac:dyDescent="0.25">
      <c r="A71" s="99">
        <v>64</v>
      </c>
      <c r="B71" s="117">
        <v>0.96299999999999997</v>
      </c>
      <c r="C71" s="117">
        <v>0.96599999999999997</v>
      </c>
      <c r="D71" s="117">
        <v>0.97</v>
      </c>
      <c r="E71" s="117">
        <v>0.97299999999999998</v>
      </c>
      <c r="F71" s="117">
        <v>0.97599999999999998</v>
      </c>
      <c r="G71" s="117">
        <v>0.97899999999999998</v>
      </c>
      <c r="H71" s="117">
        <v>0.98199999999999998</v>
      </c>
      <c r="I71" s="117">
        <v>0.98599999999999999</v>
      </c>
      <c r="J71" s="117">
        <v>0.98899999999999999</v>
      </c>
      <c r="K71" s="117">
        <v>0.99199999999999999</v>
      </c>
      <c r="L71" s="117">
        <v>0.995</v>
      </c>
      <c r="M71" s="117">
        <v>0.998</v>
      </c>
    </row>
    <row r="72" spans="1:13" x14ac:dyDescent="0.25">
      <c r="A72" s="99">
        <v>65</v>
      </c>
      <c r="B72" s="117">
        <v>1</v>
      </c>
      <c r="C72" s="117"/>
      <c r="D72" s="117"/>
      <c r="E72" s="117"/>
      <c r="F72" s="117"/>
      <c r="G72" s="117"/>
      <c r="H72" s="117"/>
      <c r="I72" s="117"/>
      <c r="J72" s="117"/>
      <c r="K72" s="117"/>
      <c r="L72" s="117"/>
      <c r="M72" s="117"/>
    </row>
  </sheetData>
  <sheetProtection algorithmName="SHA-512" hashValue="WX8yFOj+co1cvUCwfTpJsQW1OK1Pq7x5dM4fafgFjAzGsodAb1mqzDBSM1a0ekjtIycYpjVNaIBoaLhajo3YvQ==" saltValue="jKqvMbOP7Ebu5xWNfbAvFA==" spinCount="100000" sheet="1" objects="1" scenarios="1"/>
  <conditionalFormatting sqref="A6:A21">
    <cfRule type="expression" dxfId="51" priority="7" stopIfTrue="1">
      <formula>MOD(ROW(),2)=0</formula>
    </cfRule>
    <cfRule type="expression" dxfId="50" priority="8" stopIfTrue="1">
      <formula>MOD(ROW(),2)&lt;&gt;0</formula>
    </cfRule>
  </conditionalFormatting>
  <conditionalFormatting sqref="A26:A72">
    <cfRule type="expression" dxfId="49" priority="1" stopIfTrue="1">
      <formula>MOD(ROW(),2)=0</formula>
    </cfRule>
    <cfRule type="expression" dxfId="48" priority="2" stopIfTrue="1">
      <formula>MOD(ROW(),2)&lt;&gt;0</formula>
    </cfRule>
  </conditionalFormatting>
  <conditionalFormatting sqref="B17:B21">
    <cfRule type="expression" dxfId="47" priority="5" stopIfTrue="1">
      <formula>MOD(ROW(),2)=0</formula>
    </cfRule>
    <cfRule type="expression" dxfId="46" priority="6" stopIfTrue="1">
      <formula>MOD(ROW(),2)&lt;&gt;0</formula>
    </cfRule>
  </conditionalFormatting>
  <conditionalFormatting sqref="B6:M21">
    <cfRule type="expression" dxfId="45" priority="17" stopIfTrue="1">
      <formula>MOD(ROW(),2)=0</formula>
    </cfRule>
    <cfRule type="expression" dxfId="44" priority="18" stopIfTrue="1">
      <formula>MOD(ROW(),2)&lt;&gt;0</formula>
    </cfRule>
  </conditionalFormatting>
  <conditionalFormatting sqref="B26:M72">
    <cfRule type="expression" dxfId="43" priority="3" stopIfTrue="1">
      <formula>MOD(ROW(),2)=0</formula>
    </cfRule>
    <cfRule type="expression" dxfId="42" priority="4" stopIfTrue="1">
      <formula>MOD(ROW(),2)&lt;&gt;0</formula>
    </cfRule>
  </conditionalFormatting>
  <hyperlinks>
    <hyperlink ref="B24" location="Assumptions!A1" display="Assumptions" xr:uid="{07A9D90D-8509-49D4-9C4C-521B0DE36CB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12"/>
  <dimension ref="A1:M62"/>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Abatement - x-820</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75</v>
      </c>
      <c r="C8" s="161"/>
      <c r="D8" s="161"/>
      <c r="E8" s="161"/>
      <c r="F8" s="161"/>
      <c r="G8" s="161"/>
      <c r="H8" s="161"/>
      <c r="I8" s="161"/>
      <c r="J8" s="161"/>
      <c r="K8" s="161"/>
      <c r="L8" s="161"/>
      <c r="M8" s="161"/>
    </row>
    <row r="9" spans="1:13" x14ac:dyDescent="0.25">
      <c r="A9" s="85" t="s">
        <v>282</v>
      </c>
      <c r="B9" s="161" t="s">
        <v>632</v>
      </c>
      <c r="C9" s="161"/>
      <c r="D9" s="161"/>
      <c r="E9" s="161"/>
      <c r="F9" s="161"/>
      <c r="G9" s="161"/>
      <c r="H9" s="161"/>
      <c r="I9" s="161"/>
      <c r="J9" s="161"/>
      <c r="K9" s="161"/>
      <c r="L9" s="161"/>
      <c r="M9" s="161"/>
    </row>
    <row r="10" spans="1:13" x14ac:dyDescent="0.25">
      <c r="A10" s="85" t="s">
        <v>6</v>
      </c>
      <c r="B10" s="161" t="s">
        <v>646</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634</v>
      </c>
      <c r="C12" s="161"/>
      <c r="D12" s="161"/>
      <c r="E12" s="161"/>
      <c r="F12" s="161"/>
      <c r="G12" s="161"/>
      <c r="H12" s="161"/>
      <c r="I12" s="161"/>
      <c r="J12" s="161"/>
      <c r="K12" s="161"/>
      <c r="L12" s="161"/>
      <c r="M12" s="161"/>
    </row>
    <row r="13" spans="1:13" x14ac:dyDescent="0.25">
      <c r="A13" s="85" t="s">
        <v>289</v>
      </c>
      <c r="B13" s="161">
        <v>1</v>
      </c>
      <c r="C13" s="161"/>
      <c r="D13" s="161"/>
      <c r="E13" s="161"/>
      <c r="F13" s="161"/>
      <c r="G13" s="161"/>
      <c r="H13" s="161"/>
      <c r="I13" s="161"/>
      <c r="J13" s="161"/>
      <c r="K13" s="161"/>
      <c r="L13" s="161"/>
      <c r="M13" s="161"/>
    </row>
    <row r="14" spans="1:13" x14ac:dyDescent="0.25">
      <c r="A14" s="85" t="s">
        <v>291</v>
      </c>
      <c r="B14" s="161">
        <v>820</v>
      </c>
      <c r="C14" s="161"/>
      <c r="D14" s="161"/>
      <c r="E14" s="161"/>
      <c r="F14" s="161"/>
      <c r="G14" s="161"/>
      <c r="H14" s="161"/>
      <c r="I14" s="161"/>
      <c r="J14" s="161"/>
      <c r="K14" s="161"/>
      <c r="L14" s="161"/>
      <c r="M14" s="161"/>
    </row>
    <row r="15" spans="1:13" x14ac:dyDescent="0.25">
      <c r="A15" s="85" t="s">
        <v>293</v>
      </c>
      <c r="B15" s="161" t="s">
        <v>647</v>
      </c>
      <c r="C15" s="161"/>
      <c r="D15" s="161"/>
      <c r="E15" s="161"/>
      <c r="F15" s="161"/>
      <c r="G15" s="161"/>
      <c r="H15" s="161"/>
      <c r="I15" s="161"/>
      <c r="J15" s="161"/>
      <c r="K15" s="161"/>
      <c r="L15" s="161"/>
      <c r="M15" s="161"/>
    </row>
    <row r="16" spans="1:13" x14ac:dyDescent="0.25">
      <c r="A16" s="85" t="s">
        <v>295</v>
      </c>
      <c r="B16" s="161" t="s">
        <v>648</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45135</v>
      </c>
      <c r="C18" s="161"/>
      <c r="D18" s="161"/>
      <c r="E18" s="161"/>
      <c r="F18" s="161"/>
      <c r="G18" s="161"/>
      <c r="H18" s="161"/>
      <c r="I18" s="161"/>
      <c r="J18" s="161"/>
      <c r="K18" s="161"/>
      <c r="L18" s="161"/>
      <c r="M18" s="161"/>
    </row>
    <row r="19" spans="1:13" x14ac:dyDescent="0.25">
      <c r="A19" s="85" t="s">
        <v>301</v>
      </c>
      <c r="B19" s="162">
        <v>45200</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20</v>
      </c>
      <c r="B27" s="117">
        <v>0.35899999999999999</v>
      </c>
      <c r="C27" s="117">
        <v>0.36</v>
      </c>
      <c r="D27" s="117">
        <v>0.36099999999999999</v>
      </c>
      <c r="E27" s="117">
        <v>0.36199999999999999</v>
      </c>
      <c r="F27" s="117">
        <v>0.36199999999999999</v>
      </c>
      <c r="G27" s="117">
        <v>0.36299999999999999</v>
      </c>
      <c r="H27" s="117">
        <v>0.36399999999999999</v>
      </c>
      <c r="I27" s="117">
        <v>0.36399999999999999</v>
      </c>
      <c r="J27" s="117">
        <v>0.36499999999999999</v>
      </c>
      <c r="K27" s="117">
        <v>0.36599999999999999</v>
      </c>
      <c r="L27" s="117">
        <v>0.36699999999999999</v>
      </c>
      <c r="M27" s="117">
        <v>0.36699999999999999</v>
      </c>
    </row>
    <row r="28" spans="1:13" x14ac:dyDescent="0.25">
      <c r="A28" s="99">
        <v>21</v>
      </c>
      <c r="B28" s="117">
        <v>0.36799999999999999</v>
      </c>
      <c r="C28" s="117">
        <v>0.36899999999999999</v>
      </c>
      <c r="D28" s="117">
        <v>0.36899999999999999</v>
      </c>
      <c r="E28" s="117">
        <v>0.37</v>
      </c>
      <c r="F28" s="117">
        <v>0.371</v>
      </c>
      <c r="G28" s="117">
        <v>0.372</v>
      </c>
      <c r="H28" s="117">
        <v>0.372</v>
      </c>
      <c r="I28" s="117">
        <v>0.373</v>
      </c>
      <c r="J28" s="117">
        <v>0.374</v>
      </c>
      <c r="K28" s="117">
        <v>0.375</v>
      </c>
      <c r="L28" s="117">
        <v>0.375</v>
      </c>
      <c r="M28" s="117">
        <v>0.376</v>
      </c>
    </row>
    <row r="29" spans="1:13" x14ac:dyDescent="0.25">
      <c r="A29" s="99">
        <v>22</v>
      </c>
      <c r="B29" s="117">
        <v>0.377</v>
      </c>
      <c r="C29" s="117">
        <v>0.378</v>
      </c>
      <c r="D29" s="117">
        <v>0.378</v>
      </c>
      <c r="E29" s="117">
        <v>0.379</v>
      </c>
      <c r="F29" s="117">
        <v>0.38</v>
      </c>
      <c r="G29" s="117">
        <v>0.38100000000000001</v>
      </c>
      <c r="H29" s="117">
        <v>0.38100000000000001</v>
      </c>
      <c r="I29" s="117">
        <v>0.38200000000000001</v>
      </c>
      <c r="J29" s="117">
        <v>0.38300000000000001</v>
      </c>
      <c r="K29" s="117">
        <v>0.38400000000000001</v>
      </c>
      <c r="L29" s="117">
        <v>0.38400000000000001</v>
      </c>
      <c r="M29" s="117">
        <v>0.38500000000000001</v>
      </c>
    </row>
    <row r="30" spans="1:13" x14ac:dyDescent="0.25">
      <c r="A30" s="99">
        <v>23</v>
      </c>
      <c r="B30" s="117">
        <v>0.38600000000000001</v>
      </c>
      <c r="C30" s="117">
        <v>0.38700000000000001</v>
      </c>
      <c r="D30" s="117">
        <v>0.38700000000000001</v>
      </c>
      <c r="E30" s="117">
        <v>0.38800000000000001</v>
      </c>
      <c r="F30" s="117">
        <v>0.38900000000000001</v>
      </c>
      <c r="G30" s="117">
        <v>0.39</v>
      </c>
      <c r="H30" s="117">
        <v>0.39100000000000001</v>
      </c>
      <c r="I30" s="117">
        <v>0.39100000000000001</v>
      </c>
      <c r="J30" s="117">
        <v>0.39200000000000002</v>
      </c>
      <c r="K30" s="117">
        <v>0.39300000000000002</v>
      </c>
      <c r="L30" s="117">
        <v>0.39400000000000002</v>
      </c>
      <c r="M30" s="117">
        <v>0.39400000000000002</v>
      </c>
    </row>
    <row r="31" spans="1:13" x14ac:dyDescent="0.25">
      <c r="A31" s="99">
        <v>24</v>
      </c>
      <c r="B31" s="117">
        <v>0.39500000000000002</v>
      </c>
      <c r="C31" s="117">
        <v>0.39600000000000002</v>
      </c>
      <c r="D31" s="117">
        <v>0.39700000000000002</v>
      </c>
      <c r="E31" s="117">
        <v>0.39800000000000002</v>
      </c>
      <c r="F31" s="117">
        <v>0.39800000000000002</v>
      </c>
      <c r="G31" s="117">
        <v>0.39900000000000002</v>
      </c>
      <c r="H31" s="117">
        <v>0.4</v>
      </c>
      <c r="I31" s="117">
        <v>0.40100000000000002</v>
      </c>
      <c r="J31" s="117">
        <v>0.40200000000000002</v>
      </c>
      <c r="K31" s="117">
        <v>0.40200000000000002</v>
      </c>
      <c r="L31" s="117">
        <v>0.40300000000000002</v>
      </c>
      <c r="M31" s="117">
        <v>0.40400000000000003</v>
      </c>
    </row>
    <row r="32" spans="1:13" x14ac:dyDescent="0.25">
      <c r="A32" s="99">
        <v>25</v>
      </c>
      <c r="B32" s="117">
        <v>0.40500000000000003</v>
      </c>
      <c r="C32" s="117">
        <v>0.40600000000000003</v>
      </c>
      <c r="D32" s="117">
        <v>0.40699999999999997</v>
      </c>
      <c r="E32" s="117">
        <v>0.40699999999999997</v>
      </c>
      <c r="F32" s="117">
        <v>0.40799999999999997</v>
      </c>
      <c r="G32" s="117">
        <v>0.40899999999999997</v>
      </c>
      <c r="H32" s="117">
        <v>0.41</v>
      </c>
      <c r="I32" s="117">
        <v>0.41099999999999998</v>
      </c>
      <c r="J32" s="117">
        <v>0.41199999999999998</v>
      </c>
      <c r="K32" s="117">
        <v>0.41199999999999998</v>
      </c>
      <c r="L32" s="117">
        <v>0.41299999999999998</v>
      </c>
      <c r="M32" s="117">
        <v>0.41399999999999998</v>
      </c>
    </row>
    <row r="33" spans="1:13" x14ac:dyDescent="0.25">
      <c r="A33" s="99">
        <v>26</v>
      </c>
      <c r="B33" s="117">
        <v>0.41499999999999998</v>
      </c>
      <c r="C33" s="117">
        <v>0.41599999999999998</v>
      </c>
      <c r="D33" s="117">
        <v>0.41699999999999998</v>
      </c>
      <c r="E33" s="117">
        <v>0.41799999999999998</v>
      </c>
      <c r="F33" s="117">
        <v>0.41799999999999998</v>
      </c>
      <c r="G33" s="117">
        <v>0.41899999999999998</v>
      </c>
      <c r="H33" s="117">
        <v>0.42</v>
      </c>
      <c r="I33" s="117">
        <v>0.42099999999999999</v>
      </c>
      <c r="J33" s="117">
        <v>0.42199999999999999</v>
      </c>
      <c r="K33" s="117">
        <v>0.42299999999999999</v>
      </c>
      <c r="L33" s="117">
        <v>0.42399999999999999</v>
      </c>
      <c r="M33" s="117">
        <v>0.42399999999999999</v>
      </c>
    </row>
    <row r="34" spans="1:13" x14ac:dyDescent="0.25">
      <c r="A34" s="99">
        <v>27</v>
      </c>
      <c r="B34" s="117">
        <v>0.42499999999999999</v>
      </c>
      <c r="C34" s="117">
        <v>0.42599999999999999</v>
      </c>
      <c r="D34" s="117">
        <v>0.42699999999999999</v>
      </c>
      <c r="E34" s="117">
        <v>0.42799999999999999</v>
      </c>
      <c r="F34" s="117">
        <v>0.42899999999999999</v>
      </c>
      <c r="G34" s="117">
        <v>0.43</v>
      </c>
      <c r="H34" s="117">
        <v>0.43099999999999999</v>
      </c>
      <c r="I34" s="117">
        <v>0.432</v>
      </c>
      <c r="J34" s="117">
        <v>0.433</v>
      </c>
      <c r="K34" s="117">
        <v>0.433</v>
      </c>
      <c r="L34" s="117">
        <v>0.434</v>
      </c>
      <c r="M34" s="117">
        <v>0.435</v>
      </c>
    </row>
    <row r="35" spans="1:13" x14ac:dyDescent="0.25">
      <c r="A35" s="99">
        <v>28</v>
      </c>
      <c r="B35" s="117">
        <v>0.436</v>
      </c>
      <c r="C35" s="117">
        <v>0.437</v>
      </c>
      <c r="D35" s="117">
        <v>0.438</v>
      </c>
      <c r="E35" s="117">
        <v>0.439</v>
      </c>
      <c r="F35" s="117">
        <v>0.44</v>
      </c>
      <c r="G35" s="117">
        <v>0.441</v>
      </c>
      <c r="H35" s="117">
        <v>0.442</v>
      </c>
      <c r="I35" s="117">
        <v>0.443</v>
      </c>
      <c r="J35" s="117">
        <v>0.44400000000000001</v>
      </c>
      <c r="K35" s="117">
        <v>0.44500000000000001</v>
      </c>
      <c r="L35" s="117">
        <v>0.44500000000000001</v>
      </c>
      <c r="M35" s="117">
        <v>0.44600000000000001</v>
      </c>
    </row>
    <row r="36" spans="1:13" x14ac:dyDescent="0.25">
      <c r="A36" s="99">
        <v>29</v>
      </c>
      <c r="B36" s="117">
        <v>0.44700000000000001</v>
      </c>
      <c r="C36" s="117">
        <v>0.44800000000000001</v>
      </c>
      <c r="D36" s="117">
        <v>0.44900000000000001</v>
      </c>
      <c r="E36" s="117">
        <v>0.45</v>
      </c>
      <c r="F36" s="117">
        <v>0.45100000000000001</v>
      </c>
      <c r="G36" s="117">
        <v>0.45200000000000001</v>
      </c>
      <c r="H36" s="117">
        <v>0.45300000000000001</v>
      </c>
      <c r="I36" s="117">
        <v>0.45400000000000001</v>
      </c>
      <c r="J36" s="117">
        <v>0.45500000000000002</v>
      </c>
      <c r="K36" s="117">
        <v>0.45600000000000002</v>
      </c>
      <c r="L36" s="117">
        <v>0.45700000000000002</v>
      </c>
      <c r="M36" s="117">
        <v>0.45800000000000002</v>
      </c>
    </row>
    <row r="37" spans="1:13" x14ac:dyDescent="0.25">
      <c r="A37" s="99">
        <v>30</v>
      </c>
      <c r="B37" s="117">
        <v>0.45900000000000002</v>
      </c>
      <c r="C37" s="117">
        <v>0.46</v>
      </c>
      <c r="D37" s="117">
        <v>0.46100000000000002</v>
      </c>
      <c r="E37" s="117">
        <v>0.46200000000000002</v>
      </c>
      <c r="F37" s="117">
        <v>0.46300000000000002</v>
      </c>
      <c r="G37" s="117">
        <v>0.46400000000000002</v>
      </c>
      <c r="H37" s="117">
        <v>0.46500000000000002</v>
      </c>
      <c r="I37" s="117">
        <v>0.46600000000000003</v>
      </c>
      <c r="J37" s="117">
        <v>0.46700000000000003</v>
      </c>
      <c r="K37" s="117">
        <v>0.46800000000000003</v>
      </c>
      <c r="L37" s="117">
        <v>0.46899999999999997</v>
      </c>
      <c r="M37" s="117">
        <v>0.47</v>
      </c>
    </row>
    <row r="38" spans="1:13" x14ac:dyDescent="0.25">
      <c r="A38" s="99">
        <v>31</v>
      </c>
      <c r="B38" s="117">
        <v>0.47099999999999997</v>
      </c>
      <c r="C38" s="117">
        <v>0.47199999999999998</v>
      </c>
      <c r="D38" s="117">
        <v>0.47299999999999998</v>
      </c>
      <c r="E38" s="117">
        <v>0.47399999999999998</v>
      </c>
      <c r="F38" s="117">
        <v>0.47499999999999998</v>
      </c>
      <c r="G38" s="117">
        <v>0.47599999999999998</v>
      </c>
      <c r="H38" s="117">
        <v>0.47699999999999998</v>
      </c>
      <c r="I38" s="117">
        <v>0.47799999999999998</v>
      </c>
      <c r="J38" s="117">
        <v>0.47899999999999998</v>
      </c>
      <c r="K38" s="117">
        <v>0.48</v>
      </c>
      <c r="L38" s="117">
        <v>0.48099999999999998</v>
      </c>
      <c r="M38" s="117">
        <v>0.48199999999999998</v>
      </c>
    </row>
    <row r="39" spans="1:13" x14ac:dyDescent="0.25">
      <c r="A39" s="99">
        <v>32</v>
      </c>
      <c r="B39" s="117">
        <v>0.48299999999999998</v>
      </c>
      <c r="C39" s="117">
        <v>0.48499999999999999</v>
      </c>
      <c r="D39" s="117">
        <v>0.48599999999999999</v>
      </c>
      <c r="E39" s="117">
        <v>0.48699999999999999</v>
      </c>
      <c r="F39" s="117">
        <v>0.48799999999999999</v>
      </c>
      <c r="G39" s="117">
        <v>0.48899999999999999</v>
      </c>
      <c r="H39" s="117">
        <v>0.49</v>
      </c>
      <c r="I39" s="117">
        <v>0.49099999999999999</v>
      </c>
      <c r="J39" s="117">
        <v>0.49199999999999999</v>
      </c>
      <c r="K39" s="117">
        <v>0.49299999999999999</v>
      </c>
      <c r="L39" s="117">
        <v>0.49399999999999999</v>
      </c>
      <c r="M39" s="117">
        <v>0.495</v>
      </c>
    </row>
    <row r="40" spans="1:13" x14ac:dyDescent="0.25">
      <c r="A40" s="99">
        <v>33</v>
      </c>
      <c r="B40" s="117">
        <v>0.496</v>
      </c>
      <c r="C40" s="117">
        <v>0.498</v>
      </c>
      <c r="D40" s="117">
        <v>0.499</v>
      </c>
      <c r="E40" s="117">
        <v>0.5</v>
      </c>
      <c r="F40" s="117">
        <v>0.501</v>
      </c>
      <c r="G40" s="117">
        <v>0.502</v>
      </c>
      <c r="H40" s="117">
        <v>0.503</v>
      </c>
      <c r="I40" s="117">
        <v>0.504</v>
      </c>
      <c r="J40" s="117">
        <v>0.505</v>
      </c>
      <c r="K40" s="117">
        <v>0.50700000000000001</v>
      </c>
      <c r="L40" s="117">
        <v>0.50800000000000001</v>
      </c>
      <c r="M40" s="117">
        <v>0.50900000000000001</v>
      </c>
    </row>
    <row r="41" spans="1:13" x14ac:dyDescent="0.25">
      <c r="A41" s="99">
        <v>34</v>
      </c>
      <c r="B41" s="117">
        <v>0.51</v>
      </c>
      <c r="C41" s="117">
        <v>0.51100000000000001</v>
      </c>
      <c r="D41" s="117">
        <v>0.51200000000000001</v>
      </c>
      <c r="E41" s="117">
        <v>0.51300000000000001</v>
      </c>
      <c r="F41" s="117">
        <v>0.51500000000000001</v>
      </c>
      <c r="G41" s="117">
        <v>0.51600000000000001</v>
      </c>
      <c r="H41" s="117">
        <v>0.51700000000000002</v>
      </c>
      <c r="I41" s="117">
        <v>0.51800000000000002</v>
      </c>
      <c r="J41" s="117">
        <v>0.51900000000000002</v>
      </c>
      <c r="K41" s="117">
        <v>0.52</v>
      </c>
      <c r="L41" s="117">
        <v>0.52200000000000002</v>
      </c>
      <c r="M41" s="117">
        <v>0.52300000000000002</v>
      </c>
    </row>
    <row r="42" spans="1:13" x14ac:dyDescent="0.25">
      <c r="A42" s="99">
        <v>35</v>
      </c>
      <c r="B42" s="117">
        <v>0.52400000000000002</v>
      </c>
      <c r="C42" s="117">
        <v>0.52500000000000002</v>
      </c>
      <c r="D42" s="117">
        <v>0.52600000000000002</v>
      </c>
      <c r="E42" s="117">
        <v>0.52800000000000002</v>
      </c>
      <c r="F42" s="117">
        <v>0.52900000000000003</v>
      </c>
      <c r="G42" s="117">
        <v>0.53</v>
      </c>
      <c r="H42" s="117">
        <v>0.53100000000000003</v>
      </c>
      <c r="I42" s="117">
        <v>0.53300000000000003</v>
      </c>
      <c r="J42" s="117">
        <v>0.53400000000000003</v>
      </c>
      <c r="K42" s="117">
        <v>0.53500000000000003</v>
      </c>
      <c r="L42" s="117">
        <v>0.53600000000000003</v>
      </c>
      <c r="M42" s="117">
        <v>0.53700000000000003</v>
      </c>
    </row>
    <row r="43" spans="1:13" x14ac:dyDescent="0.25">
      <c r="A43" s="99">
        <v>36</v>
      </c>
      <c r="B43" s="117">
        <v>0.53900000000000003</v>
      </c>
      <c r="C43" s="117">
        <v>0.54</v>
      </c>
      <c r="D43" s="117">
        <v>0.54100000000000004</v>
      </c>
      <c r="E43" s="117">
        <v>0.54200000000000004</v>
      </c>
      <c r="F43" s="117">
        <v>0.54400000000000004</v>
      </c>
      <c r="G43" s="117">
        <v>0.54500000000000004</v>
      </c>
      <c r="H43" s="117">
        <v>0.54600000000000004</v>
      </c>
      <c r="I43" s="117">
        <v>0.54800000000000004</v>
      </c>
      <c r="J43" s="117">
        <v>0.54900000000000004</v>
      </c>
      <c r="K43" s="117">
        <v>0.55000000000000004</v>
      </c>
      <c r="L43" s="117">
        <v>0.55100000000000005</v>
      </c>
      <c r="M43" s="117">
        <v>0.55300000000000005</v>
      </c>
    </row>
    <row r="44" spans="1:13" x14ac:dyDescent="0.25">
      <c r="A44" s="99">
        <v>37</v>
      </c>
      <c r="B44" s="117">
        <v>0.55400000000000005</v>
      </c>
      <c r="C44" s="117">
        <v>0.55500000000000005</v>
      </c>
      <c r="D44" s="117">
        <v>0.55700000000000005</v>
      </c>
      <c r="E44" s="117">
        <v>0.55800000000000005</v>
      </c>
      <c r="F44" s="117">
        <v>0.55900000000000005</v>
      </c>
      <c r="G44" s="117">
        <v>0.56100000000000005</v>
      </c>
      <c r="H44" s="117">
        <v>0.56200000000000006</v>
      </c>
      <c r="I44" s="117">
        <v>0.56299999999999994</v>
      </c>
      <c r="J44" s="117">
        <v>0.56499999999999995</v>
      </c>
      <c r="K44" s="117">
        <v>0.56599999999999995</v>
      </c>
      <c r="L44" s="117">
        <v>0.56699999999999995</v>
      </c>
      <c r="M44" s="117">
        <v>0.56899999999999995</v>
      </c>
    </row>
    <row r="45" spans="1:13" x14ac:dyDescent="0.25">
      <c r="A45" s="99">
        <v>38</v>
      </c>
      <c r="B45" s="117">
        <v>0.56999999999999995</v>
      </c>
      <c r="C45" s="117">
        <v>0.57099999999999995</v>
      </c>
      <c r="D45" s="117">
        <v>0.57299999999999995</v>
      </c>
      <c r="E45" s="117">
        <v>0.57399999999999995</v>
      </c>
      <c r="F45" s="117">
        <v>0.57499999999999996</v>
      </c>
      <c r="G45" s="117">
        <v>0.57699999999999996</v>
      </c>
      <c r="H45" s="117">
        <v>0.57799999999999996</v>
      </c>
      <c r="I45" s="117">
        <v>0.57999999999999996</v>
      </c>
      <c r="J45" s="117">
        <v>0.58099999999999996</v>
      </c>
      <c r="K45" s="117">
        <v>0.58199999999999996</v>
      </c>
      <c r="L45" s="117">
        <v>0.58399999999999996</v>
      </c>
      <c r="M45" s="117">
        <v>0.58499999999999996</v>
      </c>
    </row>
    <row r="46" spans="1:13" x14ac:dyDescent="0.25">
      <c r="A46" s="99">
        <v>39</v>
      </c>
      <c r="B46" s="117">
        <v>0.58599999999999997</v>
      </c>
      <c r="C46" s="117">
        <v>0.58799999999999997</v>
      </c>
      <c r="D46" s="117">
        <v>0.58899999999999997</v>
      </c>
      <c r="E46" s="117">
        <v>0.59099999999999997</v>
      </c>
      <c r="F46" s="117">
        <v>0.59199999999999997</v>
      </c>
      <c r="G46" s="117">
        <v>0.59399999999999997</v>
      </c>
      <c r="H46" s="117">
        <v>0.59499999999999997</v>
      </c>
      <c r="I46" s="117">
        <v>0.59699999999999998</v>
      </c>
      <c r="J46" s="117">
        <v>0.59799999999999998</v>
      </c>
      <c r="K46" s="117">
        <v>0.59899999999999998</v>
      </c>
      <c r="L46" s="117">
        <v>0.60099999999999998</v>
      </c>
      <c r="M46" s="117">
        <v>0.60199999999999998</v>
      </c>
    </row>
    <row r="47" spans="1:13" x14ac:dyDescent="0.25">
      <c r="A47" s="99">
        <v>40</v>
      </c>
      <c r="B47" s="117">
        <v>0.60399999999999998</v>
      </c>
      <c r="C47" s="117">
        <v>0.60499999999999998</v>
      </c>
      <c r="D47" s="117">
        <v>0.60699999999999998</v>
      </c>
      <c r="E47" s="117">
        <v>0.60799999999999998</v>
      </c>
      <c r="F47" s="117">
        <v>0.61</v>
      </c>
      <c r="G47" s="117">
        <v>0.61099999999999999</v>
      </c>
      <c r="H47" s="117">
        <v>0.61299999999999999</v>
      </c>
      <c r="I47" s="117">
        <v>0.61399999999999999</v>
      </c>
      <c r="J47" s="117">
        <v>0.61599999999999999</v>
      </c>
      <c r="K47" s="117">
        <v>0.61699999999999999</v>
      </c>
      <c r="L47" s="117">
        <v>0.61899999999999999</v>
      </c>
      <c r="M47" s="117">
        <v>0.62</v>
      </c>
    </row>
    <row r="48" spans="1:13" x14ac:dyDescent="0.25">
      <c r="A48" s="99">
        <v>41</v>
      </c>
      <c r="B48" s="117">
        <v>0.622</v>
      </c>
      <c r="C48" s="117">
        <v>0.624</v>
      </c>
      <c r="D48" s="117">
        <v>0.625</v>
      </c>
      <c r="E48" s="117">
        <v>0.627</v>
      </c>
      <c r="F48" s="117">
        <v>0.628</v>
      </c>
      <c r="G48" s="117">
        <v>0.63</v>
      </c>
      <c r="H48" s="117">
        <v>0.63100000000000001</v>
      </c>
      <c r="I48" s="117">
        <v>0.63300000000000001</v>
      </c>
      <c r="J48" s="117">
        <v>0.63500000000000001</v>
      </c>
      <c r="K48" s="117">
        <v>0.63600000000000001</v>
      </c>
      <c r="L48" s="117">
        <v>0.63800000000000001</v>
      </c>
      <c r="M48" s="117">
        <v>0.63900000000000001</v>
      </c>
    </row>
    <row r="49" spans="1:13" x14ac:dyDescent="0.25">
      <c r="A49" s="99">
        <v>42</v>
      </c>
      <c r="B49" s="117">
        <v>0.64100000000000001</v>
      </c>
      <c r="C49" s="117">
        <v>0.64300000000000002</v>
      </c>
      <c r="D49" s="117">
        <v>0.64400000000000002</v>
      </c>
      <c r="E49" s="117">
        <v>0.64600000000000002</v>
      </c>
      <c r="F49" s="117">
        <v>0.64800000000000002</v>
      </c>
      <c r="G49" s="117">
        <v>0.64900000000000002</v>
      </c>
      <c r="H49" s="117">
        <v>0.65100000000000002</v>
      </c>
      <c r="I49" s="117">
        <v>0.65300000000000002</v>
      </c>
      <c r="J49" s="117">
        <v>0.65400000000000003</v>
      </c>
      <c r="K49" s="117">
        <v>0.65600000000000003</v>
      </c>
      <c r="L49" s="117">
        <v>0.65800000000000003</v>
      </c>
      <c r="M49" s="117">
        <v>0.65900000000000003</v>
      </c>
    </row>
    <row r="50" spans="1:13" x14ac:dyDescent="0.25">
      <c r="A50" s="99">
        <v>43</v>
      </c>
      <c r="B50" s="117">
        <v>0.66100000000000003</v>
      </c>
      <c r="C50" s="117">
        <v>0.66300000000000003</v>
      </c>
      <c r="D50" s="117">
        <v>0.66400000000000003</v>
      </c>
      <c r="E50" s="117">
        <v>0.66600000000000004</v>
      </c>
      <c r="F50" s="117">
        <v>0.66800000000000004</v>
      </c>
      <c r="G50" s="117">
        <v>0.67</v>
      </c>
      <c r="H50" s="117">
        <v>0.67100000000000004</v>
      </c>
      <c r="I50" s="117">
        <v>0.67300000000000004</v>
      </c>
      <c r="J50" s="117">
        <v>0.67500000000000004</v>
      </c>
      <c r="K50" s="117">
        <v>0.67700000000000005</v>
      </c>
      <c r="L50" s="117">
        <v>0.67800000000000005</v>
      </c>
      <c r="M50" s="117">
        <v>0.68</v>
      </c>
    </row>
    <row r="51" spans="1:13" x14ac:dyDescent="0.25">
      <c r="A51" s="99">
        <v>44</v>
      </c>
      <c r="B51" s="117">
        <v>0.68200000000000005</v>
      </c>
      <c r="C51" s="117">
        <v>0.68400000000000005</v>
      </c>
      <c r="D51" s="117">
        <v>0.68500000000000005</v>
      </c>
      <c r="E51" s="117">
        <v>0.68700000000000006</v>
      </c>
      <c r="F51" s="117">
        <v>0.68899999999999995</v>
      </c>
      <c r="G51" s="117">
        <v>0.69099999999999995</v>
      </c>
      <c r="H51" s="117">
        <v>0.69299999999999995</v>
      </c>
      <c r="I51" s="117">
        <v>0.69499999999999995</v>
      </c>
      <c r="J51" s="117">
        <v>0.69599999999999995</v>
      </c>
      <c r="K51" s="117">
        <v>0.69799999999999995</v>
      </c>
      <c r="L51" s="117">
        <v>0.7</v>
      </c>
      <c r="M51" s="117">
        <v>0.70199999999999996</v>
      </c>
    </row>
    <row r="52" spans="1:13" x14ac:dyDescent="0.25">
      <c r="A52" s="99">
        <v>45</v>
      </c>
      <c r="B52" s="117">
        <v>0.70399999999999996</v>
      </c>
      <c r="C52" s="117">
        <v>0.70599999999999996</v>
      </c>
      <c r="D52" s="117">
        <v>0.70799999999999996</v>
      </c>
      <c r="E52" s="117">
        <v>0.70899999999999996</v>
      </c>
      <c r="F52" s="117">
        <v>0.71099999999999997</v>
      </c>
      <c r="G52" s="117">
        <v>0.71299999999999997</v>
      </c>
      <c r="H52" s="117">
        <v>0.71499999999999997</v>
      </c>
      <c r="I52" s="117">
        <v>0.71699999999999997</v>
      </c>
      <c r="J52" s="117">
        <v>0.71899999999999997</v>
      </c>
      <c r="K52" s="117">
        <v>0.72099999999999997</v>
      </c>
      <c r="L52" s="117">
        <v>0.72299999999999998</v>
      </c>
      <c r="M52" s="117">
        <v>0.72499999999999998</v>
      </c>
    </row>
    <row r="53" spans="1:13" x14ac:dyDescent="0.25">
      <c r="A53" s="99">
        <v>46</v>
      </c>
      <c r="B53" s="117">
        <v>0.72699999999999998</v>
      </c>
      <c r="C53" s="117">
        <v>0.72899999999999998</v>
      </c>
      <c r="D53" s="117">
        <v>0.73099999999999998</v>
      </c>
      <c r="E53" s="117">
        <v>0.73299999999999998</v>
      </c>
      <c r="F53" s="117">
        <v>0.73499999999999999</v>
      </c>
      <c r="G53" s="117">
        <v>0.73699999999999999</v>
      </c>
      <c r="H53" s="117">
        <v>0.73899999999999999</v>
      </c>
      <c r="I53" s="117">
        <v>0.74099999999999999</v>
      </c>
      <c r="J53" s="117">
        <v>0.74299999999999999</v>
      </c>
      <c r="K53" s="117">
        <v>0.745</v>
      </c>
      <c r="L53" s="117">
        <v>0.747</v>
      </c>
      <c r="M53" s="117">
        <v>0.749</v>
      </c>
    </row>
    <row r="54" spans="1:13" x14ac:dyDescent="0.25">
      <c r="A54" s="99">
        <v>47</v>
      </c>
      <c r="B54" s="117">
        <v>0.751</v>
      </c>
      <c r="C54" s="117">
        <v>0.753</v>
      </c>
      <c r="D54" s="117">
        <v>0.755</v>
      </c>
      <c r="E54" s="117">
        <v>0.75700000000000001</v>
      </c>
      <c r="F54" s="117">
        <v>0.75900000000000001</v>
      </c>
      <c r="G54" s="117">
        <v>0.76200000000000001</v>
      </c>
      <c r="H54" s="117">
        <v>0.76400000000000001</v>
      </c>
      <c r="I54" s="117">
        <v>0.76600000000000001</v>
      </c>
      <c r="J54" s="117">
        <v>0.76800000000000002</v>
      </c>
      <c r="K54" s="117">
        <v>0.77</v>
      </c>
      <c r="L54" s="117">
        <v>0.77200000000000002</v>
      </c>
      <c r="M54" s="117">
        <v>0.77400000000000002</v>
      </c>
    </row>
    <row r="55" spans="1:13" x14ac:dyDescent="0.25">
      <c r="A55" s="99">
        <v>48</v>
      </c>
      <c r="B55" s="117">
        <v>0.77700000000000002</v>
      </c>
      <c r="C55" s="117">
        <v>0.77900000000000003</v>
      </c>
      <c r="D55" s="117">
        <v>0.78100000000000003</v>
      </c>
      <c r="E55" s="117">
        <v>0.78300000000000003</v>
      </c>
      <c r="F55" s="117">
        <v>0.78500000000000003</v>
      </c>
      <c r="G55" s="117">
        <v>0.78800000000000003</v>
      </c>
      <c r="H55" s="117">
        <v>0.79</v>
      </c>
      <c r="I55" s="117">
        <v>0.79200000000000004</v>
      </c>
      <c r="J55" s="117">
        <v>0.79400000000000004</v>
      </c>
      <c r="K55" s="117">
        <v>0.79700000000000004</v>
      </c>
      <c r="L55" s="117">
        <v>0.79900000000000004</v>
      </c>
      <c r="M55" s="117">
        <v>0.80100000000000005</v>
      </c>
    </row>
    <row r="56" spans="1:13" x14ac:dyDescent="0.25">
      <c r="A56" s="99">
        <v>49</v>
      </c>
      <c r="B56" s="117">
        <v>0.80300000000000005</v>
      </c>
      <c r="C56" s="117">
        <v>0.80600000000000005</v>
      </c>
      <c r="D56" s="117">
        <v>0.80800000000000005</v>
      </c>
      <c r="E56" s="117">
        <v>0.81100000000000005</v>
      </c>
      <c r="F56" s="117">
        <v>0.81299999999999994</v>
      </c>
      <c r="G56" s="117">
        <v>0.81499999999999995</v>
      </c>
      <c r="H56" s="117">
        <v>0.81799999999999995</v>
      </c>
      <c r="I56" s="117">
        <v>0.82</v>
      </c>
      <c r="J56" s="117">
        <v>0.82199999999999995</v>
      </c>
      <c r="K56" s="117">
        <v>0.82499999999999996</v>
      </c>
      <c r="L56" s="117">
        <v>0.82699999999999996</v>
      </c>
      <c r="M56" s="117">
        <v>0.82899999999999996</v>
      </c>
    </row>
    <row r="57" spans="1:13" x14ac:dyDescent="0.25">
      <c r="A57" s="99">
        <v>50</v>
      </c>
      <c r="B57" s="117">
        <v>0.83199999999999996</v>
      </c>
      <c r="C57" s="117">
        <v>0.83399999999999996</v>
      </c>
      <c r="D57" s="117">
        <v>0.83699999999999997</v>
      </c>
      <c r="E57" s="117">
        <v>0.83899999999999997</v>
      </c>
      <c r="F57" s="117">
        <v>0.84199999999999997</v>
      </c>
      <c r="G57" s="117">
        <v>0.84399999999999997</v>
      </c>
      <c r="H57" s="117">
        <v>0.84699999999999998</v>
      </c>
      <c r="I57" s="117">
        <v>0.84899999999999998</v>
      </c>
      <c r="J57" s="117">
        <v>0.85199999999999998</v>
      </c>
      <c r="K57" s="117">
        <v>0.85399999999999998</v>
      </c>
      <c r="L57" s="117">
        <v>0.85699999999999998</v>
      </c>
      <c r="M57" s="117">
        <v>0.85899999999999999</v>
      </c>
    </row>
    <row r="58" spans="1:13" x14ac:dyDescent="0.25">
      <c r="A58" s="99">
        <v>51</v>
      </c>
      <c r="B58" s="117">
        <v>0.86199999999999999</v>
      </c>
      <c r="C58" s="117">
        <v>0.86499999999999999</v>
      </c>
      <c r="D58" s="117">
        <v>0.86699999999999999</v>
      </c>
      <c r="E58" s="117">
        <v>0.87</v>
      </c>
      <c r="F58" s="117">
        <v>0.873</v>
      </c>
      <c r="G58" s="117">
        <v>0.875</v>
      </c>
      <c r="H58" s="117">
        <v>0.878</v>
      </c>
      <c r="I58" s="117">
        <v>0.88</v>
      </c>
      <c r="J58" s="117">
        <v>0.88300000000000001</v>
      </c>
      <c r="K58" s="117">
        <v>0.88600000000000001</v>
      </c>
      <c r="L58" s="117">
        <v>0.88800000000000001</v>
      </c>
      <c r="M58" s="117">
        <v>0.89100000000000001</v>
      </c>
    </row>
    <row r="59" spans="1:13" x14ac:dyDescent="0.25">
      <c r="A59" s="99">
        <v>52</v>
      </c>
      <c r="B59" s="117">
        <v>0.89400000000000002</v>
      </c>
      <c r="C59" s="117">
        <v>0.89700000000000002</v>
      </c>
      <c r="D59" s="117">
        <v>0.89900000000000002</v>
      </c>
      <c r="E59" s="117">
        <v>0.90200000000000002</v>
      </c>
      <c r="F59" s="117">
        <v>0.90500000000000003</v>
      </c>
      <c r="G59" s="117">
        <v>0.90800000000000003</v>
      </c>
      <c r="H59" s="117">
        <v>0.91100000000000003</v>
      </c>
      <c r="I59" s="117">
        <v>0.91300000000000003</v>
      </c>
      <c r="J59" s="117">
        <v>0.91600000000000004</v>
      </c>
      <c r="K59" s="117">
        <v>0.91900000000000004</v>
      </c>
      <c r="L59" s="117">
        <v>0.92200000000000004</v>
      </c>
      <c r="M59" s="117">
        <v>0.92500000000000004</v>
      </c>
    </row>
    <row r="60" spans="1:13" x14ac:dyDescent="0.25">
      <c r="A60" s="99">
        <v>53</v>
      </c>
      <c r="B60" s="117">
        <v>0.92800000000000005</v>
      </c>
      <c r="C60" s="117">
        <v>0.93100000000000005</v>
      </c>
      <c r="D60" s="117">
        <v>0.93400000000000005</v>
      </c>
      <c r="E60" s="117">
        <v>0.93700000000000006</v>
      </c>
      <c r="F60" s="117">
        <v>0.94</v>
      </c>
      <c r="G60" s="117">
        <v>0.94299999999999995</v>
      </c>
      <c r="H60" s="117">
        <v>0.94599999999999995</v>
      </c>
      <c r="I60" s="117">
        <v>0.94799999999999995</v>
      </c>
      <c r="J60" s="117">
        <v>0.95099999999999996</v>
      </c>
      <c r="K60" s="117">
        <v>0.95399999999999996</v>
      </c>
      <c r="L60" s="117">
        <v>0.95699999999999996</v>
      </c>
      <c r="M60" s="117">
        <v>0.96</v>
      </c>
    </row>
    <row r="61" spans="1:13" x14ac:dyDescent="0.25">
      <c r="A61" s="99">
        <v>54</v>
      </c>
      <c r="B61" s="117">
        <v>0.96299999999999997</v>
      </c>
      <c r="C61" s="117">
        <v>0.96699999999999997</v>
      </c>
      <c r="D61" s="117">
        <v>0.97</v>
      </c>
      <c r="E61" s="117">
        <v>0.97299999999999998</v>
      </c>
      <c r="F61" s="117">
        <v>0.97599999999999998</v>
      </c>
      <c r="G61" s="117">
        <v>0.97899999999999998</v>
      </c>
      <c r="H61" s="117">
        <v>0.98299999999999998</v>
      </c>
      <c r="I61" s="117">
        <v>0.98599999999999999</v>
      </c>
      <c r="J61" s="117">
        <v>0.98899999999999999</v>
      </c>
      <c r="K61" s="117">
        <v>0.99199999999999999</v>
      </c>
      <c r="L61" s="117">
        <v>0.995</v>
      </c>
      <c r="M61" s="117">
        <v>0.998</v>
      </c>
    </row>
    <row r="62" spans="1:13" x14ac:dyDescent="0.25">
      <c r="A62" s="99">
        <v>55</v>
      </c>
      <c r="B62" s="117">
        <v>1</v>
      </c>
      <c r="C62" s="117"/>
      <c r="D62" s="117"/>
      <c r="E62" s="117"/>
      <c r="F62" s="117"/>
      <c r="G62" s="117"/>
      <c r="H62" s="117"/>
      <c r="I62" s="117"/>
      <c r="J62" s="117"/>
      <c r="K62" s="117"/>
      <c r="L62" s="117"/>
      <c r="M62" s="117"/>
    </row>
  </sheetData>
  <sheetProtection algorithmName="SHA-512" hashValue="WBTgysXrBntIJ41Cdelsvvf4ATynz+QTHQU31IwxmMWZAHpWHP/+Bz+VQSgDMxGB4thzZr1iohhdpTU/cEoZbA==" saltValue="oDPa6ZzDWzXl0j+5BBE9ew==" spinCount="100000" sheet="1" objects="1" scenarios="1"/>
  <conditionalFormatting sqref="A6:A21">
    <cfRule type="expression" dxfId="41" priority="7" stopIfTrue="1">
      <formula>MOD(ROW(),2)=0</formula>
    </cfRule>
    <cfRule type="expression" dxfId="40" priority="8" stopIfTrue="1">
      <formula>MOD(ROW(),2)&lt;&gt;0</formula>
    </cfRule>
  </conditionalFormatting>
  <conditionalFormatting sqref="A26:A62">
    <cfRule type="expression" dxfId="39" priority="1" stopIfTrue="1">
      <formula>MOD(ROW(),2)=0</formula>
    </cfRule>
    <cfRule type="expression" dxfId="38" priority="2" stopIfTrue="1">
      <formula>MOD(ROW(),2)&lt;&gt;0</formula>
    </cfRule>
  </conditionalFormatting>
  <conditionalFormatting sqref="B17:B21">
    <cfRule type="expression" dxfId="37" priority="5" stopIfTrue="1">
      <formula>MOD(ROW(),2)=0</formula>
    </cfRule>
    <cfRule type="expression" dxfId="36" priority="6" stopIfTrue="1">
      <formula>MOD(ROW(),2)&lt;&gt;0</formula>
    </cfRule>
  </conditionalFormatting>
  <conditionalFormatting sqref="B6:M21">
    <cfRule type="expression" dxfId="35" priority="17" stopIfTrue="1">
      <formula>MOD(ROW(),2)=0</formula>
    </cfRule>
    <cfRule type="expression" dxfId="34" priority="18" stopIfTrue="1">
      <formula>MOD(ROW(),2)&lt;&gt;0</formula>
    </cfRule>
  </conditionalFormatting>
  <conditionalFormatting sqref="B26:M62">
    <cfRule type="expression" dxfId="33" priority="3" stopIfTrue="1">
      <formula>MOD(ROW(),2)=0</formula>
    </cfRule>
    <cfRule type="expression" dxfId="32" priority="4" stopIfTrue="1">
      <formula>MOD(ROW(),2)&lt;&gt;0</formula>
    </cfRule>
  </conditionalFormatting>
  <hyperlinks>
    <hyperlink ref="B24" location="Assumptions!A1" display="Assumptions" xr:uid="{62A18446-76D7-43CE-B504-5F6A2240C9A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13"/>
  <dimension ref="A1:M7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Abatement - x-821</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75</v>
      </c>
      <c r="C8" s="161"/>
      <c r="D8" s="161"/>
      <c r="E8" s="161"/>
      <c r="F8" s="161"/>
      <c r="G8" s="161"/>
      <c r="H8" s="161"/>
      <c r="I8" s="161"/>
      <c r="J8" s="161"/>
      <c r="K8" s="161"/>
      <c r="L8" s="161"/>
      <c r="M8" s="161"/>
    </row>
    <row r="9" spans="1:13" x14ac:dyDescent="0.25">
      <c r="A9" s="85" t="s">
        <v>282</v>
      </c>
      <c r="B9" s="161" t="s">
        <v>632</v>
      </c>
      <c r="C9" s="161"/>
      <c r="D9" s="161"/>
      <c r="E9" s="161"/>
      <c r="F9" s="161"/>
      <c r="G9" s="161"/>
      <c r="H9" s="161"/>
      <c r="I9" s="161"/>
      <c r="J9" s="161"/>
      <c r="K9" s="161"/>
      <c r="L9" s="161"/>
      <c r="M9" s="161"/>
    </row>
    <row r="10" spans="1:13" x14ac:dyDescent="0.25">
      <c r="A10" s="85" t="s">
        <v>6</v>
      </c>
      <c r="B10" s="161" t="s">
        <v>649</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634</v>
      </c>
      <c r="C12" s="161"/>
      <c r="D12" s="161"/>
      <c r="E12" s="161"/>
      <c r="F12" s="161"/>
      <c r="G12" s="161"/>
      <c r="H12" s="161"/>
      <c r="I12" s="161"/>
      <c r="J12" s="161"/>
      <c r="K12" s="161"/>
      <c r="L12" s="161"/>
      <c r="M12" s="161"/>
    </row>
    <row r="13" spans="1:13" x14ac:dyDescent="0.25">
      <c r="A13" s="85" t="s">
        <v>289</v>
      </c>
      <c r="B13" s="161">
        <v>1</v>
      </c>
      <c r="C13" s="161"/>
      <c r="D13" s="161"/>
      <c r="E13" s="161"/>
      <c r="F13" s="161"/>
      <c r="G13" s="161"/>
      <c r="H13" s="161"/>
      <c r="I13" s="161"/>
      <c r="J13" s="161"/>
      <c r="K13" s="161"/>
      <c r="L13" s="161"/>
      <c r="M13" s="161"/>
    </row>
    <row r="14" spans="1:13" x14ac:dyDescent="0.25">
      <c r="A14" s="85" t="s">
        <v>291</v>
      </c>
      <c r="B14" s="161">
        <v>821</v>
      </c>
      <c r="C14" s="161"/>
      <c r="D14" s="161"/>
      <c r="E14" s="161"/>
      <c r="F14" s="161"/>
      <c r="G14" s="161"/>
      <c r="H14" s="161"/>
      <c r="I14" s="161"/>
      <c r="J14" s="161"/>
      <c r="K14" s="161"/>
      <c r="L14" s="161"/>
      <c r="M14" s="161"/>
    </row>
    <row r="15" spans="1:13" x14ac:dyDescent="0.25">
      <c r="A15" s="85" t="s">
        <v>293</v>
      </c>
      <c r="B15" s="161" t="s">
        <v>650</v>
      </c>
      <c r="C15" s="161"/>
      <c r="D15" s="161"/>
      <c r="E15" s="161"/>
      <c r="F15" s="161"/>
      <c r="G15" s="161"/>
      <c r="H15" s="161"/>
      <c r="I15" s="161"/>
      <c r="J15" s="161"/>
      <c r="K15" s="161"/>
      <c r="L15" s="161"/>
      <c r="M15" s="161"/>
    </row>
    <row r="16" spans="1:13" x14ac:dyDescent="0.25">
      <c r="A16" s="85" t="s">
        <v>295</v>
      </c>
      <c r="B16" s="161" t="s">
        <v>651</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45135</v>
      </c>
      <c r="C18" s="161"/>
      <c r="D18" s="161"/>
      <c r="E18" s="161"/>
      <c r="F18" s="161"/>
      <c r="G18" s="161"/>
      <c r="H18" s="161"/>
      <c r="I18" s="161"/>
      <c r="J18" s="161"/>
      <c r="K18" s="161"/>
      <c r="L18" s="161"/>
      <c r="M18" s="161"/>
    </row>
    <row r="19" spans="1:13" x14ac:dyDescent="0.25">
      <c r="A19" s="85" t="s">
        <v>301</v>
      </c>
      <c r="B19" s="162">
        <v>45200</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16</v>
      </c>
      <c r="B27" s="119">
        <v>1.9099999999999999E-2</v>
      </c>
      <c r="C27" s="119">
        <v>1.9099999999999999E-2</v>
      </c>
      <c r="D27" s="119">
        <v>1.9199999999999998E-2</v>
      </c>
      <c r="E27" s="119">
        <v>1.9199999999999998E-2</v>
      </c>
      <c r="F27" s="119">
        <v>1.9199999999999998E-2</v>
      </c>
      <c r="G27" s="119">
        <v>1.9300000000000001E-2</v>
      </c>
      <c r="H27" s="119">
        <v>1.9300000000000001E-2</v>
      </c>
      <c r="I27" s="119">
        <v>1.9300000000000001E-2</v>
      </c>
      <c r="J27" s="119">
        <v>1.9400000000000001E-2</v>
      </c>
      <c r="K27" s="119">
        <v>1.9400000000000001E-2</v>
      </c>
      <c r="L27" s="119">
        <v>1.9400000000000001E-2</v>
      </c>
      <c r="M27" s="119">
        <v>1.95E-2</v>
      </c>
    </row>
    <row r="28" spans="1:13" x14ac:dyDescent="0.25">
      <c r="A28" s="99">
        <v>17</v>
      </c>
      <c r="B28" s="119">
        <v>1.95E-2</v>
      </c>
      <c r="C28" s="119">
        <v>1.9599999999999999E-2</v>
      </c>
      <c r="D28" s="119">
        <v>1.9599999999999999E-2</v>
      </c>
      <c r="E28" s="119">
        <v>1.9599999999999999E-2</v>
      </c>
      <c r="F28" s="119">
        <v>1.9699999999999999E-2</v>
      </c>
      <c r="G28" s="119">
        <v>1.9699999999999999E-2</v>
      </c>
      <c r="H28" s="119">
        <v>1.9699999999999999E-2</v>
      </c>
      <c r="I28" s="119">
        <v>1.9800000000000002E-2</v>
      </c>
      <c r="J28" s="119">
        <v>1.9800000000000002E-2</v>
      </c>
      <c r="K28" s="119">
        <v>1.9800000000000002E-2</v>
      </c>
      <c r="L28" s="119">
        <v>1.9900000000000001E-2</v>
      </c>
      <c r="M28" s="119">
        <v>1.9900000000000001E-2</v>
      </c>
    </row>
    <row r="29" spans="1:13" x14ac:dyDescent="0.25">
      <c r="A29" s="99">
        <v>18</v>
      </c>
      <c r="B29" s="119">
        <v>0.02</v>
      </c>
      <c r="C29" s="119">
        <v>0.02</v>
      </c>
      <c r="D29" s="119">
        <v>0.02</v>
      </c>
      <c r="E29" s="119">
        <v>2.01E-2</v>
      </c>
      <c r="F29" s="119">
        <v>2.01E-2</v>
      </c>
      <c r="G29" s="119">
        <v>2.01E-2</v>
      </c>
      <c r="H29" s="119">
        <v>2.0199999999999999E-2</v>
      </c>
      <c r="I29" s="119">
        <v>2.0199999999999999E-2</v>
      </c>
      <c r="J29" s="119">
        <v>2.0299999999999999E-2</v>
      </c>
      <c r="K29" s="119">
        <v>2.0299999999999999E-2</v>
      </c>
      <c r="L29" s="119">
        <v>2.0299999999999999E-2</v>
      </c>
      <c r="M29" s="119">
        <v>2.0400000000000001E-2</v>
      </c>
    </row>
    <row r="30" spans="1:13" x14ac:dyDescent="0.25">
      <c r="A30" s="99">
        <v>19</v>
      </c>
      <c r="B30" s="119">
        <v>2.0400000000000001E-2</v>
      </c>
      <c r="C30" s="119">
        <v>2.0400000000000001E-2</v>
      </c>
      <c r="D30" s="119">
        <v>2.0500000000000001E-2</v>
      </c>
      <c r="E30" s="119">
        <v>2.0500000000000001E-2</v>
      </c>
      <c r="F30" s="119">
        <v>2.06E-2</v>
      </c>
      <c r="G30" s="119">
        <v>2.06E-2</v>
      </c>
      <c r="H30" s="119">
        <v>2.06E-2</v>
      </c>
      <c r="I30" s="119">
        <v>2.07E-2</v>
      </c>
      <c r="J30" s="119">
        <v>2.07E-2</v>
      </c>
      <c r="K30" s="119">
        <v>2.0799999999999999E-2</v>
      </c>
      <c r="L30" s="119">
        <v>2.0799999999999999E-2</v>
      </c>
      <c r="M30" s="119">
        <v>2.0799999999999999E-2</v>
      </c>
    </row>
    <row r="31" spans="1:13" x14ac:dyDescent="0.25">
      <c r="A31" s="99">
        <v>20</v>
      </c>
      <c r="B31" s="119">
        <v>2.0899999999999998E-2</v>
      </c>
      <c r="C31" s="119">
        <v>2.0899999999999998E-2</v>
      </c>
      <c r="D31" s="119">
        <v>2.1000000000000001E-2</v>
      </c>
      <c r="E31" s="119">
        <v>2.1000000000000001E-2</v>
      </c>
      <c r="F31" s="119">
        <v>2.1000000000000001E-2</v>
      </c>
      <c r="G31" s="119">
        <v>2.1100000000000001E-2</v>
      </c>
      <c r="H31" s="119">
        <v>2.1100000000000001E-2</v>
      </c>
      <c r="I31" s="119">
        <v>2.12E-2</v>
      </c>
      <c r="J31" s="119">
        <v>2.12E-2</v>
      </c>
      <c r="K31" s="119">
        <v>2.12E-2</v>
      </c>
      <c r="L31" s="119">
        <v>2.1299999999999999E-2</v>
      </c>
      <c r="M31" s="119">
        <v>2.1299999999999999E-2</v>
      </c>
    </row>
    <row r="32" spans="1:13" x14ac:dyDescent="0.25">
      <c r="A32" s="99">
        <v>21</v>
      </c>
      <c r="B32" s="119">
        <v>2.1399999999999999E-2</v>
      </c>
      <c r="C32" s="119">
        <v>2.1399999999999999E-2</v>
      </c>
      <c r="D32" s="119">
        <v>2.1399999999999999E-2</v>
      </c>
      <c r="E32" s="119">
        <v>2.1499999999999998E-2</v>
      </c>
      <c r="F32" s="119">
        <v>2.1499999999999998E-2</v>
      </c>
      <c r="G32" s="119">
        <v>2.1600000000000001E-2</v>
      </c>
      <c r="H32" s="119">
        <v>2.1600000000000001E-2</v>
      </c>
      <c r="I32" s="119">
        <v>2.1600000000000001E-2</v>
      </c>
      <c r="J32" s="119">
        <v>2.1700000000000001E-2</v>
      </c>
      <c r="K32" s="119">
        <v>2.1700000000000001E-2</v>
      </c>
      <c r="L32" s="119">
        <v>2.18E-2</v>
      </c>
      <c r="M32" s="119">
        <v>2.18E-2</v>
      </c>
    </row>
    <row r="33" spans="1:13" x14ac:dyDescent="0.25">
      <c r="A33" s="99">
        <v>22</v>
      </c>
      <c r="B33" s="119">
        <v>2.18E-2</v>
      </c>
      <c r="C33" s="119">
        <v>2.1899999999999999E-2</v>
      </c>
      <c r="D33" s="119">
        <v>2.1899999999999999E-2</v>
      </c>
      <c r="E33" s="119">
        <v>2.1999999999999999E-2</v>
      </c>
      <c r="F33" s="119">
        <v>2.1999999999999999E-2</v>
      </c>
      <c r="G33" s="119">
        <v>2.2100000000000002E-2</v>
      </c>
      <c r="H33" s="119">
        <v>2.2100000000000002E-2</v>
      </c>
      <c r="I33" s="119">
        <v>2.2100000000000002E-2</v>
      </c>
      <c r="J33" s="119">
        <v>2.2200000000000001E-2</v>
      </c>
      <c r="K33" s="119">
        <v>2.2200000000000001E-2</v>
      </c>
      <c r="L33" s="119">
        <v>2.23E-2</v>
      </c>
      <c r="M33" s="119">
        <v>2.23E-2</v>
      </c>
    </row>
    <row r="34" spans="1:13" x14ac:dyDescent="0.25">
      <c r="A34" s="99">
        <v>23</v>
      </c>
      <c r="B34" s="119">
        <v>2.24E-2</v>
      </c>
      <c r="C34" s="119">
        <v>2.24E-2</v>
      </c>
      <c r="D34" s="119">
        <v>2.24E-2</v>
      </c>
      <c r="E34" s="119">
        <v>2.2499999999999999E-2</v>
      </c>
      <c r="F34" s="119">
        <v>2.2499999999999999E-2</v>
      </c>
      <c r="G34" s="119">
        <v>2.2599999999999999E-2</v>
      </c>
      <c r="H34" s="119">
        <v>2.2599999999999999E-2</v>
      </c>
      <c r="I34" s="119">
        <v>2.2700000000000001E-2</v>
      </c>
      <c r="J34" s="119">
        <v>2.2700000000000001E-2</v>
      </c>
      <c r="K34" s="119">
        <v>2.2800000000000001E-2</v>
      </c>
      <c r="L34" s="119">
        <v>2.2800000000000001E-2</v>
      </c>
      <c r="M34" s="119">
        <v>2.2800000000000001E-2</v>
      </c>
    </row>
    <row r="35" spans="1:13" x14ac:dyDescent="0.25">
      <c r="A35" s="99">
        <v>24</v>
      </c>
      <c r="B35" s="119">
        <v>2.29E-2</v>
      </c>
      <c r="C35" s="119">
        <v>2.29E-2</v>
      </c>
      <c r="D35" s="119">
        <v>2.3E-2</v>
      </c>
      <c r="E35" s="119">
        <v>2.3E-2</v>
      </c>
      <c r="F35" s="119">
        <v>2.3099999999999999E-2</v>
      </c>
      <c r="G35" s="119">
        <v>2.3099999999999999E-2</v>
      </c>
      <c r="H35" s="119">
        <v>2.3199999999999998E-2</v>
      </c>
      <c r="I35" s="119">
        <v>2.3199999999999998E-2</v>
      </c>
      <c r="J35" s="119">
        <v>2.3199999999999998E-2</v>
      </c>
      <c r="K35" s="119">
        <v>2.3300000000000001E-2</v>
      </c>
      <c r="L35" s="119">
        <v>2.3300000000000001E-2</v>
      </c>
      <c r="M35" s="119">
        <v>2.3400000000000001E-2</v>
      </c>
    </row>
    <row r="36" spans="1:13" x14ac:dyDescent="0.25">
      <c r="A36" s="99">
        <v>25</v>
      </c>
      <c r="B36" s="119">
        <v>2.3400000000000001E-2</v>
      </c>
      <c r="C36" s="119">
        <v>2.35E-2</v>
      </c>
      <c r="D36" s="119">
        <v>2.35E-2</v>
      </c>
      <c r="E36" s="119">
        <v>2.3599999999999999E-2</v>
      </c>
      <c r="F36" s="119">
        <v>2.3599999999999999E-2</v>
      </c>
      <c r="G36" s="119">
        <v>2.3699999999999999E-2</v>
      </c>
      <c r="H36" s="119">
        <v>2.3699999999999999E-2</v>
      </c>
      <c r="I36" s="119">
        <v>2.3800000000000002E-2</v>
      </c>
      <c r="J36" s="119">
        <v>2.3800000000000002E-2</v>
      </c>
      <c r="K36" s="119">
        <v>2.3900000000000001E-2</v>
      </c>
      <c r="L36" s="119">
        <v>2.3900000000000001E-2</v>
      </c>
      <c r="M36" s="119">
        <v>2.3900000000000001E-2</v>
      </c>
    </row>
    <row r="37" spans="1:13" x14ac:dyDescent="0.25">
      <c r="A37" s="99">
        <v>26</v>
      </c>
      <c r="B37" s="119">
        <v>2.4E-2</v>
      </c>
      <c r="C37" s="119">
        <v>2.4E-2</v>
      </c>
      <c r="D37" s="119">
        <v>2.41E-2</v>
      </c>
      <c r="E37" s="119">
        <v>2.41E-2</v>
      </c>
      <c r="F37" s="119">
        <v>2.4199999999999999E-2</v>
      </c>
      <c r="G37" s="119">
        <v>2.4199999999999999E-2</v>
      </c>
      <c r="H37" s="119">
        <v>2.4299999999999999E-2</v>
      </c>
      <c r="I37" s="119">
        <v>2.4299999999999999E-2</v>
      </c>
      <c r="J37" s="119">
        <v>2.4400000000000002E-2</v>
      </c>
      <c r="K37" s="119">
        <v>2.4400000000000002E-2</v>
      </c>
      <c r="L37" s="119">
        <v>2.4500000000000001E-2</v>
      </c>
      <c r="M37" s="119">
        <v>2.4500000000000001E-2</v>
      </c>
    </row>
    <row r="38" spans="1:13" x14ac:dyDescent="0.25">
      <c r="A38" s="99">
        <v>27</v>
      </c>
      <c r="B38" s="119">
        <v>2.46E-2</v>
      </c>
      <c r="C38" s="119">
        <v>2.46E-2</v>
      </c>
      <c r="D38" s="119">
        <v>2.47E-2</v>
      </c>
      <c r="E38" s="119">
        <v>2.47E-2</v>
      </c>
      <c r="F38" s="119">
        <v>2.4799999999999999E-2</v>
      </c>
      <c r="G38" s="119">
        <v>2.4799999999999999E-2</v>
      </c>
      <c r="H38" s="119">
        <v>2.4899999999999999E-2</v>
      </c>
      <c r="I38" s="119">
        <v>2.4899999999999999E-2</v>
      </c>
      <c r="J38" s="119">
        <v>2.5000000000000001E-2</v>
      </c>
      <c r="K38" s="119">
        <v>2.5000000000000001E-2</v>
      </c>
      <c r="L38" s="119">
        <v>2.5100000000000001E-2</v>
      </c>
      <c r="M38" s="119">
        <v>2.5100000000000001E-2</v>
      </c>
    </row>
    <row r="39" spans="1:13" x14ac:dyDescent="0.25">
      <c r="A39" s="99">
        <v>28</v>
      </c>
      <c r="B39" s="119">
        <v>2.52E-2</v>
      </c>
      <c r="C39" s="119">
        <v>2.52E-2</v>
      </c>
      <c r="D39" s="119">
        <v>2.53E-2</v>
      </c>
      <c r="E39" s="119">
        <v>2.53E-2</v>
      </c>
      <c r="F39" s="119">
        <v>2.5399999999999999E-2</v>
      </c>
      <c r="G39" s="119">
        <v>2.5399999999999999E-2</v>
      </c>
      <c r="H39" s="119">
        <v>2.5499999999999998E-2</v>
      </c>
      <c r="I39" s="119">
        <v>2.5600000000000001E-2</v>
      </c>
      <c r="J39" s="119">
        <v>2.5600000000000001E-2</v>
      </c>
      <c r="K39" s="119">
        <v>2.5700000000000001E-2</v>
      </c>
      <c r="L39" s="119">
        <v>2.5700000000000001E-2</v>
      </c>
      <c r="M39" s="119">
        <v>2.58E-2</v>
      </c>
    </row>
    <row r="40" spans="1:13" x14ac:dyDescent="0.25">
      <c r="A40" s="99">
        <v>29</v>
      </c>
      <c r="B40" s="119">
        <v>2.58E-2</v>
      </c>
      <c r="C40" s="119">
        <v>2.5899999999999999E-2</v>
      </c>
      <c r="D40" s="119">
        <v>2.5899999999999999E-2</v>
      </c>
      <c r="E40" s="119">
        <v>2.5999999999999999E-2</v>
      </c>
      <c r="F40" s="119">
        <v>2.5999999999999999E-2</v>
      </c>
      <c r="G40" s="119">
        <v>2.6100000000000002E-2</v>
      </c>
      <c r="H40" s="119">
        <v>2.6100000000000002E-2</v>
      </c>
      <c r="I40" s="119">
        <v>2.6200000000000001E-2</v>
      </c>
      <c r="J40" s="119">
        <v>2.6200000000000001E-2</v>
      </c>
      <c r="K40" s="119">
        <v>2.63E-2</v>
      </c>
      <c r="L40" s="119">
        <v>2.64E-2</v>
      </c>
      <c r="M40" s="119">
        <v>2.64E-2</v>
      </c>
    </row>
    <row r="41" spans="1:13" x14ac:dyDescent="0.25">
      <c r="A41" s="99">
        <v>30</v>
      </c>
      <c r="B41" s="119">
        <v>2.6499999999999999E-2</v>
      </c>
      <c r="C41" s="119">
        <v>2.6499999999999999E-2</v>
      </c>
      <c r="D41" s="119">
        <v>2.6599999999999999E-2</v>
      </c>
      <c r="E41" s="119">
        <v>2.6599999999999999E-2</v>
      </c>
      <c r="F41" s="119">
        <v>2.6700000000000002E-2</v>
      </c>
      <c r="G41" s="119">
        <v>2.6700000000000002E-2</v>
      </c>
      <c r="H41" s="119">
        <v>2.6800000000000001E-2</v>
      </c>
      <c r="I41" s="119">
        <v>2.69E-2</v>
      </c>
      <c r="J41" s="119">
        <v>2.69E-2</v>
      </c>
      <c r="K41" s="119">
        <v>2.7E-2</v>
      </c>
      <c r="L41" s="119">
        <v>2.7E-2</v>
      </c>
      <c r="M41" s="119">
        <v>2.7099999999999999E-2</v>
      </c>
    </row>
    <row r="42" spans="1:13" x14ac:dyDescent="0.25">
      <c r="A42" s="99">
        <v>31</v>
      </c>
      <c r="B42" s="119">
        <v>2.7099999999999999E-2</v>
      </c>
      <c r="C42" s="119">
        <v>2.7199999999999998E-2</v>
      </c>
      <c r="D42" s="119">
        <v>2.7300000000000001E-2</v>
      </c>
      <c r="E42" s="119">
        <v>2.7300000000000001E-2</v>
      </c>
      <c r="F42" s="119">
        <v>2.7400000000000001E-2</v>
      </c>
      <c r="G42" s="119">
        <v>2.7400000000000001E-2</v>
      </c>
      <c r="H42" s="119">
        <v>2.75E-2</v>
      </c>
      <c r="I42" s="119">
        <v>2.75E-2</v>
      </c>
      <c r="J42" s="119">
        <v>2.76E-2</v>
      </c>
      <c r="K42" s="119">
        <v>2.7699999999999999E-2</v>
      </c>
      <c r="L42" s="119">
        <v>2.7699999999999999E-2</v>
      </c>
      <c r="M42" s="119">
        <v>2.7799999999999998E-2</v>
      </c>
    </row>
    <row r="43" spans="1:13" x14ac:dyDescent="0.25">
      <c r="A43" s="99">
        <v>32</v>
      </c>
      <c r="B43" s="119">
        <v>2.7799999999999998E-2</v>
      </c>
      <c r="C43" s="119">
        <v>2.7900000000000001E-2</v>
      </c>
      <c r="D43" s="119">
        <v>2.8000000000000001E-2</v>
      </c>
      <c r="E43" s="119">
        <v>2.8000000000000001E-2</v>
      </c>
      <c r="F43" s="119">
        <v>2.81E-2</v>
      </c>
      <c r="G43" s="119">
        <v>2.81E-2</v>
      </c>
      <c r="H43" s="119">
        <v>2.8199999999999999E-2</v>
      </c>
      <c r="I43" s="119">
        <v>2.8299999999999999E-2</v>
      </c>
      <c r="J43" s="119">
        <v>2.8299999999999999E-2</v>
      </c>
      <c r="K43" s="119">
        <v>2.8400000000000002E-2</v>
      </c>
      <c r="L43" s="119">
        <v>2.8400000000000002E-2</v>
      </c>
      <c r="M43" s="119">
        <v>2.8500000000000001E-2</v>
      </c>
    </row>
    <row r="44" spans="1:13" x14ac:dyDescent="0.25">
      <c r="A44" s="99">
        <v>33</v>
      </c>
      <c r="B44" s="119">
        <v>2.86E-2</v>
      </c>
      <c r="C44" s="119">
        <v>2.86E-2</v>
      </c>
      <c r="D44" s="119">
        <v>2.87E-2</v>
      </c>
      <c r="E44" s="119">
        <v>2.8799999999999999E-2</v>
      </c>
      <c r="F44" s="119">
        <v>2.8799999999999999E-2</v>
      </c>
      <c r="G44" s="119">
        <v>2.8899999999999999E-2</v>
      </c>
      <c r="H44" s="119">
        <v>2.8899999999999999E-2</v>
      </c>
      <c r="I44" s="119">
        <v>2.9000000000000001E-2</v>
      </c>
      <c r="J44" s="119">
        <v>2.9100000000000001E-2</v>
      </c>
      <c r="K44" s="119">
        <v>2.9100000000000001E-2</v>
      </c>
      <c r="L44" s="119">
        <v>2.92E-2</v>
      </c>
      <c r="M44" s="119">
        <v>2.93E-2</v>
      </c>
    </row>
    <row r="45" spans="1:13" x14ac:dyDescent="0.25">
      <c r="A45" s="99">
        <v>34</v>
      </c>
      <c r="B45" s="119">
        <v>2.93E-2</v>
      </c>
      <c r="C45" s="119">
        <v>2.9399999999999999E-2</v>
      </c>
      <c r="D45" s="119">
        <v>2.9499999999999998E-2</v>
      </c>
      <c r="E45" s="119">
        <v>2.9499999999999998E-2</v>
      </c>
      <c r="F45" s="119">
        <v>2.9600000000000001E-2</v>
      </c>
      <c r="G45" s="119">
        <v>2.9700000000000001E-2</v>
      </c>
      <c r="H45" s="119">
        <v>2.9700000000000001E-2</v>
      </c>
      <c r="I45" s="119">
        <v>2.98E-2</v>
      </c>
      <c r="J45" s="119">
        <v>2.98E-2</v>
      </c>
      <c r="K45" s="119">
        <v>2.9899999999999999E-2</v>
      </c>
      <c r="L45" s="119">
        <v>0.03</v>
      </c>
      <c r="M45" s="119">
        <v>0.03</v>
      </c>
    </row>
    <row r="46" spans="1:13" x14ac:dyDescent="0.25">
      <c r="A46" s="99">
        <v>35</v>
      </c>
      <c r="B46" s="119">
        <v>3.0099999999999998E-2</v>
      </c>
      <c r="C46" s="119">
        <v>3.0200000000000001E-2</v>
      </c>
      <c r="D46" s="119">
        <v>3.0200000000000001E-2</v>
      </c>
      <c r="E46" s="119">
        <v>3.0300000000000001E-2</v>
      </c>
      <c r="F46" s="119">
        <v>3.04E-2</v>
      </c>
      <c r="G46" s="119">
        <v>3.0499999999999999E-2</v>
      </c>
      <c r="H46" s="119">
        <v>3.0499999999999999E-2</v>
      </c>
      <c r="I46" s="119">
        <v>3.0599999999999999E-2</v>
      </c>
      <c r="J46" s="119">
        <v>3.0700000000000002E-2</v>
      </c>
      <c r="K46" s="119">
        <v>3.0700000000000002E-2</v>
      </c>
      <c r="L46" s="119">
        <v>3.0800000000000001E-2</v>
      </c>
      <c r="M46" s="119">
        <v>3.09E-2</v>
      </c>
    </row>
    <row r="47" spans="1:13" x14ac:dyDescent="0.25">
      <c r="A47" s="99">
        <v>36</v>
      </c>
      <c r="B47" s="119">
        <v>3.09E-2</v>
      </c>
      <c r="C47" s="119">
        <v>3.1E-2</v>
      </c>
      <c r="D47" s="119">
        <v>3.1099999999999999E-2</v>
      </c>
      <c r="E47" s="119">
        <v>3.1099999999999999E-2</v>
      </c>
      <c r="F47" s="119">
        <v>3.1199999999999999E-2</v>
      </c>
      <c r="G47" s="119">
        <v>3.1300000000000001E-2</v>
      </c>
      <c r="H47" s="119">
        <v>3.1399999999999997E-2</v>
      </c>
      <c r="I47" s="119">
        <v>3.1399999999999997E-2</v>
      </c>
      <c r="J47" s="119">
        <v>3.15E-2</v>
      </c>
      <c r="K47" s="119">
        <v>3.1600000000000003E-2</v>
      </c>
      <c r="L47" s="119">
        <v>3.1600000000000003E-2</v>
      </c>
      <c r="M47" s="119">
        <v>3.1699999999999999E-2</v>
      </c>
    </row>
    <row r="48" spans="1:13" x14ac:dyDescent="0.25">
      <c r="A48" s="99">
        <v>37</v>
      </c>
      <c r="B48" s="119">
        <v>3.1800000000000002E-2</v>
      </c>
      <c r="C48" s="119">
        <v>3.1899999999999998E-2</v>
      </c>
      <c r="D48" s="119">
        <v>3.1899999999999998E-2</v>
      </c>
      <c r="E48" s="119">
        <v>3.2000000000000001E-2</v>
      </c>
      <c r="F48" s="119">
        <v>3.2099999999999997E-2</v>
      </c>
      <c r="G48" s="119">
        <v>3.2199999999999999E-2</v>
      </c>
      <c r="H48" s="119">
        <v>3.2199999999999999E-2</v>
      </c>
      <c r="I48" s="119">
        <v>3.2300000000000002E-2</v>
      </c>
      <c r="J48" s="119">
        <v>3.2399999999999998E-2</v>
      </c>
      <c r="K48" s="119">
        <v>3.2399999999999998E-2</v>
      </c>
      <c r="L48" s="119">
        <v>3.2500000000000001E-2</v>
      </c>
      <c r="M48" s="119">
        <v>3.2599999999999997E-2</v>
      </c>
    </row>
    <row r="49" spans="1:13" x14ac:dyDescent="0.25">
      <c r="A49" s="99">
        <v>38</v>
      </c>
      <c r="B49" s="119">
        <v>3.27E-2</v>
      </c>
      <c r="C49" s="119">
        <v>3.27E-2</v>
      </c>
      <c r="D49" s="119">
        <v>3.2800000000000003E-2</v>
      </c>
      <c r="E49" s="119">
        <v>3.2899999999999999E-2</v>
      </c>
      <c r="F49" s="119">
        <v>3.3000000000000002E-2</v>
      </c>
      <c r="G49" s="119">
        <v>3.3099999999999997E-2</v>
      </c>
      <c r="H49" s="119">
        <v>3.3099999999999997E-2</v>
      </c>
      <c r="I49" s="119">
        <v>3.32E-2</v>
      </c>
      <c r="J49" s="119">
        <v>3.3300000000000003E-2</v>
      </c>
      <c r="K49" s="119">
        <v>3.3399999999999999E-2</v>
      </c>
      <c r="L49" s="119">
        <v>3.3399999999999999E-2</v>
      </c>
      <c r="M49" s="119">
        <v>3.3500000000000002E-2</v>
      </c>
    </row>
    <row r="50" spans="1:13" x14ac:dyDescent="0.25">
      <c r="A50" s="99">
        <v>39</v>
      </c>
      <c r="B50" s="119">
        <v>3.3599999999999998E-2</v>
      </c>
      <c r="C50" s="119">
        <v>3.3700000000000001E-2</v>
      </c>
      <c r="D50" s="119">
        <v>3.3799999999999997E-2</v>
      </c>
      <c r="E50" s="119">
        <v>3.3799999999999997E-2</v>
      </c>
      <c r="F50" s="119">
        <v>3.39E-2</v>
      </c>
      <c r="G50" s="119">
        <v>3.4000000000000002E-2</v>
      </c>
      <c r="H50" s="119">
        <v>3.4099999999999998E-2</v>
      </c>
      <c r="I50" s="119">
        <v>3.4200000000000001E-2</v>
      </c>
      <c r="J50" s="119">
        <v>3.4200000000000001E-2</v>
      </c>
      <c r="K50" s="119">
        <v>3.4299999999999997E-2</v>
      </c>
      <c r="L50" s="119">
        <v>3.44E-2</v>
      </c>
      <c r="M50" s="119">
        <v>3.4500000000000003E-2</v>
      </c>
    </row>
    <row r="51" spans="1:13" x14ac:dyDescent="0.25">
      <c r="A51" s="99">
        <v>40</v>
      </c>
      <c r="B51" s="119">
        <v>3.4599999999999999E-2</v>
      </c>
      <c r="C51" s="119">
        <v>3.4700000000000002E-2</v>
      </c>
      <c r="D51" s="119">
        <v>3.4700000000000002E-2</v>
      </c>
      <c r="E51" s="119">
        <v>3.4799999999999998E-2</v>
      </c>
      <c r="F51" s="119">
        <v>3.49E-2</v>
      </c>
      <c r="G51" s="119">
        <v>3.5000000000000003E-2</v>
      </c>
      <c r="H51" s="119">
        <v>3.5099999999999999E-2</v>
      </c>
      <c r="I51" s="119">
        <v>3.5200000000000002E-2</v>
      </c>
      <c r="J51" s="119">
        <v>3.5200000000000002E-2</v>
      </c>
      <c r="K51" s="119">
        <v>3.5299999999999998E-2</v>
      </c>
      <c r="L51" s="119">
        <v>3.5400000000000001E-2</v>
      </c>
      <c r="M51" s="119">
        <v>3.5499999999999997E-2</v>
      </c>
    </row>
    <row r="52" spans="1:13" x14ac:dyDescent="0.25">
      <c r="A52" s="99">
        <v>41</v>
      </c>
      <c r="B52" s="119">
        <v>3.56E-2</v>
      </c>
      <c r="C52" s="119">
        <v>3.5700000000000003E-2</v>
      </c>
      <c r="D52" s="119">
        <v>3.5799999999999998E-2</v>
      </c>
      <c r="E52" s="119">
        <v>3.5799999999999998E-2</v>
      </c>
      <c r="F52" s="119">
        <v>3.5900000000000001E-2</v>
      </c>
      <c r="G52" s="119">
        <v>3.5999999999999997E-2</v>
      </c>
      <c r="H52" s="119">
        <v>3.61E-2</v>
      </c>
      <c r="I52" s="119">
        <v>3.6200000000000003E-2</v>
      </c>
      <c r="J52" s="119">
        <v>3.6299999999999999E-2</v>
      </c>
      <c r="K52" s="119">
        <v>3.6400000000000002E-2</v>
      </c>
      <c r="L52" s="119">
        <v>3.6499999999999998E-2</v>
      </c>
      <c r="M52" s="119">
        <v>3.6499999999999998E-2</v>
      </c>
    </row>
    <row r="53" spans="1:13" x14ac:dyDescent="0.25">
      <c r="A53" s="99">
        <v>42</v>
      </c>
      <c r="B53" s="119">
        <v>3.6600000000000001E-2</v>
      </c>
      <c r="C53" s="119">
        <v>3.6700000000000003E-2</v>
      </c>
      <c r="D53" s="119">
        <v>3.6799999999999999E-2</v>
      </c>
      <c r="E53" s="119">
        <v>3.6900000000000002E-2</v>
      </c>
      <c r="F53" s="119">
        <v>3.6999999999999998E-2</v>
      </c>
      <c r="G53" s="119">
        <v>3.7100000000000001E-2</v>
      </c>
      <c r="H53" s="119">
        <v>3.7199999999999997E-2</v>
      </c>
      <c r="I53" s="119">
        <v>3.73E-2</v>
      </c>
      <c r="J53" s="119">
        <v>3.7400000000000003E-2</v>
      </c>
      <c r="K53" s="119">
        <v>3.7499999999999999E-2</v>
      </c>
      <c r="L53" s="119">
        <v>3.7600000000000001E-2</v>
      </c>
      <c r="M53" s="119">
        <v>3.7699999999999997E-2</v>
      </c>
    </row>
    <row r="54" spans="1:13" x14ac:dyDescent="0.25">
      <c r="A54" s="99">
        <v>43</v>
      </c>
      <c r="B54" s="119">
        <v>3.7699999999999997E-2</v>
      </c>
      <c r="C54" s="119">
        <v>3.78E-2</v>
      </c>
      <c r="D54" s="119">
        <v>3.7900000000000003E-2</v>
      </c>
      <c r="E54" s="119">
        <v>3.7999999999999999E-2</v>
      </c>
      <c r="F54" s="119">
        <v>3.8100000000000002E-2</v>
      </c>
      <c r="G54" s="119">
        <v>3.8199999999999998E-2</v>
      </c>
      <c r="H54" s="119">
        <v>3.8300000000000001E-2</v>
      </c>
      <c r="I54" s="119">
        <v>3.8399999999999997E-2</v>
      </c>
      <c r="J54" s="119">
        <v>3.85E-2</v>
      </c>
      <c r="K54" s="119">
        <v>3.8600000000000002E-2</v>
      </c>
      <c r="L54" s="119">
        <v>3.8699999999999998E-2</v>
      </c>
      <c r="M54" s="119">
        <v>3.8800000000000001E-2</v>
      </c>
    </row>
    <row r="55" spans="1:13" x14ac:dyDescent="0.25">
      <c r="A55" s="99">
        <v>44</v>
      </c>
      <c r="B55" s="119">
        <v>3.8899999999999997E-2</v>
      </c>
      <c r="C55" s="119">
        <v>3.9E-2</v>
      </c>
      <c r="D55" s="119">
        <v>3.9100000000000003E-2</v>
      </c>
      <c r="E55" s="119">
        <v>3.9199999999999999E-2</v>
      </c>
      <c r="F55" s="119">
        <v>3.9300000000000002E-2</v>
      </c>
      <c r="G55" s="119">
        <v>3.9399999999999998E-2</v>
      </c>
      <c r="H55" s="119">
        <v>3.95E-2</v>
      </c>
      <c r="I55" s="119">
        <v>3.9600000000000003E-2</v>
      </c>
      <c r="J55" s="119">
        <v>3.9699999999999999E-2</v>
      </c>
      <c r="K55" s="119">
        <v>3.9800000000000002E-2</v>
      </c>
      <c r="L55" s="119">
        <v>3.9899999999999998E-2</v>
      </c>
      <c r="M55" s="119">
        <v>0.04</v>
      </c>
    </row>
    <row r="56" spans="1:13" x14ac:dyDescent="0.25">
      <c r="A56" s="99">
        <v>45</v>
      </c>
      <c r="B56" s="119">
        <v>4.0099999999999997E-2</v>
      </c>
      <c r="C56" s="119">
        <v>4.02E-2</v>
      </c>
      <c r="D56" s="119">
        <v>4.0300000000000002E-2</v>
      </c>
      <c r="E56" s="119">
        <v>4.0399999999999998E-2</v>
      </c>
      <c r="F56" s="119">
        <v>4.0599999999999997E-2</v>
      </c>
      <c r="G56" s="119">
        <v>4.07E-2</v>
      </c>
      <c r="H56" s="119">
        <v>4.0800000000000003E-2</v>
      </c>
      <c r="I56" s="119">
        <v>4.0899999999999999E-2</v>
      </c>
      <c r="J56" s="119">
        <v>4.1000000000000002E-2</v>
      </c>
      <c r="K56" s="119">
        <v>4.1099999999999998E-2</v>
      </c>
      <c r="L56" s="119">
        <v>4.1200000000000001E-2</v>
      </c>
      <c r="M56" s="119">
        <v>4.1300000000000003E-2</v>
      </c>
    </row>
    <row r="57" spans="1:13" x14ac:dyDescent="0.25">
      <c r="A57" s="99">
        <v>46</v>
      </c>
      <c r="B57" s="119">
        <v>4.1399999999999999E-2</v>
      </c>
      <c r="C57" s="119">
        <v>4.1500000000000002E-2</v>
      </c>
      <c r="D57" s="119">
        <v>4.1599999999999998E-2</v>
      </c>
      <c r="E57" s="119">
        <v>4.1700000000000001E-2</v>
      </c>
      <c r="F57" s="119">
        <v>4.19E-2</v>
      </c>
      <c r="G57" s="119">
        <v>4.2000000000000003E-2</v>
      </c>
      <c r="H57" s="119">
        <v>4.2099999999999999E-2</v>
      </c>
      <c r="I57" s="119">
        <v>4.2200000000000001E-2</v>
      </c>
      <c r="J57" s="119">
        <v>4.2299999999999997E-2</v>
      </c>
      <c r="K57" s="119">
        <v>4.24E-2</v>
      </c>
      <c r="L57" s="119">
        <v>4.2500000000000003E-2</v>
      </c>
      <c r="M57" s="119">
        <v>4.2599999999999999E-2</v>
      </c>
    </row>
    <row r="58" spans="1:13" x14ac:dyDescent="0.25">
      <c r="A58" s="99">
        <v>47</v>
      </c>
      <c r="B58" s="119">
        <v>4.2700000000000002E-2</v>
      </c>
      <c r="C58" s="119">
        <v>4.2900000000000001E-2</v>
      </c>
      <c r="D58" s="119">
        <v>4.2999999999999997E-2</v>
      </c>
      <c r="E58" s="119">
        <v>4.3099999999999999E-2</v>
      </c>
      <c r="F58" s="119">
        <v>4.3200000000000002E-2</v>
      </c>
      <c r="G58" s="119">
        <v>4.3299999999999998E-2</v>
      </c>
      <c r="H58" s="119">
        <v>4.3499999999999997E-2</v>
      </c>
      <c r="I58" s="119">
        <v>4.36E-2</v>
      </c>
      <c r="J58" s="119">
        <v>4.3700000000000003E-2</v>
      </c>
      <c r="K58" s="119">
        <v>4.3799999999999999E-2</v>
      </c>
      <c r="L58" s="119">
        <v>4.3900000000000002E-2</v>
      </c>
      <c r="M58" s="119">
        <v>4.3999999999999997E-2</v>
      </c>
    </row>
    <row r="59" spans="1:13" x14ac:dyDescent="0.25">
      <c r="A59" s="99">
        <v>48</v>
      </c>
      <c r="B59" s="119">
        <v>4.4200000000000003E-2</v>
      </c>
      <c r="C59" s="119">
        <v>4.4299999999999999E-2</v>
      </c>
      <c r="D59" s="119">
        <v>4.4400000000000002E-2</v>
      </c>
      <c r="E59" s="119">
        <v>4.4499999999999998E-2</v>
      </c>
      <c r="F59" s="119">
        <v>4.4699999999999997E-2</v>
      </c>
      <c r="G59" s="119">
        <v>4.48E-2</v>
      </c>
      <c r="H59" s="119">
        <v>4.4900000000000002E-2</v>
      </c>
      <c r="I59" s="119">
        <v>4.4999999999999998E-2</v>
      </c>
      <c r="J59" s="119">
        <v>4.5199999999999997E-2</v>
      </c>
      <c r="K59" s="119">
        <v>4.53E-2</v>
      </c>
      <c r="L59" s="119">
        <v>4.5400000000000003E-2</v>
      </c>
      <c r="M59" s="119">
        <v>4.5499999999999999E-2</v>
      </c>
    </row>
    <row r="60" spans="1:13" x14ac:dyDescent="0.25">
      <c r="A60" s="99">
        <v>49</v>
      </c>
      <c r="B60" s="119">
        <v>4.5699999999999998E-2</v>
      </c>
      <c r="C60" s="119">
        <v>4.58E-2</v>
      </c>
      <c r="D60" s="119">
        <v>4.5900000000000003E-2</v>
      </c>
      <c r="E60" s="119">
        <v>4.6100000000000002E-2</v>
      </c>
      <c r="F60" s="119">
        <v>4.6199999999999998E-2</v>
      </c>
      <c r="G60" s="119">
        <v>4.6300000000000001E-2</v>
      </c>
      <c r="H60" s="119">
        <v>4.6399999999999997E-2</v>
      </c>
      <c r="I60" s="119">
        <v>4.6600000000000003E-2</v>
      </c>
      <c r="J60" s="119">
        <v>4.6699999999999998E-2</v>
      </c>
      <c r="K60" s="119">
        <v>4.6800000000000001E-2</v>
      </c>
      <c r="L60" s="119">
        <v>4.7E-2</v>
      </c>
      <c r="M60" s="119">
        <v>4.7100000000000003E-2</v>
      </c>
    </row>
    <row r="61" spans="1:13" x14ac:dyDescent="0.25">
      <c r="A61" s="99">
        <v>50</v>
      </c>
      <c r="B61" s="119">
        <v>4.7199999999999999E-2</v>
      </c>
      <c r="C61" s="119">
        <v>4.7399999999999998E-2</v>
      </c>
      <c r="D61" s="119">
        <v>4.7500000000000001E-2</v>
      </c>
      <c r="E61" s="119">
        <v>4.7600000000000003E-2</v>
      </c>
      <c r="F61" s="119">
        <v>4.7800000000000002E-2</v>
      </c>
      <c r="G61" s="119">
        <v>4.7899999999999998E-2</v>
      </c>
      <c r="H61" s="119">
        <v>4.8099999999999997E-2</v>
      </c>
      <c r="I61" s="119">
        <v>4.82E-2</v>
      </c>
      <c r="J61" s="119">
        <v>4.8300000000000003E-2</v>
      </c>
      <c r="K61" s="119">
        <v>4.8500000000000001E-2</v>
      </c>
      <c r="L61" s="119">
        <v>4.8599999999999997E-2</v>
      </c>
      <c r="M61" s="119">
        <v>4.8800000000000003E-2</v>
      </c>
    </row>
    <row r="62" spans="1:13" x14ac:dyDescent="0.25">
      <c r="A62" s="99">
        <v>51</v>
      </c>
      <c r="B62" s="119">
        <v>4.8899999999999999E-2</v>
      </c>
      <c r="C62" s="119">
        <v>4.9000000000000002E-2</v>
      </c>
      <c r="D62" s="119">
        <v>4.9200000000000001E-2</v>
      </c>
      <c r="E62" s="119">
        <v>4.9299999999999997E-2</v>
      </c>
      <c r="F62" s="119">
        <v>4.9500000000000002E-2</v>
      </c>
      <c r="G62" s="119">
        <v>4.9599999999999998E-2</v>
      </c>
      <c r="H62" s="119">
        <v>4.9799999999999997E-2</v>
      </c>
      <c r="I62" s="119">
        <v>4.99E-2</v>
      </c>
      <c r="J62" s="119">
        <v>5.0099999999999999E-2</v>
      </c>
      <c r="K62" s="119">
        <v>5.0200000000000002E-2</v>
      </c>
      <c r="L62" s="119">
        <v>5.04E-2</v>
      </c>
      <c r="M62" s="119">
        <v>5.0500000000000003E-2</v>
      </c>
    </row>
    <row r="63" spans="1:13" x14ac:dyDescent="0.25">
      <c r="A63" s="99">
        <v>52</v>
      </c>
      <c r="B63" s="119">
        <v>5.0700000000000002E-2</v>
      </c>
      <c r="C63" s="119">
        <v>5.0799999999999998E-2</v>
      </c>
      <c r="D63" s="119">
        <v>5.0999999999999997E-2</v>
      </c>
      <c r="E63" s="119">
        <v>5.11E-2</v>
      </c>
      <c r="F63" s="119">
        <v>5.1299999999999998E-2</v>
      </c>
      <c r="G63" s="119">
        <v>5.1400000000000001E-2</v>
      </c>
      <c r="H63" s="119">
        <v>5.16E-2</v>
      </c>
      <c r="I63" s="119">
        <v>5.1700000000000003E-2</v>
      </c>
      <c r="J63" s="119">
        <v>5.1900000000000002E-2</v>
      </c>
      <c r="K63" s="119">
        <v>5.21E-2</v>
      </c>
      <c r="L63" s="119">
        <v>5.2200000000000003E-2</v>
      </c>
      <c r="M63" s="119">
        <v>5.2400000000000002E-2</v>
      </c>
    </row>
    <row r="64" spans="1:13" x14ac:dyDescent="0.25">
      <c r="A64" s="99">
        <v>53</v>
      </c>
      <c r="B64" s="119">
        <v>5.2499999999999998E-2</v>
      </c>
      <c r="C64" s="119">
        <v>5.2699999999999997E-2</v>
      </c>
      <c r="D64" s="119">
        <v>5.2900000000000003E-2</v>
      </c>
      <c r="E64" s="119">
        <v>5.2999999999999999E-2</v>
      </c>
      <c r="F64" s="119">
        <v>5.3199999999999997E-2</v>
      </c>
      <c r="G64" s="119">
        <v>5.33E-2</v>
      </c>
      <c r="H64" s="119">
        <v>5.3499999999999999E-2</v>
      </c>
      <c r="I64" s="119">
        <v>5.3699999999999998E-2</v>
      </c>
      <c r="J64" s="119">
        <v>5.3800000000000001E-2</v>
      </c>
      <c r="K64" s="119">
        <v>5.3999999999999999E-2</v>
      </c>
      <c r="L64" s="119">
        <v>5.4199999999999998E-2</v>
      </c>
      <c r="M64" s="119">
        <v>5.4300000000000001E-2</v>
      </c>
    </row>
    <row r="65" spans="1:13" x14ac:dyDescent="0.25">
      <c r="A65" s="99">
        <v>54</v>
      </c>
      <c r="B65" s="119">
        <v>5.45E-2</v>
      </c>
      <c r="C65" s="119">
        <v>5.4699999999999999E-2</v>
      </c>
      <c r="D65" s="119">
        <v>5.4899999999999997E-2</v>
      </c>
      <c r="E65" s="119">
        <v>5.5E-2</v>
      </c>
      <c r="F65" s="119">
        <v>5.5199999999999999E-2</v>
      </c>
      <c r="G65" s="119">
        <v>5.5399999999999998E-2</v>
      </c>
      <c r="H65" s="119">
        <v>5.5599999999999997E-2</v>
      </c>
      <c r="I65" s="119">
        <v>5.57E-2</v>
      </c>
      <c r="J65" s="119">
        <v>5.5899999999999998E-2</v>
      </c>
      <c r="K65" s="119">
        <v>5.6099999999999997E-2</v>
      </c>
      <c r="L65" s="119">
        <v>5.6300000000000003E-2</v>
      </c>
      <c r="M65" s="119">
        <v>5.6399999999999999E-2</v>
      </c>
    </row>
    <row r="66" spans="1:13" x14ac:dyDescent="0.25">
      <c r="A66" s="99">
        <v>55</v>
      </c>
      <c r="B66" s="119">
        <v>5.6599999999999998E-2</v>
      </c>
      <c r="C66" s="119">
        <v>5.6800000000000003E-2</v>
      </c>
      <c r="D66" s="119">
        <v>5.7000000000000002E-2</v>
      </c>
      <c r="E66" s="119">
        <v>5.7200000000000001E-2</v>
      </c>
      <c r="F66" s="119">
        <v>5.74E-2</v>
      </c>
      <c r="G66" s="119">
        <v>5.7500000000000002E-2</v>
      </c>
      <c r="H66" s="119">
        <v>5.7700000000000001E-2</v>
      </c>
      <c r="I66" s="119">
        <v>5.79E-2</v>
      </c>
      <c r="J66" s="119">
        <v>5.8099999999999999E-2</v>
      </c>
      <c r="K66" s="119">
        <v>5.8299999999999998E-2</v>
      </c>
      <c r="L66" s="119">
        <v>5.8500000000000003E-2</v>
      </c>
      <c r="M66" s="119">
        <v>5.8700000000000002E-2</v>
      </c>
    </row>
    <row r="67" spans="1:13" x14ac:dyDescent="0.25">
      <c r="A67" s="99">
        <v>56</v>
      </c>
      <c r="B67" s="119">
        <v>5.8900000000000001E-2</v>
      </c>
      <c r="C67" s="119">
        <v>5.91E-2</v>
      </c>
      <c r="D67" s="119">
        <v>5.9299999999999999E-2</v>
      </c>
      <c r="E67" s="119">
        <v>5.9499999999999997E-2</v>
      </c>
      <c r="F67" s="119">
        <v>5.9700000000000003E-2</v>
      </c>
      <c r="G67" s="119">
        <v>5.9799999999999999E-2</v>
      </c>
      <c r="H67" s="119">
        <v>0.06</v>
      </c>
      <c r="I67" s="119">
        <v>6.0199999999999997E-2</v>
      </c>
      <c r="J67" s="119">
        <v>6.0400000000000002E-2</v>
      </c>
      <c r="K67" s="119">
        <v>6.0600000000000001E-2</v>
      </c>
      <c r="L67" s="119">
        <v>6.08E-2</v>
      </c>
      <c r="M67" s="119">
        <v>6.0999999999999999E-2</v>
      </c>
    </row>
    <row r="68" spans="1:13" x14ac:dyDescent="0.25">
      <c r="A68" s="99">
        <v>57</v>
      </c>
      <c r="B68" s="119">
        <v>6.1199999999999997E-2</v>
      </c>
      <c r="C68" s="119">
        <v>6.1499999999999999E-2</v>
      </c>
      <c r="D68" s="119">
        <v>6.1699999999999998E-2</v>
      </c>
      <c r="E68" s="119">
        <v>6.1899999999999997E-2</v>
      </c>
      <c r="F68" s="119">
        <v>6.2100000000000002E-2</v>
      </c>
      <c r="G68" s="119">
        <v>6.2300000000000001E-2</v>
      </c>
      <c r="H68" s="119">
        <v>6.25E-2</v>
      </c>
      <c r="I68" s="119">
        <v>6.2700000000000006E-2</v>
      </c>
      <c r="J68" s="119">
        <v>6.2899999999999998E-2</v>
      </c>
      <c r="K68" s="119">
        <v>6.3200000000000006E-2</v>
      </c>
      <c r="L68" s="119">
        <v>6.3399999999999998E-2</v>
      </c>
      <c r="M68" s="119">
        <v>6.3600000000000004E-2</v>
      </c>
    </row>
    <row r="69" spans="1:13" x14ac:dyDescent="0.25">
      <c r="A69" s="99">
        <v>58</v>
      </c>
      <c r="B69" s="119">
        <v>6.3799999999999996E-2</v>
      </c>
      <c r="C69" s="119">
        <v>6.4000000000000001E-2</v>
      </c>
      <c r="D69" s="119">
        <v>6.4299999999999996E-2</v>
      </c>
      <c r="E69" s="119">
        <v>6.4500000000000002E-2</v>
      </c>
      <c r="F69" s="119">
        <v>6.4699999999999994E-2</v>
      </c>
      <c r="G69" s="119">
        <v>6.4899999999999999E-2</v>
      </c>
      <c r="H69" s="119">
        <v>6.5199999999999994E-2</v>
      </c>
      <c r="I69" s="119">
        <v>6.54E-2</v>
      </c>
      <c r="J69" s="119">
        <v>6.5600000000000006E-2</v>
      </c>
      <c r="K69" s="119">
        <v>6.59E-2</v>
      </c>
      <c r="L69" s="119">
        <v>6.6100000000000006E-2</v>
      </c>
      <c r="M69" s="119">
        <v>6.6299999999999998E-2</v>
      </c>
    </row>
    <row r="70" spans="1:13" x14ac:dyDescent="0.25">
      <c r="A70" s="99">
        <v>59</v>
      </c>
      <c r="B70" s="119">
        <v>6.6500000000000004E-2</v>
      </c>
      <c r="C70" s="119">
        <v>6.6799999999999998E-2</v>
      </c>
      <c r="D70" s="119">
        <v>6.7000000000000004E-2</v>
      </c>
      <c r="E70" s="119">
        <v>6.7299999999999999E-2</v>
      </c>
      <c r="F70" s="119">
        <v>6.7500000000000004E-2</v>
      </c>
      <c r="G70" s="119">
        <v>6.7799999999999999E-2</v>
      </c>
      <c r="H70" s="119">
        <v>6.8000000000000005E-2</v>
      </c>
      <c r="I70" s="119">
        <v>6.83E-2</v>
      </c>
      <c r="J70" s="119">
        <v>6.8500000000000005E-2</v>
      </c>
      <c r="K70" s="119">
        <v>6.8699999999999997E-2</v>
      </c>
      <c r="L70" s="119">
        <v>6.9000000000000006E-2</v>
      </c>
      <c r="M70" s="119">
        <v>6.9199999999999998E-2</v>
      </c>
    </row>
    <row r="71" spans="1:13" x14ac:dyDescent="0.25">
      <c r="A71" s="99">
        <v>60</v>
      </c>
      <c r="B71" s="119">
        <v>6.9500000000000006E-2</v>
      </c>
      <c r="C71" s="119">
        <v>6.9699999999999998E-2</v>
      </c>
      <c r="D71" s="119">
        <v>6.9800000000000001E-2</v>
      </c>
      <c r="E71" s="119">
        <v>7.0000000000000007E-2</v>
      </c>
      <c r="F71" s="119">
        <v>7.0199999999999999E-2</v>
      </c>
      <c r="G71" s="119">
        <v>7.0400000000000004E-2</v>
      </c>
      <c r="H71" s="119">
        <v>7.0599999999999996E-2</v>
      </c>
      <c r="I71" s="119">
        <v>7.0800000000000002E-2</v>
      </c>
      <c r="J71" s="119">
        <v>7.0999999999999994E-2</v>
      </c>
      <c r="K71" s="119">
        <v>7.1199999999999999E-2</v>
      </c>
      <c r="L71" s="119">
        <v>7.1400000000000005E-2</v>
      </c>
      <c r="M71" s="119">
        <v>7.1599999999999997E-2</v>
      </c>
    </row>
    <row r="72" spans="1:13" x14ac:dyDescent="0.25">
      <c r="A72" s="99">
        <v>61</v>
      </c>
      <c r="B72" s="119">
        <v>7.1800000000000003E-2</v>
      </c>
      <c r="C72" s="119">
        <v>7.1999999999999995E-2</v>
      </c>
      <c r="D72" s="119">
        <v>7.2300000000000003E-2</v>
      </c>
      <c r="E72" s="119">
        <v>7.2499999999999995E-2</v>
      </c>
      <c r="F72" s="119">
        <v>7.2700000000000001E-2</v>
      </c>
      <c r="G72" s="119">
        <v>7.2900000000000006E-2</v>
      </c>
      <c r="H72" s="119">
        <v>7.3099999999999998E-2</v>
      </c>
      <c r="I72" s="119">
        <v>7.3300000000000004E-2</v>
      </c>
      <c r="J72" s="119">
        <v>7.3499999999999996E-2</v>
      </c>
      <c r="K72" s="119">
        <v>7.3800000000000004E-2</v>
      </c>
      <c r="L72" s="119">
        <v>7.3999999999999996E-2</v>
      </c>
      <c r="M72" s="119">
        <v>7.4200000000000002E-2</v>
      </c>
    </row>
    <row r="73" spans="1:13" x14ac:dyDescent="0.25">
      <c r="A73" s="99">
        <v>62</v>
      </c>
      <c r="B73" s="119">
        <v>7.4399999999999994E-2</v>
      </c>
      <c r="C73" s="119">
        <v>7.46E-2</v>
      </c>
      <c r="D73" s="119">
        <v>7.4899999999999994E-2</v>
      </c>
      <c r="E73" s="119">
        <v>7.51E-2</v>
      </c>
      <c r="F73" s="119">
        <v>7.5300000000000006E-2</v>
      </c>
      <c r="G73" s="119">
        <v>7.5600000000000001E-2</v>
      </c>
      <c r="H73" s="119">
        <v>7.5800000000000006E-2</v>
      </c>
      <c r="I73" s="119">
        <v>7.5999999999999998E-2</v>
      </c>
      <c r="J73" s="119">
        <v>7.6300000000000007E-2</v>
      </c>
      <c r="K73" s="119">
        <v>7.6499999999999999E-2</v>
      </c>
      <c r="L73" s="119">
        <v>7.6700000000000004E-2</v>
      </c>
      <c r="M73" s="119">
        <v>7.6899999999999996E-2</v>
      </c>
    </row>
    <row r="74" spans="1:13" x14ac:dyDescent="0.25">
      <c r="A74" s="99">
        <v>63</v>
      </c>
      <c r="B74" s="119">
        <v>7.7200000000000005E-2</v>
      </c>
      <c r="C74" s="119">
        <v>7.7399999999999997E-2</v>
      </c>
      <c r="D74" s="119">
        <v>7.7700000000000005E-2</v>
      </c>
      <c r="E74" s="119">
        <v>7.7899999999999997E-2</v>
      </c>
      <c r="F74" s="119">
        <v>7.8200000000000006E-2</v>
      </c>
      <c r="G74" s="119">
        <v>7.8399999999999997E-2</v>
      </c>
      <c r="H74" s="119">
        <v>7.8700000000000006E-2</v>
      </c>
      <c r="I74" s="119">
        <v>7.8899999999999998E-2</v>
      </c>
      <c r="J74" s="119">
        <v>7.9200000000000007E-2</v>
      </c>
      <c r="K74" s="119">
        <v>7.9399999999999998E-2</v>
      </c>
      <c r="L74" s="119">
        <v>7.9699999999999993E-2</v>
      </c>
      <c r="M74" s="119">
        <v>7.9899999999999999E-2</v>
      </c>
    </row>
    <row r="75" spans="1:13" x14ac:dyDescent="0.25">
      <c r="A75" s="99">
        <v>64</v>
      </c>
      <c r="B75" s="119">
        <v>8.0199999999999994E-2</v>
      </c>
      <c r="C75" s="119">
        <v>8.0500000000000002E-2</v>
      </c>
      <c r="D75" s="119">
        <v>8.0699999999999994E-2</v>
      </c>
      <c r="E75" s="119">
        <v>8.1000000000000003E-2</v>
      </c>
      <c r="F75" s="119">
        <v>8.1299999999999997E-2</v>
      </c>
      <c r="G75" s="119">
        <v>8.1600000000000006E-2</v>
      </c>
      <c r="H75" s="119">
        <v>8.1799999999999998E-2</v>
      </c>
      <c r="I75" s="119">
        <v>8.2100000000000006E-2</v>
      </c>
      <c r="J75" s="119">
        <v>8.2400000000000001E-2</v>
      </c>
      <c r="K75" s="119">
        <v>8.2699999999999996E-2</v>
      </c>
      <c r="L75" s="119">
        <v>8.2900000000000001E-2</v>
      </c>
      <c r="M75" s="119">
        <v>8.3199999999999996E-2</v>
      </c>
    </row>
    <row r="76" spans="1:13" x14ac:dyDescent="0.25">
      <c r="A76" s="99">
        <v>65</v>
      </c>
      <c r="B76" s="119">
        <v>8.3299999999999999E-2</v>
      </c>
      <c r="C76" s="119"/>
      <c r="D76" s="119"/>
      <c r="E76" s="119"/>
      <c r="F76" s="119"/>
      <c r="G76" s="119"/>
      <c r="H76" s="119"/>
      <c r="I76" s="119"/>
      <c r="J76" s="119"/>
      <c r="K76" s="119"/>
      <c r="L76" s="119"/>
      <c r="M76" s="119"/>
    </row>
  </sheetData>
  <sheetProtection algorithmName="SHA-512" hashValue="kK0F3206UaYa+AcUtqh1V5rgfKJG43sVt00Kxk1dqkpeyzwg1u9UO7WjUUtfw3kKJFhkMIcRn1REsDfrR+cHeg==" saltValue="NqMFz0aRTqSZqAEbW4nK4g==" spinCount="100000" sheet="1" objects="1" scenarios="1"/>
  <conditionalFormatting sqref="A6:A21">
    <cfRule type="expression" dxfId="31" priority="7" stopIfTrue="1">
      <formula>MOD(ROW(),2)=0</formula>
    </cfRule>
    <cfRule type="expression" dxfId="30" priority="8" stopIfTrue="1">
      <formula>MOD(ROW(),2)&lt;&gt;0</formula>
    </cfRule>
  </conditionalFormatting>
  <conditionalFormatting sqref="A26:A76">
    <cfRule type="expression" dxfId="29" priority="1" stopIfTrue="1">
      <formula>MOD(ROW(),2)=0</formula>
    </cfRule>
    <cfRule type="expression" dxfId="28" priority="2" stopIfTrue="1">
      <formula>MOD(ROW(),2)&lt;&gt;0</formula>
    </cfRule>
  </conditionalFormatting>
  <conditionalFormatting sqref="B17:B21">
    <cfRule type="expression" dxfId="27" priority="5" stopIfTrue="1">
      <formula>MOD(ROW(),2)=0</formula>
    </cfRule>
    <cfRule type="expression" dxfId="26" priority="6" stopIfTrue="1">
      <formula>MOD(ROW(),2)&lt;&gt;0</formula>
    </cfRule>
  </conditionalFormatting>
  <conditionalFormatting sqref="B6:M21">
    <cfRule type="expression" dxfId="25" priority="17" stopIfTrue="1">
      <formula>MOD(ROW(),2)=0</formula>
    </cfRule>
    <cfRule type="expression" dxfId="24" priority="18" stopIfTrue="1">
      <formula>MOD(ROW(),2)&lt;&gt;0</formula>
    </cfRule>
  </conditionalFormatting>
  <conditionalFormatting sqref="B26:M76">
    <cfRule type="expression" dxfId="23" priority="3" stopIfTrue="1">
      <formula>MOD(ROW(),2)=0</formula>
    </cfRule>
    <cfRule type="expression" dxfId="22" priority="4" stopIfTrue="1">
      <formula>MOD(ROW(),2)&lt;&gt;0</formula>
    </cfRule>
  </conditionalFormatting>
  <hyperlinks>
    <hyperlink ref="B24" location="Assumptions!A1" display="Assumptions" xr:uid="{488DE0F9-7ED1-4BEE-ADC0-4A1769BB8DB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14"/>
  <dimension ref="A1:M67"/>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Abatement - x-822</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74</v>
      </c>
      <c r="C8" s="161"/>
      <c r="D8" s="161"/>
      <c r="E8" s="161"/>
      <c r="F8" s="161"/>
      <c r="G8" s="161"/>
      <c r="H8" s="161"/>
      <c r="I8" s="161"/>
      <c r="J8" s="161"/>
      <c r="K8" s="161"/>
      <c r="L8" s="161"/>
      <c r="M8" s="161"/>
    </row>
    <row r="9" spans="1:13" x14ac:dyDescent="0.25">
      <c r="A9" s="85" t="s">
        <v>282</v>
      </c>
      <c r="B9" s="161" t="s">
        <v>632</v>
      </c>
      <c r="C9" s="161"/>
      <c r="D9" s="161"/>
      <c r="E9" s="161"/>
      <c r="F9" s="161"/>
      <c r="G9" s="161"/>
      <c r="H9" s="161"/>
      <c r="I9" s="161"/>
      <c r="J9" s="161"/>
      <c r="K9" s="161"/>
      <c r="L9" s="161"/>
      <c r="M9" s="161"/>
    </row>
    <row r="10" spans="1:13" x14ac:dyDescent="0.25">
      <c r="A10" s="85" t="s">
        <v>6</v>
      </c>
      <c r="B10" s="161" t="s">
        <v>652</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473</v>
      </c>
      <c r="C12" s="161"/>
      <c r="D12" s="161"/>
      <c r="E12" s="161"/>
      <c r="F12" s="161"/>
      <c r="G12" s="161"/>
      <c r="H12" s="161"/>
      <c r="I12" s="161"/>
      <c r="J12" s="161"/>
      <c r="K12" s="161"/>
      <c r="L12" s="161"/>
      <c r="M12" s="161"/>
    </row>
    <row r="13" spans="1:13" x14ac:dyDescent="0.25">
      <c r="A13" s="85" t="s">
        <v>289</v>
      </c>
      <c r="B13" s="161">
        <v>0</v>
      </c>
      <c r="C13" s="161"/>
      <c r="D13" s="161"/>
      <c r="E13" s="161"/>
      <c r="F13" s="161"/>
      <c r="G13" s="161"/>
      <c r="H13" s="161"/>
      <c r="I13" s="161"/>
      <c r="J13" s="161"/>
      <c r="K13" s="161"/>
      <c r="L13" s="161"/>
      <c r="M13" s="161"/>
    </row>
    <row r="14" spans="1:13" x14ac:dyDescent="0.25">
      <c r="A14" s="85" t="s">
        <v>291</v>
      </c>
      <c r="B14" s="161">
        <v>822</v>
      </c>
      <c r="C14" s="161"/>
      <c r="D14" s="161"/>
      <c r="E14" s="161"/>
      <c r="F14" s="161"/>
      <c r="G14" s="161"/>
      <c r="H14" s="161"/>
      <c r="I14" s="161"/>
      <c r="J14" s="161"/>
      <c r="K14" s="161"/>
      <c r="L14" s="161"/>
      <c r="M14" s="161"/>
    </row>
    <row r="15" spans="1:13" x14ac:dyDescent="0.25">
      <c r="A15" s="85" t="s">
        <v>293</v>
      </c>
      <c r="B15" s="161" t="s">
        <v>653</v>
      </c>
      <c r="C15" s="161"/>
      <c r="D15" s="161"/>
      <c r="E15" s="161"/>
      <c r="F15" s="161"/>
      <c r="G15" s="161"/>
      <c r="H15" s="161"/>
      <c r="I15" s="161"/>
      <c r="J15" s="161"/>
      <c r="K15" s="161"/>
      <c r="L15" s="161"/>
      <c r="M15" s="161"/>
    </row>
    <row r="16" spans="1:13" x14ac:dyDescent="0.25">
      <c r="A16" s="85" t="s">
        <v>295</v>
      </c>
      <c r="B16" s="161" t="s">
        <v>636</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45135</v>
      </c>
      <c r="C18" s="161"/>
      <c r="D18" s="161"/>
      <c r="E18" s="161"/>
      <c r="F18" s="161"/>
      <c r="G18" s="161"/>
      <c r="H18" s="161"/>
      <c r="I18" s="161"/>
      <c r="J18" s="161"/>
      <c r="K18" s="161"/>
      <c r="L18" s="161"/>
      <c r="M18" s="161"/>
    </row>
    <row r="19" spans="1:13" x14ac:dyDescent="0.25">
      <c r="A19" s="85" t="s">
        <v>301</v>
      </c>
      <c r="B19" s="162">
        <v>45200</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765</v>
      </c>
      <c r="B26" s="98">
        <v>0</v>
      </c>
      <c r="C26" s="98">
        <v>1</v>
      </c>
      <c r="D26" s="98">
        <v>2</v>
      </c>
      <c r="E26" s="98">
        <v>3</v>
      </c>
      <c r="F26" s="98">
        <v>4</v>
      </c>
      <c r="G26" s="98">
        <v>5</v>
      </c>
      <c r="H26" s="98">
        <v>6</v>
      </c>
      <c r="I26" s="98">
        <v>7</v>
      </c>
      <c r="J26" s="98">
        <v>8</v>
      </c>
      <c r="K26" s="98">
        <v>9</v>
      </c>
      <c r="L26" s="98">
        <v>10</v>
      </c>
      <c r="M26" s="98">
        <v>11</v>
      </c>
    </row>
    <row r="27" spans="1:13" x14ac:dyDescent="0.25">
      <c r="A27" s="99">
        <v>0</v>
      </c>
      <c r="B27" s="117">
        <v>1</v>
      </c>
      <c r="C27" s="117">
        <v>0.996</v>
      </c>
      <c r="D27" s="117">
        <v>0.99099999999999999</v>
      </c>
      <c r="E27" s="117">
        <v>0.98699999999999999</v>
      </c>
      <c r="F27" s="117">
        <v>0.98299999999999998</v>
      </c>
      <c r="G27" s="117">
        <v>0.97799999999999998</v>
      </c>
      <c r="H27" s="117">
        <v>0.97399999999999998</v>
      </c>
      <c r="I27" s="117">
        <v>0.96899999999999997</v>
      </c>
      <c r="J27" s="117">
        <v>0.96499999999999997</v>
      </c>
      <c r="K27" s="117">
        <v>0.96099999999999997</v>
      </c>
      <c r="L27" s="117">
        <v>0.95599999999999996</v>
      </c>
      <c r="M27" s="117">
        <v>0.95199999999999996</v>
      </c>
    </row>
    <row r="28" spans="1:13" x14ac:dyDescent="0.25">
      <c r="A28" s="99">
        <v>1</v>
      </c>
      <c r="B28" s="117">
        <v>0.94799999999999995</v>
      </c>
      <c r="C28" s="117">
        <v>0.94399999999999995</v>
      </c>
      <c r="D28" s="117">
        <v>0.93899999999999995</v>
      </c>
      <c r="E28" s="117">
        <v>0.93500000000000005</v>
      </c>
      <c r="F28" s="117">
        <v>0.93100000000000005</v>
      </c>
      <c r="G28" s="117">
        <v>0.92700000000000005</v>
      </c>
      <c r="H28" s="117">
        <v>0.92300000000000004</v>
      </c>
      <c r="I28" s="117">
        <v>0.91900000000000004</v>
      </c>
      <c r="J28" s="117">
        <v>0.91500000000000004</v>
      </c>
      <c r="K28" s="117">
        <v>0.91100000000000003</v>
      </c>
      <c r="L28" s="117">
        <v>0.90700000000000003</v>
      </c>
      <c r="M28" s="117">
        <v>0.90300000000000002</v>
      </c>
    </row>
    <row r="29" spans="1:13" x14ac:dyDescent="0.25">
      <c r="A29" s="99">
        <v>2</v>
      </c>
      <c r="B29" s="117">
        <v>0.89900000000000002</v>
      </c>
      <c r="C29" s="117">
        <v>0.89600000000000002</v>
      </c>
      <c r="D29" s="117">
        <v>0.89200000000000002</v>
      </c>
      <c r="E29" s="117">
        <v>0.88800000000000001</v>
      </c>
      <c r="F29" s="117">
        <v>0.88500000000000001</v>
      </c>
      <c r="G29" s="117">
        <v>0.88100000000000001</v>
      </c>
      <c r="H29" s="117">
        <v>0.877</v>
      </c>
      <c r="I29" s="117">
        <v>0.874</v>
      </c>
      <c r="J29" s="117">
        <v>0.87</v>
      </c>
      <c r="K29" s="117">
        <v>0.86599999999999999</v>
      </c>
      <c r="L29" s="117">
        <v>0.86299999999999999</v>
      </c>
      <c r="M29" s="117">
        <v>0.85899999999999999</v>
      </c>
    </row>
    <row r="30" spans="1:13" x14ac:dyDescent="0.25">
      <c r="A30" s="99">
        <v>3</v>
      </c>
      <c r="B30" s="117">
        <v>0.85499999999999998</v>
      </c>
      <c r="C30" s="117">
        <v>0.85199999999999998</v>
      </c>
      <c r="D30" s="117">
        <v>0.84899999999999998</v>
      </c>
      <c r="E30" s="117">
        <v>0.84499999999999997</v>
      </c>
      <c r="F30" s="117">
        <v>0.84199999999999997</v>
      </c>
      <c r="G30" s="117">
        <v>0.83899999999999997</v>
      </c>
      <c r="H30" s="117">
        <v>0.83499999999999996</v>
      </c>
      <c r="I30" s="117">
        <v>0.83199999999999996</v>
      </c>
      <c r="J30" s="117">
        <v>0.82799999999999996</v>
      </c>
      <c r="K30" s="117">
        <v>0.82499999999999996</v>
      </c>
      <c r="L30" s="117">
        <v>0.82199999999999995</v>
      </c>
      <c r="M30" s="117">
        <v>0.81799999999999995</v>
      </c>
    </row>
    <row r="31" spans="1:13" x14ac:dyDescent="0.25">
      <c r="A31" s="99">
        <v>4</v>
      </c>
      <c r="B31" s="117">
        <v>0.81499999999999995</v>
      </c>
      <c r="C31" s="117">
        <v>0.81200000000000006</v>
      </c>
      <c r="D31" s="117">
        <v>0.80900000000000005</v>
      </c>
      <c r="E31" s="117">
        <v>0.80600000000000005</v>
      </c>
      <c r="F31" s="117">
        <v>0.80200000000000005</v>
      </c>
      <c r="G31" s="117">
        <v>0.79900000000000004</v>
      </c>
      <c r="H31" s="117">
        <v>0.79600000000000004</v>
      </c>
      <c r="I31" s="117">
        <v>0.79300000000000004</v>
      </c>
      <c r="J31" s="117">
        <v>0.79</v>
      </c>
      <c r="K31" s="117">
        <v>0.78700000000000003</v>
      </c>
      <c r="L31" s="117">
        <v>0.78400000000000003</v>
      </c>
      <c r="M31" s="117">
        <v>0.78100000000000003</v>
      </c>
    </row>
    <row r="32" spans="1:13" x14ac:dyDescent="0.25">
      <c r="A32" s="99">
        <v>5</v>
      </c>
      <c r="B32" s="117">
        <v>0.77700000000000002</v>
      </c>
      <c r="C32" s="117">
        <v>0.77500000000000002</v>
      </c>
      <c r="D32" s="117">
        <v>0.77200000000000002</v>
      </c>
      <c r="E32" s="117">
        <v>0.76900000000000002</v>
      </c>
      <c r="F32" s="117">
        <v>0.76600000000000001</v>
      </c>
      <c r="G32" s="117">
        <v>0.76300000000000001</v>
      </c>
      <c r="H32" s="117">
        <v>0.76</v>
      </c>
      <c r="I32" s="117">
        <v>0.75700000000000001</v>
      </c>
      <c r="J32" s="117">
        <v>0.754</v>
      </c>
      <c r="K32" s="117">
        <v>0.752</v>
      </c>
      <c r="L32" s="117">
        <v>0.749</v>
      </c>
      <c r="M32" s="117">
        <v>0.746</v>
      </c>
    </row>
    <row r="33" spans="1:13" x14ac:dyDescent="0.25">
      <c r="A33" s="99">
        <v>6</v>
      </c>
      <c r="B33" s="117">
        <v>0.74299999999999999</v>
      </c>
      <c r="C33" s="117">
        <v>0.74</v>
      </c>
      <c r="D33" s="117">
        <v>0.73799999999999999</v>
      </c>
      <c r="E33" s="117">
        <v>0.73499999999999999</v>
      </c>
      <c r="F33" s="117">
        <v>0.73199999999999998</v>
      </c>
      <c r="G33" s="117">
        <v>0.73</v>
      </c>
      <c r="H33" s="117">
        <v>0.72699999999999998</v>
      </c>
      <c r="I33" s="117">
        <v>0.72399999999999998</v>
      </c>
      <c r="J33" s="117">
        <v>0.72099999999999997</v>
      </c>
      <c r="K33" s="117">
        <v>0.71899999999999997</v>
      </c>
      <c r="L33" s="117">
        <v>0.71599999999999997</v>
      </c>
      <c r="M33" s="117">
        <v>0.71299999999999997</v>
      </c>
    </row>
    <row r="34" spans="1:13" x14ac:dyDescent="0.25">
      <c r="A34" s="99">
        <v>7</v>
      </c>
      <c r="B34" s="117">
        <v>0.71099999999999997</v>
      </c>
      <c r="C34" s="117">
        <v>0.70799999999999996</v>
      </c>
      <c r="D34" s="117">
        <v>0.70599999999999996</v>
      </c>
      <c r="E34" s="117">
        <v>0.70299999999999996</v>
      </c>
      <c r="F34" s="117">
        <v>0.70099999999999996</v>
      </c>
      <c r="G34" s="117">
        <v>0.69799999999999995</v>
      </c>
      <c r="H34" s="117">
        <v>0.69599999999999995</v>
      </c>
      <c r="I34" s="117">
        <v>0.69299999999999995</v>
      </c>
      <c r="J34" s="117">
        <v>0.69099999999999995</v>
      </c>
      <c r="K34" s="117">
        <v>0.68799999999999994</v>
      </c>
      <c r="L34" s="117">
        <v>0.68600000000000005</v>
      </c>
      <c r="M34" s="117">
        <v>0.68300000000000005</v>
      </c>
    </row>
    <row r="35" spans="1:13" x14ac:dyDescent="0.25">
      <c r="A35" s="99">
        <v>8</v>
      </c>
      <c r="B35" s="117">
        <v>0.68100000000000005</v>
      </c>
      <c r="C35" s="117">
        <v>0.67900000000000005</v>
      </c>
      <c r="D35" s="117">
        <v>0.67600000000000005</v>
      </c>
      <c r="E35" s="117">
        <v>0.67400000000000004</v>
      </c>
      <c r="F35" s="117">
        <v>0.67200000000000004</v>
      </c>
      <c r="G35" s="117">
        <v>0.66900000000000004</v>
      </c>
      <c r="H35" s="117">
        <v>0.66700000000000004</v>
      </c>
      <c r="I35" s="117">
        <v>0.66500000000000004</v>
      </c>
      <c r="J35" s="117">
        <v>0.66200000000000003</v>
      </c>
      <c r="K35" s="117">
        <v>0.66</v>
      </c>
      <c r="L35" s="117">
        <v>0.65800000000000003</v>
      </c>
      <c r="M35" s="117">
        <v>0.65500000000000003</v>
      </c>
    </row>
    <row r="36" spans="1:13" x14ac:dyDescent="0.25">
      <c r="A36" s="99">
        <v>9</v>
      </c>
      <c r="B36" s="117">
        <v>0.65300000000000002</v>
      </c>
      <c r="C36" s="117">
        <v>0.65100000000000002</v>
      </c>
      <c r="D36" s="117">
        <v>0.64900000000000002</v>
      </c>
      <c r="E36" s="117">
        <v>0.64700000000000002</v>
      </c>
      <c r="F36" s="117">
        <v>0.64400000000000002</v>
      </c>
      <c r="G36" s="117">
        <v>0.64200000000000002</v>
      </c>
      <c r="H36" s="117">
        <v>0.64</v>
      </c>
      <c r="I36" s="117">
        <v>0.63800000000000001</v>
      </c>
      <c r="J36" s="117">
        <v>0.63600000000000001</v>
      </c>
      <c r="K36" s="117">
        <v>0.63400000000000001</v>
      </c>
      <c r="L36" s="117">
        <v>0.63100000000000001</v>
      </c>
      <c r="M36" s="117">
        <v>0.629</v>
      </c>
    </row>
    <row r="37" spans="1:13" x14ac:dyDescent="0.25">
      <c r="A37" s="99">
        <v>10</v>
      </c>
      <c r="B37" s="117">
        <v>0.627</v>
      </c>
      <c r="C37" s="117">
        <v>0.625</v>
      </c>
      <c r="D37" s="117">
        <v>0.623</v>
      </c>
      <c r="E37" s="117">
        <v>0.621</v>
      </c>
      <c r="F37" s="117">
        <v>0.61899999999999999</v>
      </c>
      <c r="G37" s="117">
        <v>0.61699999999999999</v>
      </c>
      <c r="H37" s="117">
        <v>0.61499999999999999</v>
      </c>
      <c r="I37" s="117">
        <v>0.61299999999999999</v>
      </c>
      <c r="J37" s="117">
        <v>0.61099999999999999</v>
      </c>
      <c r="K37" s="117">
        <v>0.60899999999999999</v>
      </c>
      <c r="L37" s="117">
        <v>0.60699999999999998</v>
      </c>
      <c r="M37" s="117">
        <v>0.60499999999999998</v>
      </c>
    </row>
    <row r="38" spans="1:13" x14ac:dyDescent="0.25">
      <c r="A38" s="99">
        <v>11</v>
      </c>
      <c r="B38" s="117">
        <v>0.60299999999999998</v>
      </c>
      <c r="C38" s="117">
        <v>0.60099999999999998</v>
      </c>
      <c r="D38" s="117">
        <v>0.59899999999999998</v>
      </c>
      <c r="E38" s="117">
        <v>0.59699999999999998</v>
      </c>
      <c r="F38" s="117">
        <v>0.59499999999999997</v>
      </c>
      <c r="G38" s="117">
        <v>0.59299999999999997</v>
      </c>
      <c r="H38" s="117">
        <v>0.59099999999999997</v>
      </c>
      <c r="I38" s="117">
        <v>0.59</v>
      </c>
      <c r="J38" s="117">
        <v>0.58799999999999997</v>
      </c>
      <c r="K38" s="117">
        <v>0.58599999999999997</v>
      </c>
      <c r="L38" s="117">
        <v>0.58399999999999996</v>
      </c>
      <c r="M38" s="117">
        <v>0.58199999999999996</v>
      </c>
    </row>
    <row r="39" spans="1:13" x14ac:dyDescent="0.25">
      <c r="A39" s="99">
        <v>12</v>
      </c>
      <c r="B39" s="117">
        <v>0.57999999999999996</v>
      </c>
      <c r="C39" s="117">
        <v>0.57799999999999996</v>
      </c>
      <c r="D39" s="117">
        <v>0.57699999999999996</v>
      </c>
      <c r="E39" s="117">
        <v>0.57499999999999996</v>
      </c>
      <c r="F39" s="117">
        <v>0.57299999999999995</v>
      </c>
      <c r="G39" s="117">
        <v>0.57099999999999995</v>
      </c>
      <c r="H39" s="117">
        <v>0.56899999999999995</v>
      </c>
      <c r="I39" s="117">
        <v>0.56799999999999995</v>
      </c>
      <c r="J39" s="117">
        <v>0.56599999999999995</v>
      </c>
      <c r="K39" s="117">
        <v>0.56399999999999995</v>
      </c>
      <c r="L39" s="117">
        <v>0.56200000000000006</v>
      </c>
      <c r="M39" s="117">
        <v>0.56100000000000005</v>
      </c>
    </row>
    <row r="40" spans="1:13" x14ac:dyDescent="0.25">
      <c r="A40" s="99">
        <v>13</v>
      </c>
      <c r="B40" s="117">
        <v>0.55900000000000005</v>
      </c>
      <c r="C40" s="117">
        <v>0.55700000000000005</v>
      </c>
      <c r="D40" s="117">
        <v>0.55500000000000005</v>
      </c>
      <c r="E40" s="117">
        <v>0.55400000000000005</v>
      </c>
      <c r="F40" s="117">
        <v>0.55200000000000005</v>
      </c>
      <c r="G40" s="117">
        <v>0.55000000000000004</v>
      </c>
      <c r="H40" s="117">
        <v>0.54900000000000004</v>
      </c>
      <c r="I40" s="117">
        <v>0.54700000000000004</v>
      </c>
      <c r="J40" s="117">
        <v>0.54500000000000004</v>
      </c>
      <c r="K40" s="117">
        <v>0.54400000000000004</v>
      </c>
      <c r="L40" s="117">
        <v>0.54200000000000004</v>
      </c>
      <c r="M40" s="117">
        <v>0.54</v>
      </c>
    </row>
    <row r="41" spans="1:13" x14ac:dyDescent="0.25">
      <c r="A41" s="99">
        <v>14</v>
      </c>
      <c r="B41" s="117">
        <v>0.53900000000000003</v>
      </c>
      <c r="C41" s="117">
        <v>0.53700000000000003</v>
      </c>
      <c r="D41" s="117">
        <v>0.53500000000000003</v>
      </c>
      <c r="E41" s="117">
        <v>0.53400000000000003</v>
      </c>
      <c r="F41" s="117">
        <v>0.53200000000000003</v>
      </c>
      <c r="G41" s="117">
        <v>0.53100000000000003</v>
      </c>
      <c r="H41" s="117">
        <v>0.52900000000000003</v>
      </c>
      <c r="I41" s="117">
        <v>0.52800000000000002</v>
      </c>
      <c r="J41" s="117">
        <v>0.52600000000000002</v>
      </c>
      <c r="K41" s="117">
        <v>0.52400000000000002</v>
      </c>
      <c r="L41" s="117">
        <v>0.52300000000000002</v>
      </c>
      <c r="M41" s="117">
        <v>0.52100000000000002</v>
      </c>
    </row>
    <row r="42" spans="1:13" x14ac:dyDescent="0.25">
      <c r="A42" s="99">
        <v>15</v>
      </c>
      <c r="B42" s="117">
        <v>0.52</v>
      </c>
      <c r="C42" s="117">
        <v>0.51800000000000002</v>
      </c>
      <c r="D42" s="117">
        <v>0.51700000000000002</v>
      </c>
      <c r="E42" s="117">
        <v>0.51500000000000001</v>
      </c>
      <c r="F42" s="117">
        <v>0.51400000000000001</v>
      </c>
      <c r="G42" s="117">
        <v>0.51200000000000001</v>
      </c>
      <c r="H42" s="117">
        <v>0.51100000000000001</v>
      </c>
      <c r="I42" s="117">
        <v>0.50900000000000001</v>
      </c>
      <c r="J42" s="117">
        <v>0.50800000000000001</v>
      </c>
      <c r="K42" s="117">
        <v>0.50600000000000001</v>
      </c>
      <c r="L42" s="117">
        <v>0.505</v>
      </c>
      <c r="M42" s="117">
        <v>0.503</v>
      </c>
    </row>
    <row r="43" spans="1:13" x14ac:dyDescent="0.25">
      <c r="A43" s="99">
        <v>16</v>
      </c>
      <c r="B43" s="117">
        <v>0.502</v>
      </c>
      <c r="C43" s="117">
        <v>0.5</v>
      </c>
      <c r="D43" s="117">
        <v>0.499</v>
      </c>
      <c r="E43" s="117">
        <v>0.498</v>
      </c>
      <c r="F43" s="117">
        <v>0.496</v>
      </c>
      <c r="G43" s="117">
        <v>0.495</v>
      </c>
      <c r="H43" s="117">
        <v>0.49299999999999999</v>
      </c>
      <c r="I43" s="117">
        <v>0.49199999999999999</v>
      </c>
      <c r="J43" s="117">
        <v>0.49099999999999999</v>
      </c>
      <c r="K43" s="117">
        <v>0.48899999999999999</v>
      </c>
      <c r="L43" s="117">
        <v>0.48799999999999999</v>
      </c>
      <c r="M43" s="117">
        <v>0.48599999999999999</v>
      </c>
    </row>
    <row r="44" spans="1:13" x14ac:dyDescent="0.25">
      <c r="A44" s="99">
        <v>17</v>
      </c>
      <c r="B44" s="117">
        <v>0.48499999999999999</v>
      </c>
      <c r="C44" s="117">
        <v>0.48399999999999999</v>
      </c>
      <c r="D44" s="117">
        <v>0.48199999999999998</v>
      </c>
      <c r="E44" s="117">
        <v>0.48099999999999998</v>
      </c>
      <c r="F44" s="117">
        <v>0.48</v>
      </c>
      <c r="G44" s="117">
        <v>0.47799999999999998</v>
      </c>
      <c r="H44" s="117">
        <v>0.47699999999999998</v>
      </c>
      <c r="I44" s="117">
        <v>0.47599999999999998</v>
      </c>
      <c r="J44" s="117">
        <v>0.47399999999999998</v>
      </c>
      <c r="K44" s="117">
        <v>0.47299999999999998</v>
      </c>
      <c r="L44" s="117">
        <v>0.47199999999999998</v>
      </c>
      <c r="M44" s="117">
        <v>0.47</v>
      </c>
    </row>
    <row r="45" spans="1:13" x14ac:dyDescent="0.25">
      <c r="A45" s="99">
        <v>18</v>
      </c>
      <c r="B45" s="117">
        <v>0.46899999999999997</v>
      </c>
      <c r="C45" s="117">
        <v>0.46800000000000003</v>
      </c>
      <c r="D45" s="117">
        <v>0.46600000000000003</v>
      </c>
      <c r="E45" s="117">
        <v>0.46500000000000002</v>
      </c>
      <c r="F45" s="117">
        <v>0.46400000000000002</v>
      </c>
      <c r="G45" s="117">
        <v>0.46300000000000002</v>
      </c>
      <c r="H45" s="117">
        <v>0.46100000000000002</v>
      </c>
      <c r="I45" s="117">
        <v>0.46</v>
      </c>
      <c r="J45" s="117">
        <v>0.45900000000000002</v>
      </c>
      <c r="K45" s="117">
        <v>0.45800000000000002</v>
      </c>
      <c r="L45" s="117">
        <v>0.45600000000000002</v>
      </c>
      <c r="M45" s="117">
        <v>0.45500000000000002</v>
      </c>
    </row>
    <row r="46" spans="1:13" x14ac:dyDescent="0.25">
      <c r="A46" s="99">
        <v>19</v>
      </c>
      <c r="B46" s="117">
        <v>0.45400000000000001</v>
      </c>
      <c r="C46" s="117">
        <v>0.45300000000000001</v>
      </c>
      <c r="D46" s="117">
        <v>0.45100000000000001</v>
      </c>
      <c r="E46" s="117">
        <v>0.45</v>
      </c>
      <c r="F46" s="117">
        <v>0.44900000000000001</v>
      </c>
      <c r="G46" s="117">
        <v>0.44800000000000001</v>
      </c>
      <c r="H46" s="117">
        <v>0.44700000000000001</v>
      </c>
      <c r="I46" s="117">
        <v>0.44500000000000001</v>
      </c>
      <c r="J46" s="117">
        <v>0.44400000000000001</v>
      </c>
      <c r="K46" s="117">
        <v>0.443</v>
      </c>
      <c r="L46" s="117">
        <v>0.442</v>
      </c>
      <c r="M46" s="117">
        <v>0.441</v>
      </c>
    </row>
    <row r="47" spans="1:13" x14ac:dyDescent="0.25">
      <c r="A47" s="99">
        <v>20</v>
      </c>
      <c r="B47" s="117">
        <v>0.439</v>
      </c>
      <c r="C47" s="117">
        <v>0.438</v>
      </c>
      <c r="D47" s="117">
        <v>0.437</v>
      </c>
      <c r="E47" s="117">
        <v>0.436</v>
      </c>
      <c r="F47" s="117">
        <v>0.435</v>
      </c>
      <c r="G47" s="117">
        <v>0.434</v>
      </c>
      <c r="H47" s="117">
        <v>0.433</v>
      </c>
      <c r="I47" s="117">
        <v>0.43099999999999999</v>
      </c>
      <c r="J47" s="117">
        <v>0.43</v>
      </c>
      <c r="K47" s="117">
        <v>0.42899999999999999</v>
      </c>
      <c r="L47" s="117">
        <v>0.42799999999999999</v>
      </c>
      <c r="M47" s="117">
        <v>0.42699999999999999</v>
      </c>
    </row>
    <row r="48" spans="1:13" x14ac:dyDescent="0.25">
      <c r="A48" s="99">
        <v>21</v>
      </c>
      <c r="B48" s="117">
        <v>0.42599999999999999</v>
      </c>
      <c r="C48" s="117">
        <v>0.42499999999999999</v>
      </c>
      <c r="D48" s="117">
        <v>0.42399999999999999</v>
      </c>
      <c r="E48" s="117">
        <v>0.42199999999999999</v>
      </c>
      <c r="F48" s="117">
        <v>0.42099999999999999</v>
      </c>
      <c r="G48" s="117">
        <v>0.42</v>
      </c>
      <c r="H48" s="117">
        <v>0.41899999999999998</v>
      </c>
      <c r="I48" s="117">
        <v>0.41799999999999998</v>
      </c>
      <c r="J48" s="117">
        <v>0.41699999999999998</v>
      </c>
      <c r="K48" s="117">
        <v>0.41599999999999998</v>
      </c>
      <c r="L48" s="117">
        <v>0.41499999999999998</v>
      </c>
      <c r="M48" s="117">
        <v>0.41399999999999998</v>
      </c>
    </row>
    <row r="49" spans="1:13" x14ac:dyDescent="0.25">
      <c r="A49" s="99">
        <v>22</v>
      </c>
      <c r="B49" s="117">
        <v>0.41299999999999998</v>
      </c>
      <c r="C49" s="117">
        <v>0.41199999999999998</v>
      </c>
      <c r="D49" s="117">
        <v>0.41099999999999998</v>
      </c>
      <c r="E49" s="117">
        <v>0.41</v>
      </c>
      <c r="F49" s="117">
        <v>0.40899999999999997</v>
      </c>
      <c r="G49" s="117">
        <v>0.40799999999999997</v>
      </c>
      <c r="H49" s="117">
        <v>0.40699999999999997</v>
      </c>
      <c r="I49" s="117">
        <v>0.40600000000000003</v>
      </c>
      <c r="J49" s="117">
        <v>0.40400000000000003</v>
      </c>
      <c r="K49" s="117">
        <v>0.40300000000000002</v>
      </c>
      <c r="L49" s="117">
        <v>0.40200000000000002</v>
      </c>
      <c r="M49" s="117">
        <v>0.40100000000000002</v>
      </c>
    </row>
    <row r="50" spans="1:13" x14ac:dyDescent="0.25">
      <c r="A50" s="99">
        <v>23</v>
      </c>
      <c r="B50" s="117">
        <v>0.4</v>
      </c>
      <c r="C50" s="117">
        <v>0.39900000000000002</v>
      </c>
      <c r="D50" s="117">
        <v>0.39800000000000002</v>
      </c>
      <c r="E50" s="117">
        <v>0.39700000000000002</v>
      </c>
      <c r="F50" s="117">
        <v>0.39600000000000002</v>
      </c>
      <c r="G50" s="117">
        <v>0.39500000000000002</v>
      </c>
      <c r="H50" s="117">
        <v>0.39400000000000002</v>
      </c>
      <c r="I50" s="117">
        <v>0.39300000000000002</v>
      </c>
      <c r="J50" s="117">
        <v>0.39200000000000002</v>
      </c>
      <c r="K50" s="117">
        <v>0.39100000000000001</v>
      </c>
      <c r="L50" s="117">
        <v>0.39100000000000001</v>
      </c>
      <c r="M50" s="117">
        <v>0.39</v>
      </c>
    </row>
    <row r="51" spans="1:13" x14ac:dyDescent="0.25">
      <c r="A51" s="99">
        <v>24</v>
      </c>
      <c r="B51" s="117">
        <v>0.38900000000000001</v>
      </c>
      <c r="C51" s="117">
        <v>0.38800000000000001</v>
      </c>
      <c r="D51" s="117">
        <v>0.38700000000000001</v>
      </c>
      <c r="E51" s="117">
        <v>0.38600000000000001</v>
      </c>
      <c r="F51" s="117">
        <v>0.38500000000000001</v>
      </c>
      <c r="G51" s="117">
        <v>0.38400000000000001</v>
      </c>
      <c r="H51" s="117">
        <v>0.38300000000000001</v>
      </c>
      <c r="I51" s="117">
        <v>0.38200000000000001</v>
      </c>
      <c r="J51" s="117">
        <v>0.38100000000000001</v>
      </c>
      <c r="K51" s="117">
        <v>0.38</v>
      </c>
      <c r="L51" s="117">
        <v>0.379</v>
      </c>
      <c r="M51" s="117">
        <v>0.378</v>
      </c>
    </row>
    <row r="52" spans="1:13" x14ac:dyDescent="0.25">
      <c r="A52" s="99">
        <v>25</v>
      </c>
      <c r="B52" s="117">
        <v>0.377</v>
      </c>
      <c r="C52" s="117">
        <v>0.376</v>
      </c>
      <c r="D52" s="117">
        <v>0.375</v>
      </c>
      <c r="E52" s="117">
        <v>0.375</v>
      </c>
      <c r="F52" s="117">
        <v>0.374</v>
      </c>
      <c r="G52" s="117">
        <v>0.373</v>
      </c>
      <c r="H52" s="117">
        <v>0.372</v>
      </c>
      <c r="I52" s="117">
        <v>0.371</v>
      </c>
      <c r="J52" s="117">
        <v>0.37</v>
      </c>
      <c r="K52" s="117">
        <v>0.36899999999999999</v>
      </c>
      <c r="L52" s="117">
        <v>0.36799999999999999</v>
      </c>
      <c r="M52" s="117">
        <v>0.36699999999999999</v>
      </c>
    </row>
    <row r="53" spans="1:13" x14ac:dyDescent="0.25">
      <c r="A53" s="99">
        <v>26</v>
      </c>
      <c r="B53" s="117">
        <v>0.36699999999999999</v>
      </c>
      <c r="C53" s="117">
        <v>0.36599999999999999</v>
      </c>
      <c r="D53" s="117">
        <v>0.36499999999999999</v>
      </c>
      <c r="E53" s="117">
        <v>0.36399999999999999</v>
      </c>
      <c r="F53" s="117">
        <v>0.36299999999999999</v>
      </c>
      <c r="G53" s="117">
        <v>0.36199999999999999</v>
      </c>
      <c r="H53" s="117">
        <v>0.36099999999999999</v>
      </c>
      <c r="I53" s="117">
        <v>0.36099999999999999</v>
      </c>
      <c r="J53" s="117">
        <v>0.36</v>
      </c>
      <c r="K53" s="117">
        <v>0.35899999999999999</v>
      </c>
      <c r="L53" s="117">
        <v>0.35799999999999998</v>
      </c>
      <c r="M53" s="117">
        <v>0.35699999999999998</v>
      </c>
    </row>
    <row r="54" spans="1:13" x14ac:dyDescent="0.25">
      <c r="A54" s="99">
        <v>27</v>
      </c>
      <c r="B54" s="117">
        <v>0.35599999999999998</v>
      </c>
      <c r="C54" s="117">
        <v>0.35499999999999998</v>
      </c>
      <c r="D54" s="117">
        <v>0.35499999999999998</v>
      </c>
      <c r="E54" s="117">
        <v>0.35399999999999998</v>
      </c>
      <c r="F54" s="117">
        <v>0.35299999999999998</v>
      </c>
      <c r="G54" s="117">
        <v>0.35199999999999998</v>
      </c>
      <c r="H54" s="117">
        <v>0.35099999999999998</v>
      </c>
      <c r="I54" s="117">
        <v>0.35</v>
      </c>
      <c r="J54" s="117">
        <v>0.35</v>
      </c>
      <c r="K54" s="117">
        <v>0.34899999999999998</v>
      </c>
      <c r="L54" s="117">
        <v>0.34799999999999998</v>
      </c>
      <c r="M54" s="117">
        <v>0.34699999999999998</v>
      </c>
    </row>
    <row r="55" spans="1:13" x14ac:dyDescent="0.25">
      <c r="A55" s="99">
        <v>28</v>
      </c>
      <c r="B55" s="117">
        <v>0.34599999999999997</v>
      </c>
      <c r="C55" s="117">
        <v>0.34599999999999997</v>
      </c>
      <c r="D55" s="117">
        <v>0.34499999999999997</v>
      </c>
      <c r="E55" s="117">
        <v>0.34399999999999997</v>
      </c>
      <c r="F55" s="117">
        <v>0.34300000000000003</v>
      </c>
      <c r="G55" s="117">
        <v>0.34200000000000003</v>
      </c>
      <c r="H55" s="117">
        <v>0.34200000000000003</v>
      </c>
      <c r="I55" s="117">
        <v>0.34100000000000003</v>
      </c>
      <c r="J55" s="117">
        <v>0.34</v>
      </c>
      <c r="K55" s="117">
        <v>0.33900000000000002</v>
      </c>
      <c r="L55" s="117">
        <v>0.33900000000000002</v>
      </c>
      <c r="M55" s="117">
        <v>0.33800000000000002</v>
      </c>
    </row>
    <row r="56" spans="1:13" x14ac:dyDescent="0.25">
      <c r="A56" s="99">
        <v>29</v>
      </c>
      <c r="B56" s="117">
        <v>0.33700000000000002</v>
      </c>
      <c r="C56" s="117">
        <v>0.33600000000000002</v>
      </c>
      <c r="D56" s="117">
        <v>0.33500000000000002</v>
      </c>
      <c r="E56" s="117">
        <v>0.33500000000000002</v>
      </c>
      <c r="F56" s="117">
        <v>0.33400000000000002</v>
      </c>
      <c r="G56" s="117">
        <v>0.33300000000000002</v>
      </c>
      <c r="H56" s="117">
        <v>0.33200000000000002</v>
      </c>
      <c r="I56" s="117">
        <v>0.33200000000000002</v>
      </c>
      <c r="J56" s="117">
        <v>0.33100000000000002</v>
      </c>
      <c r="K56" s="117">
        <v>0.33</v>
      </c>
      <c r="L56" s="117">
        <v>0.32900000000000001</v>
      </c>
      <c r="M56" s="117">
        <v>0.32900000000000001</v>
      </c>
    </row>
    <row r="57" spans="1:13" x14ac:dyDescent="0.25">
      <c r="A57" s="99">
        <v>30</v>
      </c>
      <c r="B57" s="117">
        <v>0.32800000000000001</v>
      </c>
      <c r="C57" s="117">
        <v>0.32700000000000001</v>
      </c>
      <c r="D57" s="117">
        <v>0.32600000000000001</v>
      </c>
      <c r="E57" s="117">
        <v>0.32600000000000001</v>
      </c>
      <c r="F57" s="117">
        <v>0.32500000000000001</v>
      </c>
      <c r="G57" s="117">
        <v>0.32400000000000001</v>
      </c>
      <c r="H57" s="117">
        <v>0.32400000000000001</v>
      </c>
      <c r="I57" s="117">
        <v>0.32300000000000001</v>
      </c>
      <c r="J57" s="117">
        <v>0.32200000000000001</v>
      </c>
      <c r="K57" s="117">
        <v>0.32100000000000001</v>
      </c>
      <c r="L57" s="117">
        <v>0.32100000000000001</v>
      </c>
      <c r="M57" s="117">
        <v>0.32</v>
      </c>
    </row>
    <row r="58" spans="1:13" x14ac:dyDescent="0.25">
      <c r="A58" s="99">
        <v>31</v>
      </c>
      <c r="B58" s="117">
        <v>0.31900000000000001</v>
      </c>
      <c r="C58" s="117">
        <v>0.31900000000000001</v>
      </c>
      <c r="D58" s="117">
        <v>0.318</v>
      </c>
      <c r="E58" s="117">
        <v>0.317</v>
      </c>
      <c r="F58" s="117">
        <v>0.316</v>
      </c>
      <c r="G58" s="117">
        <v>0.316</v>
      </c>
      <c r="H58" s="117">
        <v>0.315</v>
      </c>
      <c r="I58" s="117">
        <v>0.314</v>
      </c>
      <c r="J58" s="117">
        <v>0.314</v>
      </c>
      <c r="K58" s="117">
        <v>0.313</v>
      </c>
      <c r="L58" s="117">
        <v>0.312</v>
      </c>
      <c r="M58" s="117">
        <v>0.312</v>
      </c>
    </row>
    <row r="59" spans="1:13" x14ac:dyDescent="0.25">
      <c r="A59" s="99">
        <v>32</v>
      </c>
      <c r="B59" s="117">
        <v>0.311</v>
      </c>
      <c r="C59" s="117">
        <v>0.31</v>
      </c>
      <c r="D59" s="117">
        <v>0.31</v>
      </c>
      <c r="E59" s="117">
        <v>0.309</v>
      </c>
      <c r="F59" s="117">
        <v>0.308</v>
      </c>
      <c r="G59" s="117">
        <v>0.308</v>
      </c>
      <c r="H59" s="117">
        <v>0.307</v>
      </c>
      <c r="I59" s="117">
        <v>0.30599999999999999</v>
      </c>
      <c r="J59" s="117">
        <v>0.30599999999999999</v>
      </c>
      <c r="K59" s="117">
        <v>0.30499999999999999</v>
      </c>
      <c r="L59" s="117">
        <v>0.30399999999999999</v>
      </c>
      <c r="M59" s="117">
        <v>0.30399999999999999</v>
      </c>
    </row>
    <row r="60" spans="1:13" x14ac:dyDescent="0.25">
      <c r="A60" s="99">
        <v>33</v>
      </c>
      <c r="B60" s="117">
        <v>0.30299999999999999</v>
      </c>
      <c r="C60" s="117">
        <v>0.30199999999999999</v>
      </c>
      <c r="D60" s="117">
        <v>0.30199999999999999</v>
      </c>
      <c r="E60" s="117">
        <v>0.30099999999999999</v>
      </c>
      <c r="F60" s="117">
        <v>0.3</v>
      </c>
      <c r="G60" s="117">
        <v>0.3</v>
      </c>
      <c r="H60" s="117">
        <v>0.29899999999999999</v>
      </c>
      <c r="I60" s="117">
        <v>0.29799999999999999</v>
      </c>
      <c r="J60" s="117">
        <v>0.29799999999999999</v>
      </c>
      <c r="K60" s="117">
        <v>0.29699999999999999</v>
      </c>
      <c r="L60" s="117">
        <v>0.29599999999999999</v>
      </c>
      <c r="M60" s="117">
        <v>0.29599999999999999</v>
      </c>
    </row>
    <row r="61" spans="1:13" x14ac:dyDescent="0.25">
      <c r="A61" s="99">
        <v>34</v>
      </c>
      <c r="B61" s="117">
        <v>0.29499999999999998</v>
      </c>
      <c r="C61" s="117">
        <v>0.29499999999999998</v>
      </c>
      <c r="D61" s="117">
        <v>0.29399999999999998</v>
      </c>
      <c r="E61" s="117">
        <v>0.29299999999999998</v>
      </c>
      <c r="F61" s="117">
        <v>0.29299999999999998</v>
      </c>
      <c r="G61" s="117">
        <v>0.29199999999999998</v>
      </c>
      <c r="H61" s="117">
        <v>0.29099999999999998</v>
      </c>
      <c r="I61" s="117">
        <v>0.29099999999999998</v>
      </c>
      <c r="J61" s="117">
        <v>0.28999999999999998</v>
      </c>
      <c r="K61" s="117">
        <v>0.28999999999999998</v>
      </c>
      <c r="L61" s="117">
        <v>0.28899999999999998</v>
      </c>
      <c r="M61" s="117">
        <v>0.28799999999999998</v>
      </c>
    </row>
    <row r="62" spans="1:13" x14ac:dyDescent="0.25">
      <c r="A62" s="99">
        <v>35</v>
      </c>
      <c r="B62" s="117">
        <v>0.28799999999999998</v>
      </c>
      <c r="C62" s="117">
        <v>0.28699999999999998</v>
      </c>
      <c r="D62" s="117">
        <v>0.28699999999999998</v>
      </c>
      <c r="E62" s="117">
        <v>0.28599999999999998</v>
      </c>
      <c r="F62" s="117">
        <v>0.28499999999999998</v>
      </c>
      <c r="G62" s="117">
        <v>0.28499999999999998</v>
      </c>
      <c r="H62" s="117">
        <v>0.28399999999999997</v>
      </c>
      <c r="I62" s="117">
        <v>0.28399999999999997</v>
      </c>
      <c r="J62" s="117">
        <v>0.28299999999999997</v>
      </c>
      <c r="K62" s="117">
        <v>0.28199999999999997</v>
      </c>
      <c r="L62" s="117">
        <v>0.28199999999999997</v>
      </c>
      <c r="M62" s="117">
        <v>0.28100000000000003</v>
      </c>
    </row>
    <row r="63" spans="1:13" x14ac:dyDescent="0.25">
      <c r="A63" s="99">
        <v>36</v>
      </c>
      <c r="B63" s="117">
        <v>0.28100000000000003</v>
      </c>
      <c r="C63" s="117">
        <v>0.28000000000000003</v>
      </c>
      <c r="D63" s="117">
        <v>0.27900000000000003</v>
      </c>
      <c r="E63" s="117">
        <v>0.27900000000000003</v>
      </c>
      <c r="F63" s="117">
        <v>0.27800000000000002</v>
      </c>
      <c r="G63" s="117">
        <v>0.27800000000000002</v>
      </c>
      <c r="H63" s="117">
        <v>0.27700000000000002</v>
      </c>
      <c r="I63" s="117">
        <v>0.27700000000000002</v>
      </c>
      <c r="J63" s="117">
        <v>0.27600000000000002</v>
      </c>
      <c r="K63" s="117">
        <v>0.27500000000000002</v>
      </c>
      <c r="L63" s="117">
        <v>0.27500000000000002</v>
      </c>
      <c r="M63" s="117">
        <v>0.27400000000000002</v>
      </c>
    </row>
    <row r="64" spans="1:13" x14ac:dyDescent="0.25">
      <c r="A64" s="99">
        <v>37</v>
      </c>
      <c r="B64" s="117">
        <v>0.27400000000000002</v>
      </c>
      <c r="C64" s="117">
        <v>0.27300000000000002</v>
      </c>
      <c r="D64" s="117">
        <v>0.27300000000000002</v>
      </c>
      <c r="E64" s="117">
        <v>0.27200000000000002</v>
      </c>
      <c r="F64" s="117">
        <v>0.27200000000000002</v>
      </c>
      <c r="G64" s="117">
        <v>0.27100000000000002</v>
      </c>
      <c r="H64" s="117">
        <v>0.27</v>
      </c>
      <c r="I64" s="117">
        <v>0.27</v>
      </c>
      <c r="J64" s="117">
        <v>0.26900000000000002</v>
      </c>
      <c r="K64" s="117">
        <v>0.26900000000000002</v>
      </c>
      <c r="L64" s="117">
        <v>0.26800000000000002</v>
      </c>
      <c r="M64" s="117">
        <v>0.26800000000000002</v>
      </c>
    </row>
    <row r="65" spans="1:13" x14ac:dyDescent="0.25">
      <c r="A65" s="99">
        <v>38</v>
      </c>
      <c r="B65" s="117">
        <v>0.26700000000000002</v>
      </c>
      <c r="C65" s="117">
        <v>0.26700000000000002</v>
      </c>
      <c r="D65" s="117">
        <v>0.26600000000000001</v>
      </c>
      <c r="E65" s="117">
        <v>0.26500000000000001</v>
      </c>
      <c r="F65" s="117">
        <v>0.26500000000000001</v>
      </c>
      <c r="G65" s="117">
        <v>0.26400000000000001</v>
      </c>
      <c r="H65" s="117">
        <v>0.26400000000000001</v>
      </c>
      <c r="I65" s="117">
        <v>0.26300000000000001</v>
      </c>
      <c r="J65" s="117">
        <v>0.26300000000000001</v>
      </c>
      <c r="K65" s="117">
        <v>0.26200000000000001</v>
      </c>
      <c r="L65" s="117">
        <v>0.26200000000000001</v>
      </c>
      <c r="M65" s="117">
        <v>0.26100000000000001</v>
      </c>
    </row>
    <row r="66" spans="1:13" x14ac:dyDescent="0.25">
      <c r="A66" s="99">
        <v>39</v>
      </c>
      <c r="B66" s="117">
        <v>0.26100000000000001</v>
      </c>
      <c r="C66" s="117">
        <v>0.26</v>
      </c>
      <c r="D66" s="117">
        <v>0.26</v>
      </c>
      <c r="E66" s="117">
        <v>0.25900000000000001</v>
      </c>
      <c r="F66" s="117">
        <v>0.25900000000000001</v>
      </c>
      <c r="G66" s="117">
        <v>0.25800000000000001</v>
      </c>
      <c r="H66" s="117">
        <v>0.25800000000000001</v>
      </c>
      <c r="I66" s="117">
        <v>0.25700000000000001</v>
      </c>
      <c r="J66" s="117">
        <v>0.25700000000000001</v>
      </c>
      <c r="K66" s="117">
        <v>0.25600000000000001</v>
      </c>
      <c r="L66" s="117">
        <v>0.25600000000000001</v>
      </c>
      <c r="M66" s="117">
        <v>0.255</v>
      </c>
    </row>
    <row r="67" spans="1:13" x14ac:dyDescent="0.25">
      <c r="A67" s="99">
        <v>40</v>
      </c>
      <c r="B67" s="117">
        <v>0.255</v>
      </c>
      <c r="C67" s="117"/>
      <c r="D67" s="117"/>
      <c r="E67" s="117"/>
      <c r="F67" s="117"/>
      <c r="G67" s="117"/>
      <c r="H67" s="117"/>
      <c r="I67" s="117"/>
      <c r="J67" s="117"/>
      <c r="K67" s="117"/>
      <c r="L67" s="117"/>
      <c r="M67" s="117"/>
    </row>
  </sheetData>
  <sheetProtection algorithmName="SHA-512" hashValue="vulon0lJvjEzV01BGkrdNlsbU9k0t+RDP4l6dHYw4s8erLTF6e62RjUHsmOdn9txnZQFMg6fa+dWcuLoQLwONg==" saltValue="ljgwAfeFwn4pl4kfOn8bGw==" spinCount="100000" sheet="1" objects="1" scenarios="1"/>
  <conditionalFormatting sqref="A6:A21">
    <cfRule type="expression" dxfId="21" priority="7" stopIfTrue="1">
      <formula>MOD(ROW(),2)=0</formula>
    </cfRule>
    <cfRule type="expression" dxfId="20" priority="8" stopIfTrue="1">
      <formula>MOD(ROW(),2)&lt;&gt;0</formula>
    </cfRule>
  </conditionalFormatting>
  <conditionalFormatting sqref="A26:A67">
    <cfRule type="expression" dxfId="19" priority="1" stopIfTrue="1">
      <formula>MOD(ROW(),2)=0</formula>
    </cfRule>
    <cfRule type="expression" dxfId="18" priority="2" stopIfTrue="1">
      <formula>MOD(ROW(),2)&lt;&gt;0</formula>
    </cfRule>
  </conditionalFormatting>
  <conditionalFormatting sqref="B17:B21">
    <cfRule type="expression" dxfId="17" priority="5" stopIfTrue="1">
      <formula>MOD(ROW(),2)=0</formula>
    </cfRule>
    <cfRule type="expression" dxfId="16" priority="6" stopIfTrue="1">
      <formula>MOD(ROW(),2)&lt;&gt;0</formula>
    </cfRule>
  </conditionalFormatting>
  <conditionalFormatting sqref="B6:M21">
    <cfRule type="expression" dxfId="15" priority="17" stopIfTrue="1">
      <formula>MOD(ROW(),2)=0</formula>
    </cfRule>
    <cfRule type="expression" dxfId="14" priority="18" stopIfTrue="1">
      <formula>MOD(ROW(),2)&lt;&gt;0</formula>
    </cfRule>
  </conditionalFormatting>
  <conditionalFormatting sqref="B26:M67">
    <cfRule type="expression" dxfId="13" priority="3" stopIfTrue="1">
      <formula>MOD(ROW(),2)=0</formula>
    </cfRule>
    <cfRule type="expression" dxfId="12" priority="4" stopIfTrue="1">
      <formula>MOD(ROW(),2)&lt;&gt;0</formula>
    </cfRule>
  </conditionalFormatting>
  <hyperlinks>
    <hyperlink ref="B24" location="Assumptions!A1" display="Assumptions" xr:uid="{F885BD44-5B5D-435F-A4B5-040FD07F11A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92260-F6A1-43A4-9A86-E781C45124E6}">
  <sheetPr codeName="Sheet6"/>
  <dimension ref="A1:I78"/>
  <sheetViews>
    <sheetView showGridLines="0" zoomScale="85" zoomScaleNormal="85" workbookViewId="0">
      <selection activeCell="A4" sqref="A4"/>
    </sheetView>
  </sheetViews>
  <sheetFormatPr defaultColWidth="8.90625" defaultRowHeight="12.5" x14ac:dyDescent="0.25"/>
  <cols>
    <col min="1" max="2" width="30.90625" style="25" customWidth="1"/>
    <col min="3" max="16384" width="8.90625" style="25"/>
  </cols>
  <sheetData>
    <row r="1" spans="1:9" ht="20" x14ac:dyDescent="0.4">
      <c r="A1" s="36" t="s">
        <v>0</v>
      </c>
      <c r="B1" s="37"/>
      <c r="C1" s="37"/>
      <c r="D1" s="37"/>
      <c r="E1" s="37"/>
      <c r="F1" s="37"/>
      <c r="G1" s="37"/>
      <c r="H1" s="37"/>
      <c r="I1" s="37"/>
    </row>
    <row r="2" spans="1:9" ht="15.5" x14ac:dyDescent="0.35">
      <c r="A2" s="97"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Club - CARE Benefit Adjustment Factors  - x-103</v>
      </c>
      <c r="B3" s="39"/>
      <c r="C3" s="39"/>
      <c r="D3" s="39"/>
      <c r="E3" s="39"/>
      <c r="F3" s="39"/>
      <c r="G3" s="39"/>
      <c r="H3" s="39"/>
      <c r="I3" s="39"/>
    </row>
    <row r="4" spans="1:9" x14ac:dyDescent="0.25">
      <c r="A4" s="41"/>
    </row>
    <row r="6" spans="1:9" ht="13" x14ac:dyDescent="0.3">
      <c r="A6" s="83" t="s">
        <v>276</v>
      </c>
      <c r="B6" s="161" t="s">
        <v>277</v>
      </c>
      <c r="C6" s="84"/>
      <c r="D6" s="84"/>
      <c r="E6" s="84"/>
      <c r="F6" s="84"/>
    </row>
    <row r="7" spans="1:9" ht="14.15" customHeight="1" x14ac:dyDescent="0.25">
      <c r="A7" s="85" t="s">
        <v>278</v>
      </c>
      <c r="B7" s="161" t="s">
        <v>310</v>
      </c>
      <c r="C7" s="86"/>
      <c r="D7" s="86"/>
      <c r="E7" s="86"/>
      <c r="F7" s="86"/>
    </row>
    <row r="8" spans="1:9" ht="14.15" customHeight="1" x14ac:dyDescent="0.25">
      <c r="A8" s="85" t="s">
        <v>280</v>
      </c>
      <c r="B8" s="161" t="s">
        <v>74</v>
      </c>
      <c r="C8" s="86"/>
      <c r="D8" s="86"/>
      <c r="E8" s="86"/>
      <c r="F8" s="86"/>
    </row>
    <row r="9" spans="1:9" ht="14.15" customHeight="1" x14ac:dyDescent="0.25">
      <c r="A9" s="85" t="s">
        <v>282</v>
      </c>
      <c r="B9" s="161" t="s">
        <v>311</v>
      </c>
      <c r="C9" s="86"/>
      <c r="D9" s="86"/>
      <c r="E9" s="86"/>
      <c r="F9" s="86"/>
    </row>
    <row r="10" spans="1:9" ht="14.15" customHeight="1" x14ac:dyDescent="0.25">
      <c r="A10" s="85" t="s">
        <v>6</v>
      </c>
      <c r="B10" s="161" t="s">
        <v>322</v>
      </c>
      <c r="C10" s="86"/>
      <c r="D10" s="86"/>
      <c r="E10" s="86"/>
      <c r="F10" s="86"/>
    </row>
    <row r="11" spans="1:9" ht="14.15" customHeight="1" x14ac:dyDescent="0.25">
      <c r="A11" s="85" t="s">
        <v>285</v>
      </c>
      <c r="B11" s="161" t="s">
        <v>313</v>
      </c>
      <c r="C11" s="86"/>
      <c r="D11" s="86"/>
      <c r="E11" s="86"/>
      <c r="F11" s="86"/>
    </row>
    <row r="12" spans="1:9" ht="14.15" customHeight="1" x14ac:dyDescent="0.25">
      <c r="A12" s="85" t="s">
        <v>287</v>
      </c>
      <c r="B12" s="161" t="s">
        <v>314</v>
      </c>
      <c r="C12" s="86"/>
      <c r="D12" s="86"/>
      <c r="E12" s="86"/>
      <c r="F12" s="86"/>
    </row>
    <row r="13" spans="1:9" ht="14.15" customHeight="1" x14ac:dyDescent="0.25">
      <c r="A13" s="85" t="s">
        <v>289</v>
      </c>
      <c r="B13" s="161">
        <v>0</v>
      </c>
      <c r="C13" s="86"/>
      <c r="D13" s="86"/>
      <c r="E13" s="86"/>
      <c r="F13" s="86"/>
    </row>
    <row r="14" spans="1:9" ht="14.15" customHeight="1" x14ac:dyDescent="0.25">
      <c r="A14" s="85" t="s">
        <v>291</v>
      </c>
      <c r="B14" s="161">
        <v>103</v>
      </c>
      <c r="C14" s="86"/>
      <c r="D14" s="86"/>
      <c r="E14" s="86"/>
      <c r="F14" s="86"/>
    </row>
    <row r="15" spans="1:9" ht="14.15" customHeight="1" x14ac:dyDescent="0.25">
      <c r="A15" s="85" t="s">
        <v>293</v>
      </c>
      <c r="B15" s="161" t="s">
        <v>323</v>
      </c>
      <c r="C15" s="86"/>
      <c r="D15" s="86"/>
      <c r="E15" s="86"/>
      <c r="F15" s="86"/>
    </row>
    <row r="16" spans="1:9" ht="14.15" customHeight="1" x14ac:dyDescent="0.25">
      <c r="A16" s="85" t="s">
        <v>295</v>
      </c>
      <c r="B16" s="161" t="s">
        <v>324</v>
      </c>
      <c r="C16" s="86"/>
      <c r="D16" s="86"/>
      <c r="E16" s="86"/>
      <c r="F16" s="86"/>
    </row>
    <row r="17" spans="1:6" ht="26.4" customHeight="1" x14ac:dyDescent="0.25">
      <c r="A17" s="85" t="s">
        <v>725</v>
      </c>
      <c r="B17" s="161"/>
      <c r="C17" s="86"/>
      <c r="D17" s="86"/>
      <c r="E17" s="86"/>
      <c r="F17" s="86"/>
    </row>
    <row r="18" spans="1:6" ht="14.15" customHeight="1" x14ac:dyDescent="0.25">
      <c r="A18" s="85" t="s">
        <v>299</v>
      </c>
      <c r="B18" s="162">
        <v>45202</v>
      </c>
      <c r="C18" s="96"/>
      <c r="D18" s="96"/>
      <c r="E18" s="96"/>
      <c r="F18" s="96"/>
    </row>
    <row r="19" spans="1:6" ht="14.15" customHeight="1" x14ac:dyDescent="0.25">
      <c r="A19" s="85" t="s">
        <v>301</v>
      </c>
      <c r="B19" s="162">
        <v>45200</v>
      </c>
      <c r="C19" s="70"/>
      <c r="D19" s="70"/>
      <c r="E19" s="70"/>
      <c r="F19" s="70"/>
    </row>
    <row r="20" spans="1:6" ht="14.15" customHeight="1" x14ac:dyDescent="0.25">
      <c r="A20" s="85" t="s">
        <v>303</v>
      </c>
      <c r="B20" s="161" t="s">
        <v>317</v>
      </c>
      <c r="C20" s="70"/>
      <c r="D20" s="70"/>
      <c r="E20" s="70"/>
      <c r="F20" s="70"/>
    </row>
    <row r="21" spans="1:6" x14ac:dyDescent="0.25">
      <c r="A21" s="85" t="s">
        <v>309</v>
      </c>
      <c r="B21" s="161" t="s">
        <v>318</v>
      </c>
      <c r="C21" s="70"/>
      <c r="D21" s="70"/>
      <c r="E21" s="70"/>
      <c r="F21" s="70"/>
    </row>
    <row r="23" spans="1:6" x14ac:dyDescent="0.25">
      <c r="B23" s="103" t="str">
        <f>HYPERLINK("#'Factor List'!A1","Back to Factor List")</f>
        <v>Back to Factor List</v>
      </c>
    </row>
    <row r="24" spans="1:6" x14ac:dyDescent="0.25">
      <c r="B24" s="103" t="s">
        <v>15</v>
      </c>
    </row>
    <row r="26" spans="1:6" ht="13" x14ac:dyDescent="0.25">
      <c r="A26" s="87" t="s">
        <v>499</v>
      </c>
      <c r="B26" s="87" t="s">
        <v>726</v>
      </c>
    </row>
    <row r="27" spans="1:6" x14ac:dyDescent="0.25">
      <c r="A27" s="88">
        <v>16</v>
      </c>
      <c r="B27" s="89">
        <v>1.0469999999999999</v>
      </c>
    </row>
    <row r="28" spans="1:6" x14ac:dyDescent="0.25">
      <c r="A28" s="88">
        <f>A27+1</f>
        <v>17</v>
      </c>
      <c r="B28" s="89">
        <v>1.0469999999999999</v>
      </c>
    </row>
    <row r="29" spans="1:6" x14ac:dyDescent="0.25">
      <c r="A29" s="88">
        <f t="shared" ref="A29:A78" si="0">A28+1</f>
        <v>18</v>
      </c>
      <c r="B29" s="89">
        <v>1.0469999999999999</v>
      </c>
    </row>
    <row r="30" spans="1:6" x14ac:dyDescent="0.25">
      <c r="A30" s="88">
        <f t="shared" si="0"/>
        <v>19</v>
      </c>
      <c r="B30" s="89">
        <v>1.0469999999999999</v>
      </c>
    </row>
    <row r="31" spans="1:6" x14ac:dyDescent="0.25">
      <c r="A31" s="88">
        <f t="shared" si="0"/>
        <v>20</v>
      </c>
      <c r="B31" s="89">
        <v>1.048</v>
      </c>
    </row>
    <row r="32" spans="1:6" x14ac:dyDescent="0.25">
      <c r="A32" s="88">
        <f t="shared" si="0"/>
        <v>21</v>
      </c>
      <c r="B32" s="89">
        <v>1.048</v>
      </c>
    </row>
    <row r="33" spans="1:2" x14ac:dyDescent="0.25">
      <c r="A33" s="88">
        <f t="shared" si="0"/>
        <v>22</v>
      </c>
      <c r="B33" s="89">
        <v>1.048</v>
      </c>
    </row>
    <row r="34" spans="1:2" x14ac:dyDescent="0.25">
      <c r="A34" s="88">
        <f t="shared" si="0"/>
        <v>23</v>
      </c>
      <c r="B34" s="89">
        <v>1.048</v>
      </c>
    </row>
    <row r="35" spans="1:2" x14ac:dyDescent="0.25">
      <c r="A35" s="88">
        <f t="shared" si="0"/>
        <v>24</v>
      </c>
      <c r="B35" s="89">
        <v>1.048</v>
      </c>
    </row>
    <row r="36" spans="1:2" x14ac:dyDescent="0.25">
      <c r="A36" s="88">
        <f>A35+1</f>
        <v>25</v>
      </c>
      <c r="B36" s="89">
        <v>1.048</v>
      </c>
    </row>
    <row r="37" spans="1:2" x14ac:dyDescent="0.25">
      <c r="A37" s="88">
        <f t="shared" si="0"/>
        <v>26</v>
      </c>
      <c r="B37" s="89">
        <v>1.048</v>
      </c>
    </row>
    <row r="38" spans="1:2" x14ac:dyDescent="0.25">
      <c r="A38" s="88">
        <f t="shared" si="0"/>
        <v>27</v>
      </c>
      <c r="B38" s="89">
        <v>1.048</v>
      </c>
    </row>
    <row r="39" spans="1:2" x14ac:dyDescent="0.25">
      <c r="A39" s="88">
        <f t="shared" si="0"/>
        <v>28</v>
      </c>
      <c r="B39" s="89">
        <v>1.048</v>
      </c>
    </row>
    <row r="40" spans="1:2" x14ac:dyDescent="0.25">
      <c r="A40" s="88">
        <f>A39+1</f>
        <v>29</v>
      </c>
      <c r="B40" s="89">
        <v>1.048</v>
      </c>
    </row>
    <row r="41" spans="1:2" x14ac:dyDescent="0.25">
      <c r="A41" s="88">
        <f t="shared" si="0"/>
        <v>30</v>
      </c>
      <c r="B41" s="89">
        <v>1.048</v>
      </c>
    </row>
    <row r="42" spans="1:2" x14ac:dyDescent="0.25">
      <c r="A42" s="88">
        <f t="shared" si="0"/>
        <v>31</v>
      </c>
      <c r="B42" s="89">
        <v>1.048</v>
      </c>
    </row>
    <row r="43" spans="1:2" x14ac:dyDescent="0.25">
      <c r="A43" s="88">
        <f t="shared" si="0"/>
        <v>32</v>
      </c>
      <c r="B43" s="89">
        <v>1.048</v>
      </c>
    </row>
    <row r="44" spans="1:2" x14ac:dyDescent="0.25">
      <c r="A44" s="88">
        <f t="shared" si="0"/>
        <v>33</v>
      </c>
      <c r="B44" s="89">
        <v>1.048</v>
      </c>
    </row>
    <row r="45" spans="1:2" x14ac:dyDescent="0.25">
      <c r="A45" s="88">
        <f t="shared" si="0"/>
        <v>34</v>
      </c>
      <c r="B45" s="89">
        <v>1.048</v>
      </c>
    </row>
    <row r="46" spans="1:2" x14ac:dyDescent="0.25">
      <c r="A46" s="88">
        <f t="shared" si="0"/>
        <v>35</v>
      </c>
      <c r="B46" s="89">
        <v>1.048</v>
      </c>
    </row>
    <row r="47" spans="1:2" x14ac:dyDescent="0.25">
      <c r="A47" s="88">
        <f t="shared" si="0"/>
        <v>36</v>
      </c>
      <c r="B47" s="89">
        <v>1.048</v>
      </c>
    </row>
    <row r="48" spans="1:2" x14ac:dyDescent="0.25">
      <c r="A48" s="88">
        <f t="shared" si="0"/>
        <v>37</v>
      </c>
      <c r="B48" s="89">
        <v>1.048</v>
      </c>
    </row>
    <row r="49" spans="1:2" x14ac:dyDescent="0.25">
      <c r="A49" s="88">
        <f t="shared" si="0"/>
        <v>38</v>
      </c>
      <c r="B49" s="89">
        <v>1.048</v>
      </c>
    </row>
    <row r="50" spans="1:2" x14ac:dyDescent="0.25">
      <c r="A50" s="88">
        <f t="shared" si="0"/>
        <v>39</v>
      </c>
      <c r="B50" s="89">
        <v>1.048</v>
      </c>
    </row>
    <row r="51" spans="1:2" x14ac:dyDescent="0.25">
      <c r="A51" s="88">
        <f t="shared" si="0"/>
        <v>40</v>
      </c>
      <c r="B51" s="89">
        <v>1.048</v>
      </c>
    </row>
    <row r="52" spans="1:2" x14ac:dyDescent="0.25">
      <c r="A52" s="88">
        <f t="shared" si="0"/>
        <v>41</v>
      </c>
      <c r="B52" s="89">
        <v>1.048</v>
      </c>
    </row>
    <row r="53" spans="1:2" x14ac:dyDescent="0.25">
      <c r="A53" s="88">
        <f t="shared" si="0"/>
        <v>42</v>
      </c>
      <c r="B53" s="89">
        <v>1.0469999999999999</v>
      </c>
    </row>
    <row r="54" spans="1:2" x14ac:dyDescent="0.25">
      <c r="A54" s="88">
        <f t="shared" si="0"/>
        <v>43</v>
      </c>
      <c r="B54" s="89">
        <v>1.0469999999999999</v>
      </c>
    </row>
    <row r="55" spans="1:2" x14ac:dyDescent="0.25">
      <c r="A55" s="88">
        <f t="shared" si="0"/>
        <v>44</v>
      </c>
      <c r="B55" s="89">
        <v>1.0469999999999999</v>
      </c>
    </row>
    <row r="56" spans="1:2" x14ac:dyDescent="0.25">
      <c r="A56" s="88">
        <f t="shared" si="0"/>
        <v>45</v>
      </c>
      <c r="B56" s="89">
        <v>1.0469999999999999</v>
      </c>
    </row>
    <row r="57" spans="1:2" x14ac:dyDescent="0.25">
      <c r="A57" s="88">
        <f t="shared" si="0"/>
        <v>46</v>
      </c>
      <c r="B57" s="89">
        <v>1.046</v>
      </c>
    </row>
    <row r="58" spans="1:2" x14ac:dyDescent="0.25">
      <c r="A58" s="88">
        <f t="shared" si="0"/>
        <v>47</v>
      </c>
      <c r="B58" s="89">
        <v>1.0449999999999999</v>
      </c>
    </row>
    <row r="59" spans="1:2" x14ac:dyDescent="0.25">
      <c r="A59" s="88">
        <f t="shared" si="0"/>
        <v>48</v>
      </c>
      <c r="B59" s="89">
        <v>1.044</v>
      </c>
    </row>
    <row r="60" spans="1:2" x14ac:dyDescent="0.25">
      <c r="A60" s="88">
        <f t="shared" si="0"/>
        <v>49</v>
      </c>
      <c r="B60" s="89">
        <v>1.0429999999999999</v>
      </c>
    </row>
    <row r="61" spans="1:2" x14ac:dyDescent="0.25">
      <c r="A61" s="88">
        <f t="shared" si="0"/>
        <v>50</v>
      </c>
      <c r="B61" s="89">
        <v>1.0429999999999999</v>
      </c>
    </row>
    <row r="62" spans="1:2" x14ac:dyDescent="0.25">
      <c r="A62" s="88">
        <f t="shared" si="0"/>
        <v>51</v>
      </c>
      <c r="B62" s="89">
        <v>1.0429999999999999</v>
      </c>
    </row>
    <row r="63" spans="1:2" x14ac:dyDescent="0.25">
      <c r="A63" s="88">
        <f t="shared" si="0"/>
        <v>52</v>
      </c>
      <c r="B63" s="89">
        <v>1.042</v>
      </c>
    </row>
    <row r="64" spans="1:2" x14ac:dyDescent="0.25">
      <c r="A64" s="88">
        <f t="shared" si="0"/>
        <v>53</v>
      </c>
      <c r="B64" s="89">
        <v>1.042</v>
      </c>
    </row>
    <row r="65" spans="1:2" x14ac:dyDescent="0.25">
      <c r="A65" s="88">
        <f t="shared" si="0"/>
        <v>54</v>
      </c>
      <c r="B65" s="89">
        <v>1.042</v>
      </c>
    </row>
    <row r="66" spans="1:2" x14ac:dyDescent="0.25">
      <c r="A66" s="88">
        <f t="shared" si="0"/>
        <v>55</v>
      </c>
      <c r="B66" s="89">
        <v>1.0409999999999999</v>
      </c>
    </row>
    <row r="67" spans="1:2" x14ac:dyDescent="0.25">
      <c r="A67" s="88">
        <f t="shared" si="0"/>
        <v>56</v>
      </c>
      <c r="B67" s="89">
        <v>1.0409999999999999</v>
      </c>
    </row>
    <row r="68" spans="1:2" x14ac:dyDescent="0.25">
      <c r="A68" s="88">
        <f t="shared" si="0"/>
        <v>57</v>
      </c>
      <c r="B68" s="89">
        <v>1.04</v>
      </c>
    </row>
    <row r="69" spans="1:2" x14ac:dyDescent="0.25">
      <c r="A69" s="88">
        <f t="shared" si="0"/>
        <v>58</v>
      </c>
      <c r="B69" s="89">
        <v>1.04</v>
      </c>
    </row>
    <row r="70" spans="1:2" x14ac:dyDescent="0.25">
      <c r="A70" s="88">
        <f t="shared" si="0"/>
        <v>59</v>
      </c>
      <c r="B70" s="89">
        <v>1.0389999999999999</v>
      </c>
    </row>
    <row r="71" spans="1:2" x14ac:dyDescent="0.25">
      <c r="A71" s="88">
        <f t="shared" si="0"/>
        <v>60</v>
      </c>
      <c r="B71" s="89">
        <v>1.0389999999999999</v>
      </c>
    </row>
    <row r="72" spans="1:2" x14ac:dyDescent="0.25">
      <c r="A72" s="88">
        <f t="shared" si="0"/>
        <v>61</v>
      </c>
      <c r="B72" s="89">
        <v>1.038</v>
      </c>
    </row>
    <row r="73" spans="1:2" x14ac:dyDescent="0.25">
      <c r="A73" s="88">
        <f t="shared" si="0"/>
        <v>62</v>
      </c>
      <c r="B73" s="89">
        <v>1.0369999999999999</v>
      </c>
    </row>
    <row r="74" spans="1:2" x14ac:dyDescent="0.25">
      <c r="A74" s="88">
        <f t="shared" si="0"/>
        <v>63</v>
      </c>
      <c r="B74" s="89">
        <v>1.036</v>
      </c>
    </row>
    <row r="75" spans="1:2" x14ac:dyDescent="0.25">
      <c r="A75" s="88">
        <f t="shared" si="0"/>
        <v>64</v>
      </c>
      <c r="B75" s="89">
        <v>1.0349999999999999</v>
      </c>
    </row>
    <row r="76" spans="1:2" x14ac:dyDescent="0.25">
      <c r="A76" s="88">
        <f t="shared" si="0"/>
        <v>65</v>
      </c>
      <c r="B76" s="89">
        <v>1.0329999999999999</v>
      </c>
    </row>
    <row r="77" spans="1:2" x14ac:dyDescent="0.25">
      <c r="A77" s="88">
        <f t="shared" si="0"/>
        <v>66</v>
      </c>
      <c r="B77" s="89">
        <v>1.0329999999999999</v>
      </c>
    </row>
    <row r="78" spans="1:2" x14ac:dyDescent="0.25">
      <c r="A78" s="88">
        <f t="shared" si="0"/>
        <v>67</v>
      </c>
      <c r="B78" s="89">
        <v>1.0329999999999999</v>
      </c>
    </row>
  </sheetData>
  <sheetProtection algorithmName="SHA-512" hashValue="Qp2REsd8Kkxa3N1q6KdLnnR7cH26hD1AJzfveSKdBcDLTDJKp18zfdFGezsDr6HecHp9iWKP3bKLmvlD6Mc6Zg==" saltValue="yed68ZUIkaEjeRK/yQ+RuA==" spinCount="100000" sheet="1" objects="1" scenarios="1"/>
  <conditionalFormatting sqref="A6:A21">
    <cfRule type="expression" dxfId="1109" priority="33" stopIfTrue="1">
      <formula>MOD(ROW(),2)=0</formula>
    </cfRule>
    <cfRule type="expression" dxfId="1108" priority="34" stopIfTrue="1">
      <formula>MOD(ROW(),2)&lt;&gt;0</formula>
    </cfRule>
  </conditionalFormatting>
  <conditionalFormatting sqref="A26:A78">
    <cfRule type="expression" dxfId="1107" priority="17" stopIfTrue="1">
      <formula>MOD(ROW(),2)=0</formula>
    </cfRule>
    <cfRule type="expression" dxfId="1106" priority="18" stopIfTrue="1">
      <formula>MOD(ROW(),2)&lt;&gt;0</formula>
    </cfRule>
  </conditionalFormatting>
  <conditionalFormatting sqref="B6:B21">
    <cfRule type="expression" dxfId="1105" priority="13" stopIfTrue="1">
      <formula>MOD(ROW(),2)=0</formula>
    </cfRule>
    <cfRule type="expression" dxfId="1104" priority="14" stopIfTrue="1">
      <formula>MOD(ROW(),2)&lt;&gt;0</formula>
    </cfRule>
  </conditionalFormatting>
  <conditionalFormatting sqref="B26:B78">
    <cfRule type="expression" dxfId="1103" priority="19" stopIfTrue="1">
      <formula>MOD(ROW(),2)=0</formula>
    </cfRule>
    <cfRule type="expression" dxfId="1102" priority="20" stopIfTrue="1">
      <formula>MOD(ROW(),2)&lt;&gt;0</formula>
    </cfRule>
  </conditionalFormatting>
  <conditionalFormatting sqref="B6:F6 C7:F7">
    <cfRule type="expression" dxfId="1101" priority="35" stopIfTrue="1">
      <formula>MOD(ROW(),2)=0</formula>
    </cfRule>
    <cfRule type="expression" dxfId="1100" priority="36" stopIfTrue="1">
      <formula>MOD(ROW(),2)&lt;&gt;0</formula>
    </cfRule>
  </conditionalFormatting>
  <conditionalFormatting sqref="B8:F16">
    <cfRule type="expression" dxfId="1099" priority="31" stopIfTrue="1">
      <formula>MOD(ROW(),2)=0</formula>
    </cfRule>
    <cfRule type="expression" dxfId="1098" priority="32" stopIfTrue="1">
      <formula>MOD(ROW(),2)&lt;&gt;0</formula>
    </cfRule>
  </conditionalFormatting>
  <conditionalFormatting sqref="B17:F21">
    <cfRule type="expression" dxfId="1097" priority="1" stopIfTrue="1">
      <formula>MOD(ROW(),2)=0</formula>
    </cfRule>
    <cfRule type="expression" dxfId="1096" priority="2" stopIfTrue="1">
      <formula>MOD(ROW(),2)&lt;&gt;0</formula>
    </cfRule>
  </conditionalFormatting>
  <hyperlinks>
    <hyperlink ref="B24" location="Assumptions!A1" display="Assumptions" xr:uid="{83ABADEB-0BE3-45A6-ACC1-7ED60DC96617}"/>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5AFA2-68F2-4AE7-B4EE-B32E003087F1}">
  <sheetPr codeName="Sheet124">
    <pageSetUpPr fitToPage="1"/>
  </sheetPr>
  <dimension ref="A1:I29"/>
  <sheetViews>
    <sheetView showGridLines="0" zoomScale="85" zoomScaleNormal="85" workbookViewId="0">
      <selection activeCell="B12" sqref="B12"/>
    </sheetView>
  </sheetViews>
  <sheetFormatPr defaultColWidth="10" defaultRowHeight="12.5" x14ac:dyDescent="0.25"/>
  <cols>
    <col min="1" max="1" width="31.90625" style="25" customWidth="1"/>
    <col min="2" max="2" width="37.453125" style="25" customWidth="1"/>
    <col min="3" max="3" width="10.08984375" style="25" customWidth="1"/>
    <col min="4" max="4" width="10" style="25" customWidth="1"/>
    <col min="5" max="16384" width="10" style="25"/>
  </cols>
  <sheetData>
    <row r="1" spans="1:9" ht="20" x14ac:dyDescent="0.4">
      <c r="A1" s="36" t="s">
        <v>0</v>
      </c>
      <c r="B1" s="37"/>
      <c r="C1" s="37"/>
      <c r="D1" s="37"/>
      <c r="E1" s="37"/>
      <c r="F1" s="37"/>
      <c r="G1" s="37"/>
      <c r="H1" s="37"/>
      <c r="I1" s="37"/>
    </row>
    <row r="2" spans="1:9" ht="15.5" x14ac:dyDescent="0.35">
      <c r="A2" s="38" t="str">
        <f>IF(tit="&gt; Enter workbook title here","Enter workbook title in Cover sheet",tit)</f>
        <v>NHSPS_NI - Consolidated Factor Spreadsheet</v>
      </c>
      <c r="B2" s="39"/>
      <c r="C2" s="39"/>
      <c r="D2" s="39"/>
      <c r="E2" s="39"/>
      <c r="F2" s="39"/>
      <c r="G2" s="39"/>
      <c r="H2" s="39"/>
      <c r="I2" s="39"/>
    </row>
    <row r="3" spans="1:9" ht="15.5" x14ac:dyDescent="0.35">
      <c r="A3" s="40" t="str">
        <f>TABLE_FACTOR_TYPE_1&amp;" - x-"&amp;TABLE_SERIES_NUMBER_1</f>
        <v>Abatement - x-823</v>
      </c>
      <c r="B3" s="39"/>
      <c r="C3" s="39"/>
      <c r="D3" s="39"/>
      <c r="E3" s="39"/>
      <c r="F3" s="39"/>
      <c r="G3" s="39"/>
      <c r="H3" s="39"/>
      <c r="I3" s="39"/>
    </row>
    <row r="4" spans="1:9" x14ac:dyDescent="0.25">
      <c r="A4" s="41"/>
    </row>
    <row r="6" spans="1:9" ht="13" x14ac:dyDescent="0.3">
      <c r="A6" s="83" t="s">
        <v>276</v>
      </c>
      <c r="B6" s="161" t="s">
        <v>277</v>
      </c>
    </row>
    <row r="7" spans="1:9" x14ac:dyDescent="0.25">
      <c r="A7" s="85" t="s">
        <v>278</v>
      </c>
      <c r="B7" s="161" t="s">
        <v>310</v>
      </c>
    </row>
    <row r="8" spans="1:9" x14ac:dyDescent="0.25">
      <c r="A8" s="85" t="s">
        <v>280</v>
      </c>
      <c r="B8" s="161" t="s">
        <v>75</v>
      </c>
    </row>
    <row r="9" spans="1:9" x14ac:dyDescent="0.25">
      <c r="A9" s="85" t="s">
        <v>282</v>
      </c>
      <c r="B9" s="161" t="s">
        <v>632</v>
      </c>
    </row>
    <row r="10" spans="1:9" x14ac:dyDescent="0.25">
      <c r="A10" s="85" t="s">
        <v>6</v>
      </c>
      <c r="B10" s="161" t="s">
        <v>654</v>
      </c>
    </row>
    <row r="11" spans="1:9" x14ac:dyDescent="0.25">
      <c r="A11" s="85" t="s">
        <v>285</v>
      </c>
      <c r="B11" s="161" t="s">
        <v>359</v>
      </c>
    </row>
    <row r="12" spans="1:9" x14ac:dyDescent="0.25">
      <c r="A12" s="85" t="s">
        <v>287</v>
      </c>
      <c r="B12" s="161" t="s">
        <v>634</v>
      </c>
    </row>
    <row r="13" spans="1:9" x14ac:dyDescent="0.25">
      <c r="A13" s="85" t="s">
        <v>289</v>
      </c>
      <c r="B13" s="161">
        <v>1</v>
      </c>
    </row>
    <row r="14" spans="1:9" x14ac:dyDescent="0.25">
      <c r="A14" s="85" t="s">
        <v>291</v>
      </c>
      <c r="B14" s="161">
        <v>823</v>
      </c>
    </row>
    <row r="15" spans="1:9" x14ac:dyDescent="0.25">
      <c r="A15" s="85" t="s">
        <v>293</v>
      </c>
      <c r="B15" s="161" t="s">
        <v>655</v>
      </c>
    </row>
    <row r="16" spans="1:9" x14ac:dyDescent="0.25">
      <c r="A16" s="85" t="s">
        <v>295</v>
      </c>
      <c r="B16" s="161" t="s">
        <v>656</v>
      </c>
    </row>
    <row r="17" spans="1:2" x14ac:dyDescent="0.25">
      <c r="A17" s="85" t="s">
        <v>725</v>
      </c>
      <c r="B17" s="161"/>
    </row>
    <row r="18" spans="1:2" x14ac:dyDescent="0.25">
      <c r="A18" s="85" t="s">
        <v>299</v>
      </c>
      <c r="B18" s="162">
        <v>45135</v>
      </c>
    </row>
    <row r="19" spans="1:2" x14ac:dyDescent="0.25">
      <c r="A19" s="85" t="s">
        <v>301</v>
      </c>
      <c r="B19" s="162">
        <v>45170</v>
      </c>
    </row>
    <row r="20" spans="1:2" x14ac:dyDescent="0.25">
      <c r="A20" s="85" t="s">
        <v>303</v>
      </c>
      <c r="B20" s="161" t="s">
        <v>317</v>
      </c>
    </row>
    <row r="21" spans="1:2" x14ac:dyDescent="0.25">
      <c r="A21" s="85" t="s">
        <v>309</v>
      </c>
      <c r="B21" s="161" t="s">
        <v>318</v>
      </c>
    </row>
    <row r="22" spans="1:2" x14ac:dyDescent="0.25">
      <c r="B22" s="103"/>
    </row>
    <row r="23" spans="1:2" x14ac:dyDescent="0.25">
      <c r="B23" s="103" t="str">
        <f>HYPERLINK("#'Factor List'!A1","Back to Factor List")</f>
        <v>Back to Factor List</v>
      </c>
    </row>
    <row r="24" spans="1:2" x14ac:dyDescent="0.25">
      <c r="B24" s="103" t="s">
        <v>15</v>
      </c>
    </row>
    <row r="26" spans="1:2" ht="13" x14ac:dyDescent="0.25">
      <c r="A26" s="101" t="s">
        <v>804</v>
      </c>
      <c r="B26" s="101" t="s">
        <v>761</v>
      </c>
    </row>
    <row r="27" spans="1:2" x14ac:dyDescent="0.25">
      <c r="A27" s="102">
        <v>55</v>
      </c>
      <c r="B27" s="155">
        <v>1</v>
      </c>
    </row>
    <row r="28" spans="1:2" x14ac:dyDescent="0.25">
      <c r="A28" s="102">
        <v>60</v>
      </c>
      <c r="B28" s="155">
        <v>1.25</v>
      </c>
    </row>
    <row r="29" spans="1:2" x14ac:dyDescent="0.25">
      <c r="A29" s="102">
        <v>65</v>
      </c>
      <c r="B29" s="155">
        <v>1.597</v>
      </c>
    </row>
  </sheetData>
  <sheetProtection algorithmName="SHA-512" hashValue="qaVOgbzm25twNumXvvgkTly2V1rAkzMCC0DLwRlsb6krMJ4tzwUFqHz94TyfM2UqZzVJmbzS75AhaUOswJQiPQ==" saltValue="A9EdHgt5rI+k8W5vhssCOg==" spinCount="100000" sheet="1" objects="1" scenarios="1"/>
  <conditionalFormatting sqref="A6:A21">
    <cfRule type="expression" dxfId="11" priority="11" stopIfTrue="1">
      <formula>MOD(ROW(),2)=0</formula>
    </cfRule>
    <cfRule type="expression" dxfId="10" priority="12" stopIfTrue="1">
      <formula>MOD(ROW(),2)&lt;&gt;0</formula>
    </cfRule>
  </conditionalFormatting>
  <conditionalFormatting sqref="A26:A29">
    <cfRule type="expression" dxfId="9" priority="7" stopIfTrue="1">
      <formula>MOD(ROW(),2)=0</formula>
    </cfRule>
    <cfRule type="expression" dxfId="8" priority="8" stopIfTrue="1">
      <formula>MOD(ROW(),2)&lt;&gt;0</formula>
    </cfRule>
  </conditionalFormatting>
  <conditionalFormatting sqref="B6">
    <cfRule type="expression" dxfId="7" priority="17" stopIfTrue="1">
      <formula>MOD(ROW(),2)=0</formula>
    </cfRule>
    <cfRule type="expression" dxfId="6" priority="18" stopIfTrue="1">
      <formula>MOD(ROW(),2)&lt;&gt;0</formula>
    </cfRule>
  </conditionalFormatting>
  <conditionalFormatting sqref="B6:B21">
    <cfRule type="expression" dxfId="5" priority="5" stopIfTrue="1">
      <formula>MOD(ROW(),2)=0</formula>
    </cfRule>
    <cfRule type="expression" dxfId="4" priority="6" stopIfTrue="1">
      <formula>MOD(ROW(),2)&lt;&gt;0</formula>
    </cfRule>
  </conditionalFormatting>
  <conditionalFormatting sqref="B17:B21">
    <cfRule type="expression" dxfId="3" priority="1" stopIfTrue="1">
      <formula>MOD(ROW(),2)=0</formula>
    </cfRule>
    <cfRule type="expression" dxfId="2" priority="2" stopIfTrue="1">
      <formula>MOD(ROW(),2)&lt;&gt;0</formula>
    </cfRule>
  </conditionalFormatting>
  <conditionalFormatting sqref="B26:B29">
    <cfRule type="expression" dxfId="1" priority="9" stopIfTrue="1">
      <formula>MOD(ROW(),2)=0</formula>
    </cfRule>
    <cfRule type="expression" dxfId="0" priority="10" stopIfTrue="1">
      <formula>MOD(ROW(),2)&lt;&gt;0</formula>
    </cfRule>
  </conditionalFormatting>
  <hyperlinks>
    <hyperlink ref="B24" location="Assumptions!A1" display="Assumptions" xr:uid="{02BA23A4-6C1F-4E2F-9E6C-26FF28B38B74}"/>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F3D3A-0BB3-4BD7-8F86-6AF0C2517339}">
  <sheetPr codeName="Sheet7"/>
  <dimension ref="A1:I78"/>
  <sheetViews>
    <sheetView showGridLines="0" zoomScale="85" zoomScaleNormal="85" workbookViewId="0">
      <selection activeCell="A4" sqref="A4"/>
    </sheetView>
  </sheetViews>
  <sheetFormatPr defaultColWidth="8.90625" defaultRowHeight="12.5" x14ac:dyDescent="0.25"/>
  <cols>
    <col min="1" max="1" width="31.08984375" style="25" customWidth="1"/>
    <col min="2" max="2" width="31.90625" style="25" customWidth="1"/>
    <col min="3" max="16384" width="8.90625" style="25"/>
  </cols>
  <sheetData>
    <row r="1" spans="1:9" ht="20" x14ac:dyDescent="0.4">
      <c r="A1" s="36" t="s">
        <v>0</v>
      </c>
      <c r="B1" s="37"/>
      <c r="C1" s="37"/>
      <c r="D1" s="37"/>
      <c r="E1" s="37"/>
      <c r="F1" s="37"/>
      <c r="G1" s="37"/>
      <c r="H1" s="37"/>
      <c r="I1" s="37"/>
    </row>
    <row r="2" spans="1:9" ht="15.5" x14ac:dyDescent="0.35">
      <c r="A2" s="97"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Club - CARE Benefit Adjustment Factors  - x-104</v>
      </c>
      <c r="B3" s="39"/>
      <c r="C3" s="39"/>
      <c r="D3" s="39"/>
      <c r="E3" s="39"/>
      <c r="F3" s="39"/>
      <c r="G3" s="39"/>
      <c r="H3" s="39"/>
      <c r="I3" s="39"/>
    </row>
    <row r="4" spans="1:9" x14ac:dyDescent="0.25">
      <c r="A4" s="41"/>
    </row>
    <row r="6" spans="1:9" ht="13" x14ac:dyDescent="0.3">
      <c r="A6" s="83" t="s">
        <v>276</v>
      </c>
      <c r="B6" s="161" t="s">
        <v>277</v>
      </c>
      <c r="C6" s="84"/>
      <c r="D6" s="84"/>
      <c r="E6" s="84"/>
      <c r="F6" s="84"/>
    </row>
    <row r="7" spans="1:9" x14ac:dyDescent="0.25">
      <c r="A7" s="85" t="s">
        <v>278</v>
      </c>
      <c r="B7" s="161" t="s">
        <v>310</v>
      </c>
      <c r="C7" s="86"/>
      <c r="D7" s="86"/>
      <c r="E7" s="86"/>
      <c r="F7" s="86"/>
    </row>
    <row r="8" spans="1:9" x14ac:dyDescent="0.25">
      <c r="A8" s="85" t="s">
        <v>280</v>
      </c>
      <c r="B8" s="161" t="s">
        <v>74</v>
      </c>
      <c r="C8" s="86"/>
      <c r="D8" s="86"/>
      <c r="E8" s="86"/>
      <c r="F8" s="86"/>
    </row>
    <row r="9" spans="1:9" ht="14.15" customHeight="1" x14ac:dyDescent="0.25">
      <c r="A9" s="85" t="s">
        <v>282</v>
      </c>
      <c r="B9" s="161" t="s">
        <v>311</v>
      </c>
      <c r="C9" s="86"/>
      <c r="D9" s="86"/>
      <c r="E9" s="86"/>
      <c r="F9" s="86"/>
    </row>
    <row r="10" spans="1:9" ht="14.15" customHeight="1" x14ac:dyDescent="0.25">
      <c r="A10" s="85" t="s">
        <v>6</v>
      </c>
      <c r="B10" s="161" t="s">
        <v>325</v>
      </c>
      <c r="C10" s="86"/>
      <c r="D10" s="86"/>
      <c r="E10" s="86"/>
      <c r="F10" s="86"/>
    </row>
    <row r="11" spans="1:9" ht="14.15" customHeight="1" x14ac:dyDescent="0.25">
      <c r="A11" s="85" t="s">
        <v>285</v>
      </c>
      <c r="B11" s="161" t="s">
        <v>313</v>
      </c>
      <c r="C11" s="86"/>
      <c r="D11" s="86"/>
      <c r="E11" s="86"/>
      <c r="F11" s="86"/>
    </row>
    <row r="12" spans="1:9" ht="14.15" customHeight="1" x14ac:dyDescent="0.25">
      <c r="A12" s="85" t="s">
        <v>287</v>
      </c>
      <c r="B12" s="161" t="s">
        <v>314</v>
      </c>
      <c r="C12" s="86"/>
      <c r="D12" s="86"/>
      <c r="E12" s="86"/>
      <c r="F12" s="86"/>
    </row>
    <row r="13" spans="1:9" ht="14.15" customHeight="1" x14ac:dyDescent="0.25">
      <c r="A13" s="85" t="s">
        <v>289</v>
      </c>
      <c r="B13" s="161">
        <v>0</v>
      </c>
      <c r="C13" s="86"/>
      <c r="D13" s="86"/>
      <c r="E13" s="86"/>
      <c r="F13" s="86"/>
    </row>
    <row r="14" spans="1:9" ht="14.15" customHeight="1" x14ac:dyDescent="0.25">
      <c r="A14" s="85" t="s">
        <v>291</v>
      </c>
      <c r="B14" s="161">
        <v>104</v>
      </c>
      <c r="C14" s="86"/>
      <c r="D14" s="86"/>
      <c r="E14" s="86"/>
      <c r="F14" s="86"/>
    </row>
    <row r="15" spans="1:9" ht="14.15" customHeight="1" x14ac:dyDescent="0.25">
      <c r="A15" s="85" t="s">
        <v>293</v>
      </c>
      <c r="B15" s="161" t="s">
        <v>326</v>
      </c>
      <c r="C15" s="86"/>
      <c r="D15" s="86"/>
      <c r="E15" s="86"/>
      <c r="F15" s="86"/>
    </row>
    <row r="16" spans="1:9" ht="14.15" customHeight="1" x14ac:dyDescent="0.25">
      <c r="A16" s="85" t="s">
        <v>295</v>
      </c>
      <c r="B16" s="161" t="s">
        <v>327</v>
      </c>
      <c r="C16" s="86"/>
      <c r="D16" s="86"/>
      <c r="E16" s="86"/>
      <c r="F16" s="86"/>
    </row>
    <row r="17" spans="1:6" ht="26.4" customHeight="1" x14ac:dyDescent="0.25">
      <c r="A17" s="85" t="s">
        <v>725</v>
      </c>
      <c r="B17" s="161"/>
      <c r="C17" s="86"/>
      <c r="D17" s="86"/>
      <c r="E17" s="86"/>
      <c r="F17" s="86"/>
    </row>
    <row r="18" spans="1:6" ht="14.15" customHeight="1" x14ac:dyDescent="0.25">
      <c r="A18" s="85" t="s">
        <v>299</v>
      </c>
      <c r="B18" s="162">
        <v>45202</v>
      </c>
      <c r="C18" s="96"/>
      <c r="D18" s="96"/>
      <c r="E18" s="96"/>
      <c r="F18" s="96"/>
    </row>
    <row r="19" spans="1:6" ht="14.15" customHeight="1" x14ac:dyDescent="0.25">
      <c r="A19" s="85" t="s">
        <v>301</v>
      </c>
      <c r="B19" s="162">
        <v>45200</v>
      </c>
      <c r="C19" s="70"/>
      <c r="D19" s="70"/>
      <c r="E19" s="70"/>
      <c r="F19" s="70"/>
    </row>
    <row r="20" spans="1:6" ht="14.15" customHeight="1" x14ac:dyDescent="0.25">
      <c r="A20" s="85" t="s">
        <v>303</v>
      </c>
      <c r="B20" s="161" t="s">
        <v>317</v>
      </c>
      <c r="C20" s="70"/>
      <c r="D20" s="70"/>
      <c r="E20" s="70"/>
      <c r="F20" s="70"/>
    </row>
    <row r="21" spans="1:6" x14ac:dyDescent="0.25">
      <c r="A21" s="85" t="s">
        <v>309</v>
      </c>
      <c r="B21" s="161" t="s">
        <v>318</v>
      </c>
      <c r="C21" s="70"/>
      <c r="D21" s="70"/>
      <c r="E21" s="70"/>
      <c r="F21" s="70"/>
    </row>
    <row r="23" spans="1:6" x14ac:dyDescent="0.25">
      <c r="B23" s="103" t="str">
        <f>HYPERLINK("#'Factor List'!A1","Back to Factor List")</f>
        <v>Back to Factor List</v>
      </c>
    </row>
    <row r="24" spans="1:6" x14ac:dyDescent="0.25">
      <c r="B24" s="103" t="s">
        <v>15</v>
      </c>
    </row>
    <row r="25" spans="1:6" x14ac:dyDescent="0.25">
      <c r="B25" s="103"/>
    </row>
    <row r="26" spans="1:6" ht="13" x14ac:dyDescent="0.25">
      <c r="A26" s="87" t="s">
        <v>499</v>
      </c>
      <c r="B26" s="158" t="s">
        <v>726</v>
      </c>
    </row>
    <row r="27" spans="1:6" x14ac:dyDescent="0.25">
      <c r="A27" s="88">
        <v>16</v>
      </c>
      <c r="B27" s="89">
        <v>1.0269999999999999</v>
      </c>
    </row>
    <row r="28" spans="1:6" x14ac:dyDescent="0.25">
      <c r="A28" s="88">
        <f>A27+1</f>
        <v>17</v>
      </c>
      <c r="B28" s="89">
        <v>1.0269999999999999</v>
      </c>
    </row>
    <row r="29" spans="1:6" x14ac:dyDescent="0.25">
      <c r="A29" s="88">
        <f t="shared" ref="A29:A78" si="0">A28+1</f>
        <v>18</v>
      </c>
      <c r="B29" s="89">
        <v>1.0269999999999999</v>
      </c>
    </row>
    <row r="30" spans="1:6" x14ac:dyDescent="0.25">
      <c r="A30" s="88">
        <f t="shared" si="0"/>
        <v>19</v>
      </c>
      <c r="B30" s="89">
        <v>1.0269999999999999</v>
      </c>
    </row>
    <row r="31" spans="1:6" x14ac:dyDescent="0.25">
      <c r="A31" s="88">
        <f t="shared" si="0"/>
        <v>20</v>
      </c>
      <c r="B31" s="89">
        <v>1.0269999999999999</v>
      </c>
    </row>
    <row r="32" spans="1:6" x14ac:dyDescent="0.25">
      <c r="A32" s="88">
        <f t="shared" si="0"/>
        <v>21</v>
      </c>
      <c r="B32" s="89">
        <v>1.0269999999999999</v>
      </c>
    </row>
    <row r="33" spans="1:2" x14ac:dyDescent="0.25">
      <c r="A33" s="88">
        <f t="shared" si="0"/>
        <v>22</v>
      </c>
      <c r="B33" s="89">
        <v>1.0269999999999999</v>
      </c>
    </row>
    <row r="34" spans="1:2" x14ac:dyDescent="0.25">
      <c r="A34" s="88">
        <f t="shared" si="0"/>
        <v>23</v>
      </c>
      <c r="B34" s="89">
        <v>1.0269999999999999</v>
      </c>
    </row>
    <row r="35" spans="1:2" x14ac:dyDescent="0.25">
      <c r="A35" s="88">
        <f t="shared" si="0"/>
        <v>24</v>
      </c>
      <c r="B35" s="89">
        <v>1.0269999999999999</v>
      </c>
    </row>
    <row r="36" spans="1:2" x14ac:dyDescent="0.25">
      <c r="A36" s="88">
        <f>A35+1</f>
        <v>25</v>
      </c>
      <c r="B36" s="89">
        <v>1.0269999999999999</v>
      </c>
    </row>
    <row r="37" spans="1:2" x14ac:dyDescent="0.25">
      <c r="A37" s="88">
        <f t="shared" si="0"/>
        <v>26</v>
      </c>
      <c r="B37" s="89">
        <v>1.0269999999999999</v>
      </c>
    </row>
    <row r="38" spans="1:2" x14ac:dyDescent="0.25">
      <c r="A38" s="88">
        <f t="shared" si="0"/>
        <v>27</v>
      </c>
      <c r="B38" s="89">
        <v>1.0269999999999999</v>
      </c>
    </row>
    <row r="39" spans="1:2" x14ac:dyDescent="0.25">
      <c r="A39" s="88">
        <f t="shared" si="0"/>
        <v>28</v>
      </c>
      <c r="B39" s="89">
        <v>1.0269999999999999</v>
      </c>
    </row>
    <row r="40" spans="1:2" x14ac:dyDescent="0.25">
      <c r="A40" s="88">
        <f>A39+1</f>
        <v>29</v>
      </c>
      <c r="B40" s="89">
        <v>1.0269999999999999</v>
      </c>
    </row>
    <row r="41" spans="1:2" x14ac:dyDescent="0.25">
      <c r="A41" s="88">
        <f t="shared" si="0"/>
        <v>30</v>
      </c>
      <c r="B41" s="89">
        <v>1.0269999999999999</v>
      </c>
    </row>
    <row r="42" spans="1:2" x14ac:dyDescent="0.25">
      <c r="A42" s="88">
        <f t="shared" si="0"/>
        <v>31</v>
      </c>
      <c r="B42" s="89">
        <v>1.0269999999999999</v>
      </c>
    </row>
    <row r="43" spans="1:2" x14ac:dyDescent="0.25">
      <c r="A43" s="88">
        <f t="shared" si="0"/>
        <v>32</v>
      </c>
      <c r="B43" s="89">
        <v>1.0269999999999999</v>
      </c>
    </row>
    <row r="44" spans="1:2" x14ac:dyDescent="0.25">
      <c r="A44" s="88">
        <f t="shared" si="0"/>
        <v>33</v>
      </c>
      <c r="B44" s="89">
        <v>1.0269999999999999</v>
      </c>
    </row>
    <row r="45" spans="1:2" x14ac:dyDescent="0.25">
      <c r="A45" s="88">
        <f t="shared" si="0"/>
        <v>34</v>
      </c>
      <c r="B45" s="89">
        <v>1.0269999999999999</v>
      </c>
    </row>
    <row r="46" spans="1:2" x14ac:dyDescent="0.25">
      <c r="A46" s="88">
        <f t="shared" si="0"/>
        <v>35</v>
      </c>
      <c r="B46" s="89">
        <v>1.0269999999999999</v>
      </c>
    </row>
    <row r="47" spans="1:2" x14ac:dyDescent="0.25">
      <c r="A47" s="88">
        <f t="shared" si="0"/>
        <v>36</v>
      </c>
      <c r="B47" s="89">
        <v>1.0269999999999999</v>
      </c>
    </row>
    <row r="48" spans="1:2" x14ac:dyDescent="0.25">
      <c r="A48" s="88">
        <f t="shared" si="0"/>
        <v>37</v>
      </c>
      <c r="B48" s="89">
        <v>1.0269999999999999</v>
      </c>
    </row>
    <row r="49" spans="1:2" x14ac:dyDescent="0.25">
      <c r="A49" s="88">
        <f t="shared" si="0"/>
        <v>38</v>
      </c>
      <c r="B49" s="89">
        <v>1.0269999999999999</v>
      </c>
    </row>
    <row r="50" spans="1:2" x14ac:dyDescent="0.25">
      <c r="A50" s="88">
        <f t="shared" si="0"/>
        <v>39</v>
      </c>
      <c r="B50" s="89">
        <v>1.0269999999999999</v>
      </c>
    </row>
    <row r="51" spans="1:2" x14ac:dyDescent="0.25">
      <c r="A51" s="88">
        <f t="shared" si="0"/>
        <v>40</v>
      </c>
      <c r="B51" s="89">
        <v>1.0269999999999999</v>
      </c>
    </row>
    <row r="52" spans="1:2" x14ac:dyDescent="0.25">
      <c r="A52" s="88">
        <f t="shared" si="0"/>
        <v>41</v>
      </c>
      <c r="B52" s="89">
        <v>1.0269999999999999</v>
      </c>
    </row>
    <row r="53" spans="1:2" x14ac:dyDescent="0.25">
      <c r="A53" s="88">
        <f t="shared" si="0"/>
        <v>42</v>
      </c>
      <c r="B53" s="89">
        <v>1.0269999999999999</v>
      </c>
    </row>
    <row r="54" spans="1:2" x14ac:dyDescent="0.25">
      <c r="A54" s="88">
        <f t="shared" si="0"/>
        <v>43</v>
      </c>
      <c r="B54" s="89">
        <v>1.0269999999999999</v>
      </c>
    </row>
    <row r="55" spans="1:2" x14ac:dyDescent="0.25">
      <c r="A55" s="88">
        <f t="shared" si="0"/>
        <v>44</v>
      </c>
      <c r="B55" s="89">
        <v>1.0269999999999999</v>
      </c>
    </row>
    <row r="56" spans="1:2" x14ac:dyDescent="0.25">
      <c r="A56" s="88">
        <f t="shared" si="0"/>
        <v>45</v>
      </c>
      <c r="B56" s="89">
        <v>1.026</v>
      </c>
    </row>
    <row r="57" spans="1:2" x14ac:dyDescent="0.25">
      <c r="A57" s="88">
        <f t="shared" si="0"/>
        <v>46</v>
      </c>
      <c r="B57" s="89">
        <v>1.026</v>
      </c>
    </row>
    <row r="58" spans="1:2" x14ac:dyDescent="0.25">
      <c r="A58" s="88">
        <f t="shared" si="0"/>
        <v>47</v>
      </c>
      <c r="B58" s="89">
        <v>1.0249999999999999</v>
      </c>
    </row>
    <row r="59" spans="1:2" x14ac:dyDescent="0.25">
      <c r="A59" s="88">
        <f t="shared" si="0"/>
        <v>48</v>
      </c>
      <c r="B59" s="89">
        <v>1.0249999999999999</v>
      </c>
    </row>
    <row r="60" spans="1:2" x14ac:dyDescent="0.25">
      <c r="A60" s="88">
        <f t="shared" si="0"/>
        <v>49</v>
      </c>
      <c r="B60" s="89">
        <v>1.024</v>
      </c>
    </row>
    <row r="61" spans="1:2" x14ac:dyDescent="0.25">
      <c r="A61" s="88">
        <f t="shared" si="0"/>
        <v>50</v>
      </c>
      <c r="B61" s="89">
        <v>1.024</v>
      </c>
    </row>
    <row r="62" spans="1:2" x14ac:dyDescent="0.25">
      <c r="A62" s="88">
        <f t="shared" si="0"/>
        <v>51</v>
      </c>
      <c r="B62" s="89">
        <v>1.024</v>
      </c>
    </row>
    <row r="63" spans="1:2" x14ac:dyDescent="0.25">
      <c r="A63" s="88">
        <f t="shared" si="0"/>
        <v>52</v>
      </c>
      <c r="B63" s="89">
        <v>1.024</v>
      </c>
    </row>
    <row r="64" spans="1:2" x14ac:dyDescent="0.25">
      <c r="A64" s="88">
        <f t="shared" si="0"/>
        <v>53</v>
      </c>
      <c r="B64" s="89">
        <v>1.024</v>
      </c>
    </row>
    <row r="65" spans="1:2" x14ac:dyDescent="0.25">
      <c r="A65" s="88">
        <f t="shared" si="0"/>
        <v>54</v>
      </c>
      <c r="B65" s="89">
        <v>1.0229999999999999</v>
      </c>
    </row>
    <row r="66" spans="1:2" x14ac:dyDescent="0.25">
      <c r="A66" s="88">
        <f t="shared" si="0"/>
        <v>55</v>
      </c>
      <c r="B66" s="89">
        <v>1.0229999999999999</v>
      </c>
    </row>
    <row r="67" spans="1:2" x14ac:dyDescent="0.25">
      <c r="A67" s="88">
        <f t="shared" si="0"/>
        <v>56</v>
      </c>
      <c r="B67" s="89">
        <v>1.0229999999999999</v>
      </c>
    </row>
    <row r="68" spans="1:2" x14ac:dyDescent="0.25">
      <c r="A68" s="88">
        <f t="shared" si="0"/>
        <v>57</v>
      </c>
      <c r="B68" s="89">
        <v>1.0229999999999999</v>
      </c>
    </row>
    <row r="69" spans="1:2" x14ac:dyDescent="0.25">
      <c r="A69" s="88">
        <f t="shared" si="0"/>
        <v>58</v>
      </c>
      <c r="B69" s="89">
        <v>1.022</v>
      </c>
    </row>
    <row r="70" spans="1:2" x14ac:dyDescent="0.25">
      <c r="A70" s="88">
        <f t="shared" si="0"/>
        <v>59</v>
      </c>
      <c r="B70" s="89">
        <v>1.022</v>
      </c>
    </row>
    <row r="71" spans="1:2" x14ac:dyDescent="0.25">
      <c r="A71" s="88">
        <f t="shared" si="0"/>
        <v>60</v>
      </c>
      <c r="B71" s="89">
        <v>1.022</v>
      </c>
    </row>
    <row r="72" spans="1:2" x14ac:dyDescent="0.25">
      <c r="A72" s="88">
        <f t="shared" si="0"/>
        <v>61</v>
      </c>
      <c r="B72" s="89">
        <v>1.0209999999999999</v>
      </c>
    </row>
    <row r="73" spans="1:2" x14ac:dyDescent="0.25">
      <c r="A73" s="88">
        <f t="shared" si="0"/>
        <v>62</v>
      </c>
      <c r="B73" s="89">
        <v>1.0209999999999999</v>
      </c>
    </row>
    <row r="74" spans="1:2" x14ac:dyDescent="0.25">
      <c r="A74" s="88">
        <f t="shared" si="0"/>
        <v>63</v>
      </c>
      <c r="B74" s="89">
        <v>1.02</v>
      </c>
    </row>
    <row r="75" spans="1:2" x14ac:dyDescent="0.25">
      <c r="A75" s="88">
        <f t="shared" si="0"/>
        <v>64</v>
      </c>
      <c r="B75" s="89">
        <v>1.02</v>
      </c>
    </row>
    <row r="76" spans="1:2" x14ac:dyDescent="0.25">
      <c r="A76" s="88">
        <f t="shared" si="0"/>
        <v>65</v>
      </c>
      <c r="B76" s="89">
        <v>1.0189999999999999</v>
      </c>
    </row>
    <row r="77" spans="1:2" x14ac:dyDescent="0.25">
      <c r="A77" s="88">
        <f t="shared" si="0"/>
        <v>66</v>
      </c>
      <c r="B77" s="89">
        <v>1.0189999999999999</v>
      </c>
    </row>
    <row r="78" spans="1:2" x14ac:dyDescent="0.25">
      <c r="A78" s="88">
        <f t="shared" si="0"/>
        <v>67</v>
      </c>
      <c r="B78" s="89">
        <v>1.0189999999999999</v>
      </c>
    </row>
  </sheetData>
  <sheetProtection algorithmName="SHA-512" hashValue="/iLk1pYyJmW7aTJ422jikgZapPkOGzZi8DVqVhEUGu9VqVSgEpv7j9ZfInHfX3njLUFLLI90GymDZa0cwMPIcQ==" saltValue="IZhAd93z68bXCrRpFVOriA==" spinCount="100000" sheet="1" objects="1" scenarios="1"/>
  <conditionalFormatting sqref="A6:A21">
    <cfRule type="expression" dxfId="1095" priority="31" stopIfTrue="1">
      <formula>MOD(ROW(),2)=0</formula>
    </cfRule>
    <cfRule type="expression" dxfId="1094" priority="32" stopIfTrue="1">
      <formula>MOD(ROW(),2)&lt;&gt;0</formula>
    </cfRule>
  </conditionalFormatting>
  <conditionalFormatting sqref="A26:A78">
    <cfRule type="expression" dxfId="1093" priority="15" stopIfTrue="1">
      <formula>MOD(ROW(),2)=0</formula>
    </cfRule>
    <cfRule type="expression" dxfId="1092" priority="16" stopIfTrue="1">
      <formula>MOD(ROW(),2)&lt;&gt;0</formula>
    </cfRule>
  </conditionalFormatting>
  <conditionalFormatting sqref="B6:B21">
    <cfRule type="expression" dxfId="1091" priority="11" stopIfTrue="1">
      <formula>MOD(ROW(),2)=0</formula>
    </cfRule>
    <cfRule type="expression" dxfId="1090" priority="12" stopIfTrue="1">
      <formula>MOD(ROW(),2)&lt;&gt;0</formula>
    </cfRule>
  </conditionalFormatting>
  <conditionalFormatting sqref="B23">
    <cfRule type="expression" dxfId="1089" priority="25" stopIfTrue="1">
      <formula>MOD(ROW(),2)=0</formula>
    </cfRule>
    <cfRule type="expression" dxfId="1088" priority="26" stopIfTrue="1">
      <formula>MOD(ROW(),2)&lt;&gt;0</formula>
    </cfRule>
  </conditionalFormatting>
  <conditionalFormatting sqref="B27:B78">
    <cfRule type="expression" dxfId="1087" priority="17" stopIfTrue="1">
      <formula>MOD(ROW(),2)=0</formula>
    </cfRule>
    <cfRule type="expression" dxfId="1086" priority="18" stopIfTrue="1">
      <formula>MOD(ROW(),2)&lt;&gt;0</formula>
    </cfRule>
  </conditionalFormatting>
  <conditionalFormatting sqref="B6:F6 C7:F7">
    <cfRule type="expression" dxfId="1085" priority="33" stopIfTrue="1">
      <formula>MOD(ROW(),2)=0</formula>
    </cfRule>
    <cfRule type="expression" dxfId="1084" priority="34" stopIfTrue="1">
      <formula>MOD(ROW(),2)&lt;&gt;0</formula>
    </cfRule>
  </conditionalFormatting>
  <conditionalFormatting sqref="B8:F16">
    <cfRule type="expression" dxfId="1083" priority="29" stopIfTrue="1">
      <formula>MOD(ROW(),2)=0</formula>
    </cfRule>
    <cfRule type="expression" dxfId="1082" priority="30" stopIfTrue="1">
      <formula>MOD(ROW(),2)&lt;&gt;0</formula>
    </cfRule>
  </conditionalFormatting>
  <conditionalFormatting sqref="B17:F21">
    <cfRule type="expression" dxfId="1081" priority="1" stopIfTrue="1">
      <formula>MOD(ROW(),2)=0</formula>
    </cfRule>
    <cfRule type="expression" dxfId="1080" priority="2" stopIfTrue="1">
      <formula>MOD(ROW(),2)&lt;&gt;0</formula>
    </cfRule>
  </conditionalFormatting>
  <hyperlinks>
    <hyperlink ref="B24" location="Assumptions!A1" display="Assumptions" xr:uid="{28E8EF37-B7A3-402F-8AE8-27550D239E4E}"/>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9"/>
  <dimension ref="A1:G65"/>
  <sheetViews>
    <sheetView showGridLines="0" zoomScale="85" zoomScaleNormal="85" workbookViewId="0">
      <selection activeCell="A4" sqref="A4"/>
    </sheetView>
  </sheetViews>
  <sheetFormatPr defaultColWidth="10" defaultRowHeight="12.5" x14ac:dyDescent="0.25"/>
  <cols>
    <col min="1" max="1" width="31.90625" style="25" customWidth="1"/>
    <col min="2" max="4" width="22.90625" style="25" customWidth="1"/>
    <col min="5" max="16384" width="10" style="25"/>
  </cols>
  <sheetData>
    <row r="1" spans="1:7" ht="20" x14ac:dyDescent="0.4">
      <c r="A1" s="36" t="s">
        <v>0</v>
      </c>
      <c r="B1" s="37"/>
      <c r="C1" s="37"/>
      <c r="D1" s="37"/>
      <c r="E1" s="37"/>
      <c r="F1" s="37"/>
      <c r="G1" s="37"/>
    </row>
    <row r="2" spans="1:7" ht="15.5" x14ac:dyDescent="0.35">
      <c r="A2" s="38" t="str">
        <f>IF(title="&gt; Enter workbook title here","Enter workbook title in Cover sheet",title)</f>
        <v>NHSPS_NI - Consolidated Factor Spreadsheet</v>
      </c>
      <c r="B2" s="39"/>
      <c r="C2" s="39"/>
      <c r="D2" s="39"/>
      <c r="E2" s="39"/>
      <c r="F2" s="39"/>
      <c r="G2" s="39"/>
    </row>
    <row r="3" spans="1:7" ht="15.5" x14ac:dyDescent="0.35">
      <c r="A3" s="40" t="str">
        <f>TABLE_FACTOR_TYPE_1&amp;" - x-"&amp;TABLE_SERIES_NUMBER_1</f>
        <v>CETV - x-201</v>
      </c>
      <c r="B3" s="39"/>
      <c r="C3" s="39"/>
      <c r="D3" s="39"/>
      <c r="E3" s="39"/>
      <c r="F3" s="39"/>
      <c r="G3" s="39"/>
    </row>
    <row r="4" spans="1:7" x14ac:dyDescent="0.25">
      <c r="A4" s="41"/>
    </row>
    <row r="6" spans="1:7" ht="13" x14ac:dyDescent="0.3">
      <c r="A6" s="163" t="s">
        <v>276</v>
      </c>
      <c r="B6" s="107" t="s">
        <v>277</v>
      </c>
      <c r="C6" s="107"/>
      <c r="D6" s="107"/>
    </row>
    <row r="7" spans="1:7" x14ac:dyDescent="0.25">
      <c r="A7" s="69" t="s">
        <v>278</v>
      </c>
      <c r="B7" s="107" t="s">
        <v>310</v>
      </c>
      <c r="C7" s="107"/>
      <c r="D7" s="107"/>
    </row>
    <row r="8" spans="1:7" x14ac:dyDescent="0.25">
      <c r="A8" s="69" t="s">
        <v>280</v>
      </c>
      <c r="B8" s="107" t="s">
        <v>75</v>
      </c>
      <c r="C8" s="107"/>
      <c r="D8" s="107"/>
    </row>
    <row r="9" spans="1:7" x14ac:dyDescent="0.25">
      <c r="A9" s="69" t="s">
        <v>282</v>
      </c>
      <c r="B9" s="107" t="s">
        <v>328</v>
      </c>
      <c r="C9" s="107"/>
      <c r="D9" s="107"/>
    </row>
    <row r="10" spans="1:7" ht="12.65" customHeight="1" x14ac:dyDescent="0.25">
      <c r="A10" s="69" t="s">
        <v>6</v>
      </c>
      <c r="B10" s="107" t="s">
        <v>329</v>
      </c>
      <c r="C10" s="107"/>
      <c r="D10" s="107"/>
    </row>
    <row r="11" spans="1:7" x14ac:dyDescent="0.25">
      <c r="A11" s="69" t="s">
        <v>285</v>
      </c>
      <c r="B11" s="107" t="s">
        <v>330</v>
      </c>
      <c r="C11" s="107"/>
      <c r="D11" s="107"/>
    </row>
    <row r="12" spans="1:7" ht="12.65" customHeight="1" x14ac:dyDescent="0.25">
      <c r="A12" s="69" t="s">
        <v>287</v>
      </c>
      <c r="B12" s="107" t="s">
        <v>314</v>
      </c>
      <c r="C12" s="107"/>
      <c r="D12" s="107"/>
    </row>
    <row r="13" spans="1:7" x14ac:dyDescent="0.25">
      <c r="A13" s="69" t="s">
        <v>289</v>
      </c>
      <c r="B13" s="107">
        <v>1</v>
      </c>
      <c r="C13" s="107"/>
      <c r="D13" s="107"/>
    </row>
    <row r="14" spans="1:7" x14ac:dyDescent="0.25">
      <c r="A14" s="69" t="s">
        <v>291</v>
      </c>
      <c r="B14" s="107">
        <v>201</v>
      </c>
      <c r="C14" s="107"/>
      <c r="D14" s="107"/>
    </row>
    <row r="15" spans="1:7" x14ac:dyDescent="0.25">
      <c r="A15" s="69" t="s">
        <v>293</v>
      </c>
      <c r="B15" s="107" t="s">
        <v>331</v>
      </c>
      <c r="C15" s="107"/>
      <c r="D15" s="107"/>
    </row>
    <row r="16" spans="1:7" x14ac:dyDescent="0.25">
      <c r="A16" s="69" t="s">
        <v>295</v>
      </c>
      <c r="B16" s="107" t="s">
        <v>332</v>
      </c>
      <c r="C16" s="107"/>
      <c r="D16" s="107"/>
    </row>
    <row r="17" spans="1:4" ht="12.65" customHeight="1" x14ac:dyDescent="0.25">
      <c r="A17" s="69" t="s">
        <v>725</v>
      </c>
      <c r="B17" s="107"/>
      <c r="C17" s="107"/>
      <c r="D17" s="107"/>
    </row>
    <row r="18" spans="1:4" x14ac:dyDescent="0.25">
      <c r="A18" s="69" t="s">
        <v>299</v>
      </c>
      <c r="B18" s="164" t="s">
        <v>727</v>
      </c>
      <c r="C18" s="107"/>
      <c r="D18" s="107"/>
    </row>
    <row r="19" spans="1:4" x14ac:dyDescent="0.25">
      <c r="A19" s="69" t="s">
        <v>301</v>
      </c>
      <c r="B19" s="164">
        <v>45014</v>
      </c>
      <c r="C19" s="107"/>
      <c r="D19" s="107"/>
    </row>
    <row r="20" spans="1:4" x14ac:dyDescent="0.25">
      <c r="A20" s="69" t="s">
        <v>303</v>
      </c>
      <c r="B20" s="107" t="s">
        <v>317</v>
      </c>
      <c r="C20" s="107"/>
      <c r="D20" s="107"/>
    </row>
    <row r="21" spans="1:4" x14ac:dyDescent="0.25">
      <c r="A21" s="69" t="s">
        <v>309</v>
      </c>
      <c r="B21" s="107" t="s">
        <v>318</v>
      </c>
      <c r="C21" s="107"/>
      <c r="D21" s="107"/>
    </row>
    <row r="23" spans="1:4" x14ac:dyDescent="0.25">
      <c r="B23" s="103" t="str">
        <f>HYPERLINK("#'Factor List'!A1","Back to Factor List")</f>
        <v>Back to Factor List</v>
      </c>
    </row>
    <row r="24" spans="1:4" x14ac:dyDescent="0.25">
      <c r="B24" s="103" t="s">
        <v>15</v>
      </c>
    </row>
    <row r="26" spans="1:4" ht="39" x14ac:dyDescent="0.25">
      <c r="A26" s="98" t="s">
        <v>408</v>
      </c>
      <c r="B26" s="98" t="s">
        <v>728</v>
      </c>
      <c r="C26" s="98" t="s">
        <v>729</v>
      </c>
      <c r="D26" s="98" t="s">
        <v>730</v>
      </c>
    </row>
    <row r="27" spans="1:4" x14ac:dyDescent="0.25">
      <c r="A27" s="99">
        <v>22</v>
      </c>
      <c r="B27" s="100">
        <v>12.59</v>
      </c>
      <c r="C27" s="100">
        <v>0.53</v>
      </c>
      <c r="D27" s="100">
        <v>1.21</v>
      </c>
    </row>
    <row r="28" spans="1:4" x14ac:dyDescent="0.25">
      <c r="A28" s="99">
        <v>23</v>
      </c>
      <c r="B28" s="100">
        <v>12.78</v>
      </c>
      <c r="C28" s="100">
        <v>0.54</v>
      </c>
      <c r="D28" s="100">
        <v>1.22</v>
      </c>
    </row>
    <row r="29" spans="1:4" x14ac:dyDescent="0.25">
      <c r="A29" s="99">
        <v>24</v>
      </c>
      <c r="B29" s="100">
        <v>12.97</v>
      </c>
      <c r="C29" s="100">
        <v>0.55000000000000004</v>
      </c>
      <c r="D29" s="100">
        <v>1.24</v>
      </c>
    </row>
    <row r="30" spans="1:4" x14ac:dyDescent="0.25">
      <c r="A30" s="99">
        <v>25</v>
      </c>
      <c r="B30" s="100">
        <v>13.17</v>
      </c>
      <c r="C30" s="100">
        <v>0.56000000000000005</v>
      </c>
      <c r="D30" s="100">
        <v>1.26</v>
      </c>
    </row>
    <row r="31" spans="1:4" x14ac:dyDescent="0.25">
      <c r="A31" s="99">
        <v>26</v>
      </c>
      <c r="B31" s="100">
        <v>13.37</v>
      </c>
      <c r="C31" s="100">
        <v>0.56999999999999995</v>
      </c>
      <c r="D31" s="100">
        <v>1.28</v>
      </c>
    </row>
    <row r="32" spans="1:4" x14ac:dyDescent="0.25">
      <c r="A32" s="99">
        <v>27</v>
      </c>
      <c r="B32" s="100">
        <v>13.57</v>
      </c>
      <c r="C32" s="100">
        <v>0.57999999999999996</v>
      </c>
      <c r="D32" s="100">
        <v>1.3</v>
      </c>
    </row>
    <row r="33" spans="1:4" x14ac:dyDescent="0.25">
      <c r="A33" s="99">
        <v>28</v>
      </c>
      <c r="B33" s="100">
        <v>13.77</v>
      </c>
      <c r="C33" s="100">
        <v>0.59</v>
      </c>
      <c r="D33" s="100">
        <v>1.32</v>
      </c>
    </row>
    <row r="34" spans="1:4" x14ac:dyDescent="0.25">
      <c r="A34" s="99">
        <v>29</v>
      </c>
      <c r="B34" s="100">
        <v>13.98</v>
      </c>
      <c r="C34" s="100">
        <v>0.6</v>
      </c>
      <c r="D34" s="100">
        <v>1.34</v>
      </c>
    </row>
    <row r="35" spans="1:4" x14ac:dyDescent="0.25">
      <c r="A35" s="99">
        <v>30</v>
      </c>
      <c r="B35" s="100">
        <v>14.19</v>
      </c>
      <c r="C35" s="100">
        <v>0.61</v>
      </c>
      <c r="D35" s="100">
        <v>1.36</v>
      </c>
    </row>
    <row r="36" spans="1:4" x14ac:dyDescent="0.25">
      <c r="A36" s="99">
        <v>31</v>
      </c>
      <c r="B36" s="100">
        <v>14.4</v>
      </c>
      <c r="C36" s="100">
        <v>0.62</v>
      </c>
      <c r="D36" s="100">
        <v>1.37</v>
      </c>
    </row>
    <row r="37" spans="1:4" x14ac:dyDescent="0.25">
      <c r="A37" s="99">
        <v>32</v>
      </c>
      <c r="B37" s="100">
        <v>14.62</v>
      </c>
      <c r="C37" s="100">
        <v>0.63</v>
      </c>
      <c r="D37" s="100">
        <v>1.39</v>
      </c>
    </row>
    <row r="38" spans="1:4" x14ac:dyDescent="0.25">
      <c r="A38" s="99">
        <v>33</v>
      </c>
      <c r="B38" s="100">
        <v>14.84</v>
      </c>
      <c r="C38" s="100">
        <v>0.64</v>
      </c>
      <c r="D38" s="100">
        <v>1.41</v>
      </c>
    </row>
    <row r="39" spans="1:4" x14ac:dyDescent="0.25">
      <c r="A39" s="99">
        <v>34</v>
      </c>
      <c r="B39" s="100">
        <v>15.07</v>
      </c>
      <c r="C39" s="100">
        <v>0.65</v>
      </c>
      <c r="D39" s="100">
        <v>1.43</v>
      </c>
    </row>
    <row r="40" spans="1:4" x14ac:dyDescent="0.25">
      <c r="A40" s="99">
        <v>35</v>
      </c>
      <c r="B40" s="100">
        <v>15.29</v>
      </c>
      <c r="C40" s="100">
        <v>0.66</v>
      </c>
      <c r="D40" s="100">
        <v>1.45</v>
      </c>
    </row>
    <row r="41" spans="1:4" x14ac:dyDescent="0.25">
      <c r="A41" s="99">
        <v>36</v>
      </c>
      <c r="B41" s="100">
        <v>15.53</v>
      </c>
      <c r="C41" s="100">
        <v>0.67</v>
      </c>
      <c r="D41" s="100">
        <v>1.47</v>
      </c>
    </row>
    <row r="42" spans="1:4" x14ac:dyDescent="0.25">
      <c r="A42" s="99">
        <v>37</v>
      </c>
      <c r="B42" s="100">
        <v>15.76</v>
      </c>
      <c r="C42" s="100">
        <v>0.68</v>
      </c>
      <c r="D42" s="100">
        <v>1.48</v>
      </c>
    </row>
    <row r="43" spans="1:4" x14ac:dyDescent="0.25">
      <c r="A43" s="99">
        <v>38</v>
      </c>
      <c r="B43" s="100">
        <v>16</v>
      </c>
      <c r="C43" s="100">
        <v>0.7</v>
      </c>
      <c r="D43" s="100">
        <v>1.5</v>
      </c>
    </row>
    <row r="44" spans="1:4" x14ac:dyDescent="0.25">
      <c r="A44" s="99">
        <v>39</v>
      </c>
      <c r="B44" s="100">
        <v>16.239999999999998</v>
      </c>
      <c r="C44" s="100">
        <v>0.71</v>
      </c>
      <c r="D44" s="100">
        <v>1.52</v>
      </c>
    </row>
    <row r="45" spans="1:4" x14ac:dyDescent="0.25">
      <c r="A45" s="99">
        <v>40</v>
      </c>
      <c r="B45" s="100">
        <v>16.489999999999998</v>
      </c>
      <c r="C45" s="100">
        <v>0.72</v>
      </c>
      <c r="D45" s="100">
        <v>1.54</v>
      </c>
    </row>
    <row r="46" spans="1:4" x14ac:dyDescent="0.25">
      <c r="A46" s="99">
        <v>41</v>
      </c>
      <c r="B46" s="100">
        <v>16.739999999999998</v>
      </c>
      <c r="C46" s="100">
        <v>0.73</v>
      </c>
      <c r="D46" s="100">
        <v>1.55</v>
      </c>
    </row>
    <row r="47" spans="1:4" x14ac:dyDescent="0.25">
      <c r="A47" s="99">
        <v>42</v>
      </c>
      <c r="B47" s="100">
        <v>17</v>
      </c>
      <c r="C47" s="100">
        <v>0.74</v>
      </c>
      <c r="D47" s="100">
        <v>1.57</v>
      </c>
    </row>
    <row r="48" spans="1:4" x14ac:dyDescent="0.25">
      <c r="A48" s="99">
        <v>43</v>
      </c>
      <c r="B48" s="100">
        <v>17.260000000000002</v>
      </c>
      <c r="C48" s="100">
        <v>0.76</v>
      </c>
      <c r="D48" s="100">
        <v>1.59</v>
      </c>
    </row>
    <row r="49" spans="1:4" x14ac:dyDescent="0.25">
      <c r="A49" s="99">
        <v>44</v>
      </c>
      <c r="B49" s="100">
        <v>17.53</v>
      </c>
      <c r="C49" s="100">
        <v>0.77</v>
      </c>
      <c r="D49" s="100">
        <v>1.6</v>
      </c>
    </row>
    <row r="50" spans="1:4" x14ac:dyDescent="0.25">
      <c r="A50" s="99">
        <v>45</v>
      </c>
      <c r="B50" s="100">
        <v>17.8</v>
      </c>
      <c r="C50" s="100">
        <v>0.78</v>
      </c>
      <c r="D50" s="100">
        <v>1.62</v>
      </c>
    </row>
    <row r="51" spans="1:4" x14ac:dyDescent="0.25">
      <c r="A51" s="99">
        <v>46</v>
      </c>
      <c r="B51" s="100">
        <v>18.07</v>
      </c>
      <c r="C51" s="100">
        <v>0.8</v>
      </c>
      <c r="D51" s="100">
        <v>1.63</v>
      </c>
    </row>
    <row r="52" spans="1:4" x14ac:dyDescent="0.25">
      <c r="A52" s="99">
        <v>47</v>
      </c>
      <c r="B52" s="100">
        <v>18.36</v>
      </c>
      <c r="C52" s="100">
        <v>0.81</v>
      </c>
      <c r="D52" s="100">
        <v>1.65</v>
      </c>
    </row>
    <row r="53" spans="1:4" x14ac:dyDescent="0.25">
      <c r="A53" s="99">
        <v>48</v>
      </c>
      <c r="B53" s="100">
        <v>18.64</v>
      </c>
      <c r="C53" s="100">
        <v>0.82</v>
      </c>
      <c r="D53" s="100">
        <v>1.66</v>
      </c>
    </row>
    <row r="54" spans="1:4" x14ac:dyDescent="0.25">
      <c r="A54" s="99">
        <v>49</v>
      </c>
      <c r="B54" s="100">
        <v>18.940000000000001</v>
      </c>
      <c r="C54" s="100">
        <v>0.84</v>
      </c>
      <c r="D54" s="100">
        <v>1.67</v>
      </c>
    </row>
    <row r="55" spans="1:4" x14ac:dyDescent="0.25">
      <c r="A55" s="99">
        <v>50</v>
      </c>
      <c r="B55" s="100">
        <v>19.23</v>
      </c>
      <c r="C55" s="100">
        <v>0.85</v>
      </c>
      <c r="D55" s="100">
        <v>1.69</v>
      </c>
    </row>
    <row r="56" spans="1:4" x14ac:dyDescent="0.25">
      <c r="A56" s="99">
        <v>51</v>
      </c>
      <c r="B56" s="100">
        <v>19.54</v>
      </c>
      <c r="C56" s="100">
        <v>0.87</v>
      </c>
      <c r="D56" s="100">
        <v>1.7</v>
      </c>
    </row>
    <row r="57" spans="1:4" x14ac:dyDescent="0.25">
      <c r="A57" s="99">
        <v>52</v>
      </c>
      <c r="B57" s="100">
        <v>19.850000000000001</v>
      </c>
      <c r="C57" s="100">
        <v>0.88</v>
      </c>
      <c r="D57" s="100">
        <v>1.71</v>
      </c>
    </row>
    <row r="58" spans="1:4" x14ac:dyDescent="0.25">
      <c r="A58" s="99">
        <v>53</v>
      </c>
      <c r="B58" s="100">
        <v>20.170000000000002</v>
      </c>
      <c r="C58" s="100">
        <v>0.9</v>
      </c>
      <c r="D58" s="100">
        <v>1.72</v>
      </c>
    </row>
    <row r="59" spans="1:4" x14ac:dyDescent="0.25">
      <c r="A59" s="99">
        <v>54</v>
      </c>
      <c r="B59" s="100">
        <v>20.5</v>
      </c>
      <c r="C59" s="100">
        <v>0.91</v>
      </c>
      <c r="D59" s="100">
        <v>1.73</v>
      </c>
    </row>
    <row r="60" spans="1:4" x14ac:dyDescent="0.25">
      <c r="A60" s="99">
        <v>55</v>
      </c>
      <c r="B60" s="100">
        <v>20.83</v>
      </c>
      <c r="C60" s="100">
        <v>0.93</v>
      </c>
      <c r="D60" s="100">
        <v>1.74</v>
      </c>
    </row>
    <row r="61" spans="1:4" x14ac:dyDescent="0.25">
      <c r="A61" s="99">
        <v>56</v>
      </c>
      <c r="B61" s="100">
        <v>21.18</v>
      </c>
      <c r="C61" s="100">
        <v>0.94</v>
      </c>
      <c r="D61" s="100">
        <v>1.74</v>
      </c>
    </row>
    <row r="62" spans="1:4" x14ac:dyDescent="0.25">
      <c r="A62" s="99">
        <v>57</v>
      </c>
      <c r="B62" s="100">
        <v>21.53</v>
      </c>
      <c r="C62" s="100">
        <v>0.96</v>
      </c>
      <c r="D62" s="100">
        <v>1.75</v>
      </c>
    </row>
    <row r="63" spans="1:4" x14ac:dyDescent="0.25">
      <c r="A63" s="99">
        <v>58</v>
      </c>
      <c r="B63" s="100">
        <v>21.9</v>
      </c>
      <c r="C63" s="100">
        <v>0.98</v>
      </c>
      <c r="D63" s="100">
        <v>1.75</v>
      </c>
    </row>
    <row r="64" spans="1:4" x14ac:dyDescent="0.25">
      <c r="A64" s="99">
        <v>59</v>
      </c>
      <c r="B64" s="100">
        <v>22.27</v>
      </c>
      <c r="C64" s="100">
        <v>0.99</v>
      </c>
      <c r="D64" s="100">
        <v>1.75</v>
      </c>
    </row>
    <row r="65" spans="1:2" x14ac:dyDescent="0.25">
      <c r="A65"/>
      <c r="B65"/>
    </row>
  </sheetData>
  <sheetProtection algorithmName="SHA-512" hashValue="Wv9e0GFo/x77SuCUw2Hgva4oGDmkVE1oAkmug00RZpD/7PVYFw0MgqgDKmNqX0YPb+KAjeoh3lp0XkL/z3Z/DQ==" saltValue="NbxaMCVlThYLLzJbdYJPvg==" spinCount="100000" sheet="1" objects="1" scenarios="1"/>
  <conditionalFormatting sqref="A6:A21">
    <cfRule type="expression" dxfId="1079" priority="19" stopIfTrue="1">
      <formula>MOD(ROW(),2)=0</formula>
    </cfRule>
    <cfRule type="expression" dxfId="1078" priority="20" stopIfTrue="1">
      <formula>MOD(ROW(),2)&lt;&gt;0</formula>
    </cfRule>
  </conditionalFormatting>
  <conditionalFormatting sqref="A26:A64">
    <cfRule type="expression" dxfId="1077" priority="5" stopIfTrue="1">
      <formula>MOD(ROW(),2)=0</formula>
    </cfRule>
    <cfRule type="expression" dxfId="1076" priority="6" stopIfTrue="1">
      <formula>MOD(ROW(),2)&lt;&gt;0</formula>
    </cfRule>
  </conditionalFormatting>
  <conditionalFormatting sqref="B6:D21">
    <cfRule type="expression" dxfId="1075" priority="21" stopIfTrue="1">
      <formula>MOD(ROW(),2)=0</formula>
    </cfRule>
    <cfRule type="expression" dxfId="1074" priority="22" stopIfTrue="1">
      <formula>MOD(ROW(),2)&lt;&gt;0</formula>
    </cfRule>
  </conditionalFormatting>
  <conditionalFormatting sqref="B17:D21">
    <cfRule type="expression" dxfId="1073" priority="1" stopIfTrue="1">
      <formula>MOD(ROW(),2)=0</formula>
    </cfRule>
    <cfRule type="expression" dxfId="1072" priority="2" stopIfTrue="1">
      <formula>MOD(ROW(),2)&lt;&gt;0</formula>
    </cfRule>
  </conditionalFormatting>
  <conditionalFormatting sqref="B26:D64">
    <cfRule type="expression" dxfId="1071" priority="7" stopIfTrue="1">
      <formula>MOD(ROW(),2)=0</formula>
    </cfRule>
    <cfRule type="expression" dxfId="1070" priority="8" stopIfTrue="1">
      <formula>MOD(ROW(),2)&lt;&gt;0</formula>
    </cfRule>
  </conditionalFormatting>
  <hyperlinks>
    <hyperlink ref="B24" location="Assumptions!A1" display="Assumptions" xr:uid="{3AC56140-9843-482A-8C15-A20946D8149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dimension ref="A1:G65"/>
  <sheetViews>
    <sheetView showGridLines="0" zoomScale="85" zoomScaleNormal="85" workbookViewId="0">
      <selection activeCell="A4" sqref="A4"/>
    </sheetView>
  </sheetViews>
  <sheetFormatPr defaultColWidth="10" defaultRowHeight="12.5" x14ac:dyDescent="0.25"/>
  <cols>
    <col min="1" max="1" width="31.90625" style="25" customWidth="1"/>
    <col min="2" max="4" width="22.90625" style="25" customWidth="1"/>
    <col min="5" max="16384" width="10" style="25"/>
  </cols>
  <sheetData>
    <row r="1" spans="1:7" ht="20" x14ac:dyDescent="0.4">
      <c r="A1" s="36" t="s">
        <v>0</v>
      </c>
      <c r="B1" s="37"/>
      <c r="C1" s="37"/>
      <c r="D1" s="37"/>
      <c r="E1" s="37"/>
      <c r="F1" s="37"/>
      <c r="G1" s="37"/>
    </row>
    <row r="2" spans="1:7" ht="15.5" x14ac:dyDescent="0.35">
      <c r="A2" s="38" t="str">
        <f>IF(title="&gt; Enter workbook title here","Enter workbook title in Cover sheet",title)</f>
        <v>NHSPS_NI - Consolidated Factor Spreadsheet</v>
      </c>
      <c r="B2" s="39"/>
      <c r="C2" s="39"/>
      <c r="D2" s="39"/>
      <c r="E2" s="39"/>
      <c r="F2" s="39"/>
      <c r="G2" s="39"/>
    </row>
    <row r="3" spans="1:7" ht="15.5" x14ac:dyDescent="0.35">
      <c r="A3" s="40" t="str">
        <f>TABLE_FACTOR_TYPE_1&amp;" - x-"&amp;TABLE_SERIES_NUMBER_1</f>
        <v>CETV - x-202</v>
      </c>
      <c r="B3" s="39"/>
      <c r="C3" s="39"/>
      <c r="D3" s="39"/>
      <c r="E3" s="39"/>
      <c r="F3" s="39"/>
      <c r="G3" s="39"/>
    </row>
    <row r="4" spans="1:7" x14ac:dyDescent="0.25">
      <c r="A4" s="41"/>
    </row>
    <row r="5" spans="1:7" x14ac:dyDescent="0.25">
      <c r="B5" s="118"/>
      <c r="C5" s="118"/>
      <c r="D5" s="118"/>
    </row>
    <row r="6" spans="1:7" ht="13" x14ac:dyDescent="0.3">
      <c r="A6" s="163" t="s">
        <v>276</v>
      </c>
      <c r="B6" s="107" t="s">
        <v>277</v>
      </c>
      <c r="C6" s="107"/>
      <c r="D6" s="107"/>
    </row>
    <row r="7" spans="1:7" x14ac:dyDescent="0.25">
      <c r="A7" s="69" t="s">
        <v>278</v>
      </c>
      <c r="B7" s="107" t="s">
        <v>310</v>
      </c>
      <c r="C7" s="107"/>
      <c r="D7" s="107"/>
    </row>
    <row r="8" spans="1:7" x14ac:dyDescent="0.25">
      <c r="A8" s="69" t="s">
        <v>280</v>
      </c>
      <c r="B8" s="107" t="s">
        <v>75</v>
      </c>
      <c r="C8" s="107"/>
      <c r="D8" s="107"/>
    </row>
    <row r="9" spans="1:7" x14ac:dyDescent="0.25">
      <c r="A9" s="69" t="s">
        <v>282</v>
      </c>
      <c r="B9" s="107" t="s">
        <v>328</v>
      </c>
      <c r="C9" s="107"/>
      <c r="D9" s="107"/>
    </row>
    <row r="10" spans="1:7" ht="12.65" customHeight="1" x14ac:dyDescent="0.25">
      <c r="A10" s="69" t="s">
        <v>6</v>
      </c>
      <c r="B10" s="107" t="s">
        <v>333</v>
      </c>
      <c r="C10" s="107"/>
      <c r="D10" s="107"/>
    </row>
    <row r="11" spans="1:7" x14ac:dyDescent="0.25">
      <c r="A11" s="69" t="s">
        <v>285</v>
      </c>
      <c r="B11" s="107" t="s">
        <v>334</v>
      </c>
      <c r="C11" s="107"/>
      <c r="D11" s="107"/>
    </row>
    <row r="12" spans="1:7" ht="12.65" customHeight="1" x14ac:dyDescent="0.25">
      <c r="A12" s="69" t="s">
        <v>287</v>
      </c>
      <c r="B12" s="107" t="s">
        <v>314</v>
      </c>
      <c r="C12" s="107"/>
      <c r="D12" s="107"/>
    </row>
    <row r="13" spans="1:7" x14ac:dyDescent="0.25">
      <c r="A13" s="69" t="s">
        <v>289</v>
      </c>
      <c r="B13" s="107">
        <v>1</v>
      </c>
      <c r="C13" s="107"/>
      <c r="D13" s="107"/>
    </row>
    <row r="14" spans="1:7" x14ac:dyDescent="0.25">
      <c r="A14" s="69" t="s">
        <v>291</v>
      </c>
      <c r="B14" s="107">
        <v>202</v>
      </c>
      <c r="C14" s="107"/>
      <c r="D14" s="107"/>
    </row>
    <row r="15" spans="1:7" x14ac:dyDescent="0.25">
      <c r="A15" s="69" t="s">
        <v>293</v>
      </c>
      <c r="B15" s="107" t="s">
        <v>335</v>
      </c>
      <c r="C15" s="107"/>
      <c r="D15" s="107"/>
    </row>
    <row r="16" spans="1:7" x14ac:dyDescent="0.25">
      <c r="A16" s="69" t="s">
        <v>295</v>
      </c>
      <c r="B16" s="107" t="s">
        <v>336</v>
      </c>
      <c r="C16" s="107"/>
      <c r="D16" s="107"/>
    </row>
    <row r="17" spans="1:4" ht="12.65" customHeight="1" x14ac:dyDescent="0.25">
      <c r="A17" s="69" t="s">
        <v>725</v>
      </c>
      <c r="B17" s="107"/>
      <c r="C17" s="107"/>
      <c r="D17" s="107"/>
    </row>
    <row r="18" spans="1:4" x14ac:dyDescent="0.25">
      <c r="A18" s="69" t="s">
        <v>299</v>
      </c>
      <c r="B18" s="164" t="s">
        <v>727</v>
      </c>
      <c r="C18" s="107"/>
      <c r="D18" s="107"/>
    </row>
    <row r="19" spans="1:4" x14ac:dyDescent="0.25">
      <c r="A19" s="69" t="s">
        <v>301</v>
      </c>
      <c r="B19" s="164">
        <v>45014</v>
      </c>
      <c r="C19" s="107"/>
      <c r="D19" s="107"/>
    </row>
    <row r="20" spans="1:4" x14ac:dyDescent="0.25">
      <c r="A20" s="69" t="s">
        <v>303</v>
      </c>
      <c r="B20" s="107" t="s">
        <v>317</v>
      </c>
      <c r="C20" s="107"/>
      <c r="D20" s="107"/>
    </row>
    <row r="21" spans="1:4" x14ac:dyDescent="0.25">
      <c r="A21" s="69" t="s">
        <v>309</v>
      </c>
      <c r="B21" s="107" t="s">
        <v>318</v>
      </c>
      <c r="C21" s="107"/>
      <c r="D21" s="107"/>
    </row>
    <row r="23" spans="1:4" x14ac:dyDescent="0.25">
      <c r="B23" s="103" t="str">
        <f>HYPERLINK("#'Factor List'!A1","Back to Factor List")</f>
        <v>Back to Factor List</v>
      </c>
    </row>
    <row r="24" spans="1:4" x14ac:dyDescent="0.25">
      <c r="B24" s="103" t="s">
        <v>15</v>
      </c>
    </row>
    <row r="26" spans="1:4" ht="39" x14ac:dyDescent="0.25">
      <c r="A26" s="98" t="s">
        <v>408</v>
      </c>
      <c r="B26" s="98" t="s">
        <v>728</v>
      </c>
      <c r="C26" s="98" t="s">
        <v>729</v>
      </c>
      <c r="D26" s="98" t="s">
        <v>730</v>
      </c>
    </row>
    <row r="27" spans="1:4" x14ac:dyDescent="0.25">
      <c r="A27" s="99">
        <v>22</v>
      </c>
      <c r="B27" s="100">
        <v>12.59</v>
      </c>
      <c r="C27" s="100">
        <v>0.53</v>
      </c>
      <c r="D27" s="100">
        <v>1.21</v>
      </c>
    </row>
    <row r="28" spans="1:4" x14ac:dyDescent="0.25">
      <c r="A28" s="99">
        <v>23</v>
      </c>
      <c r="B28" s="100">
        <v>12.78</v>
      </c>
      <c r="C28" s="100">
        <v>0.54</v>
      </c>
      <c r="D28" s="100">
        <v>1.22</v>
      </c>
    </row>
    <row r="29" spans="1:4" x14ac:dyDescent="0.25">
      <c r="A29" s="99">
        <v>24</v>
      </c>
      <c r="B29" s="100">
        <v>12.97</v>
      </c>
      <c r="C29" s="100">
        <v>0.55000000000000004</v>
      </c>
      <c r="D29" s="100">
        <v>1.24</v>
      </c>
    </row>
    <row r="30" spans="1:4" x14ac:dyDescent="0.25">
      <c r="A30" s="99">
        <v>25</v>
      </c>
      <c r="B30" s="100">
        <v>13.17</v>
      </c>
      <c r="C30" s="100">
        <v>0.56000000000000005</v>
      </c>
      <c r="D30" s="100">
        <v>1.26</v>
      </c>
    </row>
    <row r="31" spans="1:4" x14ac:dyDescent="0.25">
      <c r="A31" s="99">
        <v>26</v>
      </c>
      <c r="B31" s="100">
        <v>13.37</v>
      </c>
      <c r="C31" s="100">
        <v>0.56999999999999995</v>
      </c>
      <c r="D31" s="100">
        <v>1.28</v>
      </c>
    </row>
    <row r="32" spans="1:4" x14ac:dyDescent="0.25">
      <c r="A32" s="99">
        <v>27</v>
      </c>
      <c r="B32" s="100">
        <v>13.57</v>
      </c>
      <c r="C32" s="100">
        <v>0.57999999999999996</v>
      </c>
      <c r="D32" s="100">
        <v>1.3</v>
      </c>
    </row>
    <row r="33" spans="1:4" x14ac:dyDescent="0.25">
      <c r="A33" s="99">
        <v>28</v>
      </c>
      <c r="B33" s="100">
        <v>13.77</v>
      </c>
      <c r="C33" s="100">
        <v>0.59</v>
      </c>
      <c r="D33" s="100">
        <v>1.32</v>
      </c>
    </row>
    <row r="34" spans="1:4" x14ac:dyDescent="0.25">
      <c r="A34" s="99">
        <v>29</v>
      </c>
      <c r="B34" s="100">
        <v>13.98</v>
      </c>
      <c r="C34" s="100">
        <v>0.6</v>
      </c>
      <c r="D34" s="100">
        <v>1.34</v>
      </c>
    </row>
    <row r="35" spans="1:4" x14ac:dyDescent="0.25">
      <c r="A35" s="99">
        <v>30</v>
      </c>
      <c r="B35" s="100">
        <v>14.19</v>
      </c>
      <c r="C35" s="100">
        <v>0.61</v>
      </c>
      <c r="D35" s="100">
        <v>1.36</v>
      </c>
    </row>
    <row r="36" spans="1:4" x14ac:dyDescent="0.25">
      <c r="A36" s="99">
        <v>31</v>
      </c>
      <c r="B36" s="100">
        <v>14.4</v>
      </c>
      <c r="C36" s="100">
        <v>0.62</v>
      </c>
      <c r="D36" s="100">
        <v>1.37</v>
      </c>
    </row>
    <row r="37" spans="1:4" x14ac:dyDescent="0.25">
      <c r="A37" s="99">
        <v>32</v>
      </c>
      <c r="B37" s="100">
        <v>14.62</v>
      </c>
      <c r="C37" s="100">
        <v>0.63</v>
      </c>
      <c r="D37" s="100">
        <v>1.39</v>
      </c>
    </row>
    <row r="38" spans="1:4" x14ac:dyDescent="0.25">
      <c r="A38" s="99">
        <v>33</v>
      </c>
      <c r="B38" s="100">
        <v>14.84</v>
      </c>
      <c r="C38" s="100">
        <v>0.64</v>
      </c>
      <c r="D38" s="100">
        <v>1.41</v>
      </c>
    </row>
    <row r="39" spans="1:4" x14ac:dyDescent="0.25">
      <c r="A39" s="99">
        <v>34</v>
      </c>
      <c r="B39" s="100">
        <v>15.07</v>
      </c>
      <c r="C39" s="100">
        <v>0.65</v>
      </c>
      <c r="D39" s="100">
        <v>1.43</v>
      </c>
    </row>
    <row r="40" spans="1:4" x14ac:dyDescent="0.25">
      <c r="A40" s="99">
        <v>35</v>
      </c>
      <c r="B40" s="100">
        <v>15.29</v>
      </c>
      <c r="C40" s="100">
        <v>0.66</v>
      </c>
      <c r="D40" s="100">
        <v>1.45</v>
      </c>
    </row>
    <row r="41" spans="1:4" x14ac:dyDescent="0.25">
      <c r="A41" s="99">
        <v>36</v>
      </c>
      <c r="B41" s="100">
        <v>15.53</v>
      </c>
      <c r="C41" s="100">
        <v>0.67</v>
      </c>
      <c r="D41" s="100">
        <v>1.47</v>
      </c>
    </row>
    <row r="42" spans="1:4" x14ac:dyDescent="0.25">
      <c r="A42" s="99">
        <v>37</v>
      </c>
      <c r="B42" s="100">
        <v>15.76</v>
      </c>
      <c r="C42" s="100">
        <v>0.68</v>
      </c>
      <c r="D42" s="100">
        <v>1.48</v>
      </c>
    </row>
    <row r="43" spans="1:4" x14ac:dyDescent="0.25">
      <c r="A43" s="99">
        <v>38</v>
      </c>
      <c r="B43" s="100">
        <v>16</v>
      </c>
      <c r="C43" s="100">
        <v>0.7</v>
      </c>
      <c r="D43" s="100">
        <v>1.5</v>
      </c>
    </row>
    <row r="44" spans="1:4" x14ac:dyDescent="0.25">
      <c r="A44" s="99">
        <v>39</v>
      </c>
      <c r="B44" s="100">
        <v>16.239999999999998</v>
      </c>
      <c r="C44" s="100">
        <v>0.71</v>
      </c>
      <c r="D44" s="100">
        <v>1.52</v>
      </c>
    </row>
    <row r="45" spans="1:4" x14ac:dyDescent="0.25">
      <c r="A45" s="99">
        <v>40</v>
      </c>
      <c r="B45" s="100">
        <v>16.489999999999998</v>
      </c>
      <c r="C45" s="100">
        <v>0.72</v>
      </c>
      <c r="D45" s="100">
        <v>1.54</v>
      </c>
    </row>
    <row r="46" spans="1:4" x14ac:dyDescent="0.25">
      <c r="A46" s="99">
        <v>41</v>
      </c>
      <c r="B46" s="100">
        <v>16.739999999999998</v>
      </c>
      <c r="C46" s="100">
        <v>0.73</v>
      </c>
      <c r="D46" s="100">
        <v>1.55</v>
      </c>
    </row>
    <row r="47" spans="1:4" x14ac:dyDescent="0.25">
      <c r="A47" s="99">
        <v>42</v>
      </c>
      <c r="B47" s="100">
        <v>17</v>
      </c>
      <c r="C47" s="100">
        <v>0.74</v>
      </c>
      <c r="D47" s="100">
        <v>1.57</v>
      </c>
    </row>
    <row r="48" spans="1:4" x14ac:dyDescent="0.25">
      <c r="A48" s="99">
        <v>43</v>
      </c>
      <c r="B48" s="100">
        <v>17.260000000000002</v>
      </c>
      <c r="C48" s="100">
        <v>0.76</v>
      </c>
      <c r="D48" s="100">
        <v>1.59</v>
      </c>
    </row>
    <row r="49" spans="1:4" x14ac:dyDescent="0.25">
      <c r="A49" s="99">
        <v>44</v>
      </c>
      <c r="B49" s="100">
        <v>17.53</v>
      </c>
      <c r="C49" s="100">
        <v>0.77</v>
      </c>
      <c r="D49" s="100">
        <v>1.6</v>
      </c>
    </row>
    <row r="50" spans="1:4" x14ac:dyDescent="0.25">
      <c r="A50" s="99">
        <v>45</v>
      </c>
      <c r="B50" s="100">
        <v>17.8</v>
      </c>
      <c r="C50" s="100">
        <v>0.78</v>
      </c>
      <c r="D50" s="100">
        <v>1.62</v>
      </c>
    </row>
    <row r="51" spans="1:4" x14ac:dyDescent="0.25">
      <c r="A51" s="99">
        <v>46</v>
      </c>
      <c r="B51" s="100">
        <v>18.07</v>
      </c>
      <c r="C51" s="100">
        <v>0.8</v>
      </c>
      <c r="D51" s="100">
        <v>1.63</v>
      </c>
    </row>
    <row r="52" spans="1:4" x14ac:dyDescent="0.25">
      <c r="A52" s="99">
        <v>47</v>
      </c>
      <c r="B52" s="100">
        <v>18.36</v>
      </c>
      <c r="C52" s="100">
        <v>0.81</v>
      </c>
      <c r="D52" s="100">
        <v>1.65</v>
      </c>
    </row>
    <row r="53" spans="1:4" x14ac:dyDescent="0.25">
      <c r="A53" s="99">
        <v>48</v>
      </c>
      <c r="B53" s="100">
        <v>18.64</v>
      </c>
      <c r="C53" s="100">
        <v>0.82</v>
      </c>
      <c r="D53" s="100">
        <v>1.66</v>
      </c>
    </row>
    <row r="54" spans="1:4" x14ac:dyDescent="0.25">
      <c r="A54" s="99">
        <v>49</v>
      </c>
      <c r="B54" s="100">
        <v>18.940000000000001</v>
      </c>
      <c r="C54" s="100">
        <v>0.84</v>
      </c>
      <c r="D54" s="100">
        <v>1.67</v>
      </c>
    </row>
    <row r="55" spans="1:4" x14ac:dyDescent="0.25">
      <c r="A55" s="99">
        <v>50</v>
      </c>
      <c r="B55" s="100">
        <v>19.23</v>
      </c>
      <c r="C55" s="100">
        <v>0.85</v>
      </c>
      <c r="D55" s="100">
        <v>1.69</v>
      </c>
    </row>
    <row r="56" spans="1:4" x14ac:dyDescent="0.25">
      <c r="A56" s="99">
        <v>51</v>
      </c>
      <c r="B56" s="100">
        <v>19.54</v>
      </c>
      <c r="C56" s="100">
        <v>0.87</v>
      </c>
      <c r="D56" s="100">
        <v>1.7</v>
      </c>
    </row>
    <row r="57" spans="1:4" x14ac:dyDescent="0.25">
      <c r="A57" s="99">
        <v>52</v>
      </c>
      <c r="B57" s="100">
        <v>19.850000000000001</v>
      </c>
      <c r="C57" s="100">
        <v>0.88</v>
      </c>
      <c r="D57" s="100">
        <v>1.71</v>
      </c>
    </row>
    <row r="58" spans="1:4" x14ac:dyDescent="0.25">
      <c r="A58" s="99">
        <v>53</v>
      </c>
      <c r="B58" s="100">
        <v>20.170000000000002</v>
      </c>
      <c r="C58" s="100">
        <v>0.9</v>
      </c>
      <c r="D58" s="100">
        <v>1.72</v>
      </c>
    </row>
    <row r="59" spans="1:4" x14ac:dyDescent="0.25">
      <c r="A59" s="99">
        <v>54</v>
      </c>
      <c r="B59" s="100">
        <v>20.5</v>
      </c>
      <c r="C59" s="100">
        <v>0.91</v>
      </c>
      <c r="D59" s="100">
        <v>1.73</v>
      </c>
    </row>
    <row r="60" spans="1:4" x14ac:dyDescent="0.25">
      <c r="A60" s="99">
        <v>55</v>
      </c>
      <c r="B60" s="100">
        <v>20.83</v>
      </c>
      <c r="C60" s="100">
        <v>0.93</v>
      </c>
      <c r="D60" s="100">
        <v>1.74</v>
      </c>
    </row>
    <row r="61" spans="1:4" x14ac:dyDescent="0.25">
      <c r="A61" s="99">
        <v>56</v>
      </c>
      <c r="B61" s="100">
        <v>21.18</v>
      </c>
      <c r="C61" s="100">
        <v>0.94</v>
      </c>
      <c r="D61" s="100">
        <v>1.74</v>
      </c>
    </row>
    <row r="62" spans="1:4" x14ac:dyDescent="0.25">
      <c r="A62" s="99">
        <v>57</v>
      </c>
      <c r="B62" s="100">
        <v>21.53</v>
      </c>
      <c r="C62" s="100">
        <v>0.96</v>
      </c>
      <c r="D62" s="100">
        <v>1.75</v>
      </c>
    </row>
    <row r="63" spans="1:4" x14ac:dyDescent="0.25">
      <c r="A63" s="99">
        <v>58</v>
      </c>
      <c r="B63" s="100">
        <v>21.9</v>
      </c>
      <c r="C63" s="100">
        <v>0.98</v>
      </c>
      <c r="D63" s="100">
        <v>1.75</v>
      </c>
    </row>
    <row r="64" spans="1:4" x14ac:dyDescent="0.25">
      <c r="A64" s="99">
        <v>59</v>
      </c>
      <c r="B64" s="100">
        <v>22.27</v>
      </c>
      <c r="C64" s="100">
        <v>0.99</v>
      </c>
      <c r="D64" s="100">
        <v>1.75</v>
      </c>
    </row>
    <row r="65" spans="1:2" x14ac:dyDescent="0.25">
      <c r="A65"/>
      <c r="B65"/>
    </row>
  </sheetData>
  <sheetProtection algorithmName="SHA-512" hashValue="IEDu38W9BGTSfwpuoTpPrC6DXsTTsXlmpdo/n7XCTqAzRQcliHibN5BHI09TJ6aFFlbRNpYoxUxSdn2RQWXeTQ==" saltValue="zJW/fUwgYSMoRxBgiHCv+w==" spinCount="100000" sheet="1" objects="1" scenarios="1"/>
  <conditionalFormatting sqref="A6:A21">
    <cfRule type="expression" dxfId="1069" priority="11" stopIfTrue="1">
      <formula>MOD(ROW(),2)=0</formula>
    </cfRule>
    <cfRule type="expression" dxfId="1068" priority="12" stopIfTrue="1">
      <formula>MOD(ROW(),2)&lt;&gt;0</formula>
    </cfRule>
  </conditionalFormatting>
  <conditionalFormatting sqref="A26:A64">
    <cfRule type="expression" dxfId="1067" priority="3" stopIfTrue="1">
      <formula>MOD(ROW(),2)=0</formula>
    </cfRule>
    <cfRule type="expression" dxfId="1066" priority="4" stopIfTrue="1">
      <formula>MOD(ROW(),2)&lt;&gt;0</formula>
    </cfRule>
  </conditionalFormatting>
  <conditionalFormatting sqref="B6:D21">
    <cfRule type="expression" dxfId="1065" priority="19" stopIfTrue="1">
      <formula>MOD(ROW(),2)=0</formula>
    </cfRule>
    <cfRule type="expression" dxfId="1064" priority="20" stopIfTrue="1">
      <formula>MOD(ROW(),2)&lt;&gt;0</formula>
    </cfRule>
  </conditionalFormatting>
  <conditionalFormatting sqref="B17:D21">
    <cfRule type="expression" dxfId="1063" priority="1" stopIfTrue="1">
      <formula>MOD(ROW(),2)=0</formula>
    </cfRule>
    <cfRule type="expression" dxfId="1062" priority="2" stopIfTrue="1">
      <formula>MOD(ROW(),2)&lt;&gt;0</formula>
    </cfRule>
  </conditionalFormatting>
  <conditionalFormatting sqref="B26:D64">
    <cfRule type="expression" dxfId="1061" priority="5" stopIfTrue="1">
      <formula>MOD(ROW(),2)=0</formula>
    </cfRule>
    <cfRule type="expression" dxfId="1060" priority="6" stopIfTrue="1">
      <formula>MOD(ROW(),2)&lt;&gt;0</formula>
    </cfRule>
  </conditionalFormatting>
  <hyperlinks>
    <hyperlink ref="B24" location="Assumptions!A1" display="Assumptions" xr:uid="{7491AA34-763D-4611-9456-1C81BD441B0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dimension ref="A1:H73"/>
  <sheetViews>
    <sheetView showGridLines="0" zoomScale="85" zoomScaleNormal="85" workbookViewId="0">
      <selection activeCell="A4" sqref="A4"/>
    </sheetView>
  </sheetViews>
  <sheetFormatPr defaultColWidth="10" defaultRowHeight="12.5" x14ac:dyDescent="0.25"/>
  <cols>
    <col min="1" max="1" width="31.90625" style="25" customWidth="1"/>
    <col min="2" max="5" width="22.90625" style="25" customWidth="1"/>
    <col min="6" max="16384" width="10" style="25"/>
  </cols>
  <sheetData>
    <row r="1" spans="1:8" ht="20" x14ac:dyDescent="0.4">
      <c r="A1" s="36" t="s">
        <v>0</v>
      </c>
      <c r="B1" s="37"/>
      <c r="C1" s="37"/>
      <c r="D1" s="37"/>
      <c r="E1" s="37"/>
      <c r="F1" s="37"/>
      <c r="G1" s="37"/>
      <c r="H1" s="37"/>
    </row>
    <row r="2" spans="1:8" ht="15.5" x14ac:dyDescent="0.35">
      <c r="A2" s="38" t="str">
        <f>IF(title="&gt; Enter workbook title here","Enter workbook title in Cover sheet",title)</f>
        <v>NHSPS_NI - Consolidated Factor Spreadsheet</v>
      </c>
      <c r="B2" s="39"/>
      <c r="C2" s="39"/>
      <c r="D2" s="39"/>
      <c r="E2" s="39"/>
      <c r="F2" s="39"/>
      <c r="G2" s="39"/>
      <c r="H2" s="39"/>
    </row>
    <row r="3" spans="1:8" ht="15.5" x14ac:dyDescent="0.35">
      <c r="A3" s="40" t="str">
        <f>TABLE_FACTOR_TYPE_1&amp;" - x-"&amp;TABLE_SERIES_NUMBER_1</f>
        <v>CETV - x-203</v>
      </c>
      <c r="B3" s="39"/>
      <c r="C3" s="39"/>
      <c r="D3" s="39"/>
      <c r="E3" s="39"/>
      <c r="F3" s="39"/>
      <c r="G3" s="39"/>
      <c r="H3" s="39"/>
    </row>
    <row r="4" spans="1:8" x14ac:dyDescent="0.25">
      <c r="A4" s="41"/>
    </row>
    <row r="6" spans="1:8" ht="13" x14ac:dyDescent="0.3">
      <c r="A6" s="163" t="s">
        <v>276</v>
      </c>
      <c r="B6" s="107" t="s">
        <v>277</v>
      </c>
      <c r="C6" s="107"/>
      <c r="D6" s="107"/>
      <c r="E6" s="107"/>
    </row>
    <row r="7" spans="1:8" x14ac:dyDescent="0.25">
      <c r="A7" s="69" t="s">
        <v>278</v>
      </c>
      <c r="B7" s="107" t="s">
        <v>310</v>
      </c>
      <c r="C7" s="107"/>
      <c r="D7" s="107"/>
      <c r="E7" s="107"/>
    </row>
    <row r="8" spans="1:8" x14ac:dyDescent="0.25">
      <c r="A8" s="69" t="s">
        <v>280</v>
      </c>
      <c r="B8" s="107" t="s">
        <v>75</v>
      </c>
      <c r="C8" s="107"/>
      <c r="D8" s="107"/>
      <c r="E8" s="107"/>
    </row>
    <row r="9" spans="1:8" x14ac:dyDescent="0.25">
      <c r="A9" s="69" t="s">
        <v>282</v>
      </c>
      <c r="B9" s="107" t="s">
        <v>328</v>
      </c>
      <c r="C9" s="107"/>
      <c r="D9" s="107"/>
      <c r="E9" s="107"/>
    </row>
    <row r="10" spans="1:8" ht="12.65" customHeight="1" x14ac:dyDescent="0.25">
      <c r="A10" s="69" t="s">
        <v>6</v>
      </c>
      <c r="B10" s="107" t="s">
        <v>337</v>
      </c>
      <c r="C10" s="107"/>
      <c r="D10" s="107"/>
      <c r="E10" s="107"/>
    </row>
    <row r="11" spans="1:8" x14ac:dyDescent="0.25">
      <c r="A11" s="69" t="s">
        <v>285</v>
      </c>
      <c r="B11" s="107" t="s">
        <v>330</v>
      </c>
      <c r="C11" s="107"/>
      <c r="D11" s="107"/>
      <c r="E11" s="107"/>
    </row>
    <row r="12" spans="1:8" ht="12.65" customHeight="1" x14ac:dyDescent="0.25">
      <c r="A12" s="69" t="s">
        <v>287</v>
      </c>
      <c r="B12" s="107" t="s">
        <v>314</v>
      </c>
      <c r="C12" s="107"/>
      <c r="D12" s="107"/>
      <c r="E12" s="107"/>
    </row>
    <row r="13" spans="1:8" x14ac:dyDescent="0.25">
      <c r="A13" s="69" t="s">
        <v>289</v>
      </c>
      <c r="B13" s="107">
        <v>2</v>
      </c>
      <c r="C13" s="107"/>
      <c r="D13" s="107"/>
      <c r="E13" s="107"/>
    </row>
    <row r="14" spans="1:8" x14ac:dyDescent="0.25">
      <c r="A14" s="69" t="s">
        <v>291</v>
      </c>
      <c r="B14" s="107">
        <v>203</v>
      </c>
      <c r="C14" s="107"/>
      <c r="D14" s="107"/>
      <c r="E14" s="107"/>
    </row>
    <row r="15" spans="1:8" x14ac:dyDescent="0.25">
      <c r="A15" s="69" t="s">
        <v>293</v>
      </c>
      <c r="B15" s="107" t="s">
        <v>338</v>
      </c>
      <c r="C15" s="107"/>
      <c r="D15" s="107"/>
      <c r="E15" s="107"/>
    </row>
    <row r="16" spans="1:8" x14ac:dyDescent="0.25">
      <c r="A16" s="69" t="s">
        <v>295</v>
      </c>
      <c r="B16" s="107" t="s">
        <v>339</v>
      </c>
      <c r="C16" s="107"/>
      <c r="D16" s="107"/>
      <c r="E16" s="107"/>
    </row>
    <row r="17" spans="1:5" ht="12.65" customHeight="1" x14ac:dyDescent="0.25">
      <c r="A17" s="69" t="s">
        <v>725</v>
      </c>
      <c r="B17" s="107"/>
      <c r="C17" s="107"/>
      <c r="D17" s="107"/>
      <c r="E17" s="107"/>
    </row>
    <row r="18" spans="1:5" x14ac:dyDescent="0.25">
      <c r="A18" s="69" t="s">
        <v>299</v>
      </c>
      <c r="B18" s="164" t="s">
        <v>727</v>
      </c>
      <c r="C18" s="107"/>
      <c r="D18" s="107"/>
      <c r="E18" s="107"/>
    </row>
    <row r="19" spans="1:5" x14ac:dyDescent="0.25">
      <c r="A19" s="69" t="s">
        <v>301</v>
      </c>
      <c r="B19" s="164">
        <v>45014</v>
      </c>
      <c r="C19" s="107"/>
      <c r="D19" s="107"/>
      <c r="E19" s="107"/>
    </row>
    <row r="20" spans="1:5" x14ac:dyDescent="0.25">
      <c r="A20" s="69" t="s">
        <v>303</v>
      </c>
      <c r="B20" s="107" t="s">
        <v>317</v>
      </c>
      <c r="C20" s="107"/>
      <c r="D20" s="107"/>
      <c r="E20" s="107"/>
    </row>
    <row r="21" spans="1:5" x14ac:dyDescent="0.25">
      <c r="A21" s="69" t="s">
        <v>309</v>
      </c>
      <c r="B21" s="107" t="s">
        <v>318</v>
      </c>
      <c r="C21" s="107"/>
      <c r="D21" s="107"/>
      <c r="E21" s="107"/>
    </row>
    <row r="23" spans="1:5" x14ac:dyDescent="0.25">
      <c r="B23" s="103" t="str">
        <f>HYPERLINK("#'Factor List'!A1","Back to Factor List")</f>
        <v>Back to Factor List</v>
      </c>
    </row>
    <row r="24" spans="1:5" x14ac:dyDescent="0.25">
      <c r="B24" s="103" t="s">
        <v>15</v>
      </c>
    </row>
    <row r="26" spans="1:5" ht="26" x14ac:dyDescent="0.25">
      <c r="A26" s="98" t="s">
        <v>408</v>
      </c>
      <c r="B26" s="98" t="s">
        <v>731</v>
      </c>
      <c r="C26" s="98" t="s">
        <v>732</v>
      </c>
      <c r="D26" s="98" t="s">
        <v>733</v>
      </c>
      <c r="E26" s="98" t="s">
        <v>734</v>
      </c>
    </row>
    <row r="27" spans="1:5" x14ac:dyDescent="0.25">
      <c r="A27" s="99">
        <v>18</v>
      </c>
      <c r="B27" s="100">
        <v>9.56</v>
      </c>
      <c r="C27" s="100">
        <v>0.46</v>
      </c>
      <c r="D27" s="100">
        <v>1.1399999999999999</v>
      </c>
      <c r="E27" s="100">
        <v>0</v>
      </c>
    </row>
    <row r="28" spans="1:5" x14ac:dyDescent="0.25">
      <c r="A28" s="99">
        <v>19</v>
      </c>
      <c r="B28" s="100">
        <v>9.6999999999999993</v>
      </c>
      <c r="C28" s="100">
        <v>0.46</v>
      </c>
      <c r="D28" s="100">
        <v>1.18</v>
      </c>
      <c r="E28" s="100">
        <v>0</v>
      </c>
    </row>
    <row r="29" spans="1:5" x14ac:dyDescent="0.25">
      <c r="A29" s="99">
        <v>20</v>
      </c>
      <c r="B29" s="100">
        <v>9.84</v>
      </c>
      <c r="C29" s="100">
        <v>0.47</v>
      </c>
      <c r="D29" s="100">
        <v>1.19</v>
      </c>
      <c r="E29" s="100">
        <v>0</v>
      </c>
    </row>
    <row r="30" spans="1:5" x14ac:dyDescent="0.25">
      <c r="A30" s="99">
        <v>21</v>
      </c>
      <c r="B30" s="100">
        <v>9.99</v>
      </c>
      <c r="C30" s="100">
        <v>0.48</v>
      </c>
      <c r="D30" s="100">
        <v>1.21</v>
      </c>
      <c r="E30" s="100">
        <v>0</v>
      </c>
    </row>
    <row r="31" spans="1:5" x14ac:dyDescent="0.25">
      <c r="A31" s="99">
        <v>22</v>
      </c>
      <c r="B31" s="100">
        <v>10.130000000000001</v>
      </c>
      <c r="C31" s="100">
        <v>0.49</v>
      </c>
      <c r="D31" s="100">
        <v>1.23</v>
      </c>
      <c r="E31" s="100">
        <v>0</v>
      </c>
    </row>
    <row r="32" spans="1:5" x14ac:dyDescent="0.25">
      <c r="A32" s="99">
        <v>23</v>
      </c>
      <c r="B32" s="100">
        <v>10.28</v>
      </c>
      <c r="C32" s="100">
        <v>0.5</v>
      </c>
      <c r="D32" s="100">
        <v>1.25</v>
      </c>
      <c r="E32" s="100">
        <v>0</v>
      </c>
    </row>
    <row r="33" spans="1:5" x14ac:dyDescent="0.25">
      <c r="A33" s="99">
        <v>24</v>
      </c>
      <c r="B33" s="100">
        <v>10.43</v>
      </c>
      <c r="C33" s="100">
        <v>0.51</v>
      </c>
      <c r="D33" s="100">
        <v>1.27</v>
      </c>
      <c r="E33" s="100">
        <v>0</v>
      </c>
    </row>
    <row r="34" spans="1:5" x14ac:dyDescent="0.25">
      <c r="A34" s="99">
        <v>25</v>
      </c>
      <c r="B34" s="100">
        <v>10.58</v>
      </c>
      <c r="C34" s="100">
        <v>0.51</v>
      </c>
      <c r="D34" s="100">
        <v>1.29</v>
      </c>
      <c r="E34" s="100">
        <v>0</v>
      </c>
    </row>
    <row r="35" spans="1:5" x14ac:dyDescent="0.25">
      <c r="A35" s="99">
        <v>26</v>
      </c>
      <c r="B35" s="100">
        <v>10.74</v>
      </c>
      <c r="C35" s="100">
        <v>0.52</v>
      </c>
      <c r="D35" s="100">
        <v>1.31</v>
      </c>
      <c r="E35" s="100">
        <v>0</v>
      </c>
    </row>
    <row r="36" spans="1:5" x14ac:dyDescent="0.25">
      <c r="A36" s="99">
        <v>27</v>
      </c>
      <c r="B36" s="100">
        <v>10.89</v>
      </c>
      <c r="C36" s="100">
        <v>0.53</v>
      </c>
      <c r="D36" s="100">
        <v>1.33</v>
      </c>
      <c r="E36" s="100">
        <v>0</v>
      </c>
    </row>
    <row r="37" spans="1:5" x14ac:dyDescent="0.25">
      <c r="A37" s="99">
        <v>28</v>
      </c>
      <c r="B37" s="100">
        <v>11.05</v>
      </c>
      <c r="C37" s="100">
        <v>0.54</v>
      </c>
      <c r="D37" s="100">
        <v>1.35</v>
      </c>
      <c r="E37" s="100">
        <v>0</v>
      </c>
    </row>
    <row r="38" spans="1:5" x14ac:dyDescent="0.25">
      <c r="A38" s="99">
        <v>29</v>
      </c>
      <c r="B38" s="100">
        <v>11.21</v>
      </c>
      <c r="C38" s="100">
        <v>0.55000000000000004</v>
      </c>
      <c r="D38" s="100">
        <v>1.37</v>
      </c>
      <c r="E38" s="100">
        <v>0</v>
      </c>
    </row>
    <row r="39" spans="1:5" x14ac:dyDescent="0.25">
      <c r="A39" s="99">
        <v>30</v>
      </c>
      <c r="B39" s="100">
        <v>11.38</v>
      </c>
      <c r="C39" s="100">
        <v>0.56000000000000005</v>
      </c>
      <c r="D39" s="100">
        <v>1.39</v>
      </c>
      <c r="E39" s="100">
        <v>0</v>
      </c>
    </row>
    <row r="40" spans="1:5" x14ac:dyDescent="0.25">
      <c r="A40" s="99">
        <v>31</v>
      </c>
      <c r="B40" s="100">
        <v>11.54</v>
      </c>
      <c r="C40" s="100">
        <v>0.56999999999999995</v>
      </c>
      <c r="D40" s="100">
        <v>1.41</v>
      </c>
      <c r="E40" s="100">
        <v>0</v>
      </c>
    </row>
    <row r="41" spans="1:5" x14ac:dyDescent="0.25">
      <c r="A41" s="99">
        <v>32</v>
      </c>
      <c r="B41" s="100">
        <v>11.71</v>
      </c>
      <c r="C41" s="100">
        <v>0.57999999999999996</v>
      </c>
      <c r="D41" s="100">
        <v>1.43</v>
      </c>
      <c r="E41" s="100">
        <v>0</v>
      </c>
    </row>
    <row r="42" spans="1:5" x14ac:dyDescent="0.25">
      <c r="A42" s="99">
        <v>33</v>
      </c>
      <c r="B42" s="100">
        <v>11.88</v>
      </c>
      <c r="C42" s="100">
        <v>0.59</v>
      </c>
      <c r="D42" s="100">
        <v>1.45</v>
      </c>
      <c r="E42" s="100">
        <v>0</v>
      </c>
    </row>
    <row r="43" spans="1:5" x14ac:dyDescent="0.25">
      <c r="A43" s="99">
        <v>34</v>
      </c>
      <c r="B43" s="100">
        <v>12.06</v>
      </c>
      <c r="C43" s="100">
        <v>0.6</v>
      </c>
      <c r="D43" s="100">
        <v>1.47</v>
      </c>
      <c r="E43" s="100">
        <v>0</v>
      </c>
    </row>
    <row r="44" spans="1:5" x14ac:dyDescent="0.25">
      <c r="A44" s="99">
        <v>35</v>
      </c>
      <c r="B44" s="100">
        <v>12.24</v>
      </c>
      <c r="C44" s="100">
        <v>0.61</v>
      </c>
      <c r="D44" s="100">
        <v>1.49</v>
      </c>
      <c r="E44" s="100">
        <v>0</v>
      </c>
    </row>
    <row r="45" spans="1:5" x14ac:dyDescent="0.25">
      <c r="A45" s="99">
        <v>36</v>
      </c>
      <c r="B45" s="100">
        <v>12.42</v>
      </c>
      <c r="C45" s="100">
        <v>0.62</v>
      </c>
      <c r="D45" s="100">
        <v>1.51</v>
      </c>
      <c r="E45" s="100">
        <v>0</v>
      </c>
    </row>
    <row r="46" spans="1:5" x14ac:dyDescent="0.25">
      <c r="A46" s="99">
        <v>37</v>
      </c>
      <c r="B46" s="100">
        <v>12.6</v>
      </c>
      <c r="C46" s="100">
        <v>0.63</v>
      </c>
      <c r="D46" s="100">
        <v>1.52</v>
      </c>
      <c r="E46" s="100">
        <v>0</v>
      </c>
    </row>
    <row r="47" spans="1:5" x14ac:dyDescent="0.25">
      <c r="A47" s="99">
        <v>38</v>
      </c>
      <c r="B47" s="100">
        <v>12.78</v>
      </c>
      <c r="C47" s="100">
        <v>0.64</v>
      </c>
      <c r="D47" s="100">
        <v>1.54</v>
      </c>
      <c r="E47" s="100">
        <v>0</v>
      </c>
    </row>
    <row r="48" spans="1:5" x14ac:dyDescent="0.25">
      <c r="A48" s="99">
        <v>39</v>
      </c>
      <c r="B48" s="100">
        <v>12.97</v>
      </c>
      <c r="C48" s="100">
        <v>0.65</v>
      </c>
      <c r="D48" s="100">
        <v>1.56</v>
      </c>
      <c r="E48" s="100">
        <v>0</v>
      </c>
    </row>
    <row r="49" spans="1:5" x14ac:dyDescent="0.25">
      <c r="A49" s="99">
        <v>40</v>
      </c>
      <c r="B49" s="100">
        <v>13.16</v>
      </c>
      <c r="C49" s="100">
        <v>0.66</v>
      </c>
      <c r="D49" s="100">
        <v>1.58</v>
      </c>
      <c r="E49" s="100">
        <v>0</v>
      </c>
    </row>
    <row r="50" spans="1:5" x14ac:dyDescent="0.25">
      <c r="A50" s="99">
        <v>41</v>
      </c>
      <c r="B50" s="100">
        <v>13.36</v>
      </c>
      <c r="C50" s="100">
        <v>0.67</v>
      </c>
      <c r="D50" s="100">
        <v>1.6</v>
      </c>
      <c r="E50" s="100">
        <v>0</v>
      </c>
    </row>
    <row r="51" spans="1:5" x14ac:dyDescent="0.25">
      <c r="A51" s="99">
        <v>42</v>
      </c>
      <c r="B51" s="100">
        <v>13.56</v>
      </c>
      <c r="C51" s="100">
        <v>0.68</v>
      </c>
      <c r="D51" s="100">
        <v>1.62</v>
      </c>
      <c r="E51" s="100">
        <v>0</v>
      </c>
    </row>
    <row r="52" spans="1:5" x14ac:dyDescent="0.25">
      <c r="A52" s="99">
        <v>43</v>
      </c>
      <c r="B52" s="100">
        <v>13.76</v>
      </c>
      <c r="C52" s="100">
        <v>0.7</v>
      </c>
      <c r="D52" s="100">
        <v>1.63</v>
      </c>
      <c r="E52" s="100">
        <v>0</v>
      </c>
    </row>
    <row r="53" spans="1:5" x14ac:dyDescent="0.25">
      <c r="A53" s="99">
        <v>44</v>
      </c>
      <c r="B53" s="100">
        <v>13.96</v>
      </c>
      <c r="C53" s="100">
        <v>0.71</v>
      </c>
      <c r="D53" s="100">
        <v>1.65</v>
      </c>
      <c r="E53" s="100">
        <v>0</v>
      </c>
    </row>
    <row r="54" spans="1:5" x14ac:dyDescent="0.25">
      <c r="A54" s="99">
        <v>45</v>
      </c>
      <c r="B54" s="100">
        <v>14.17</v>
      </c>
      <c r="C54" s="100">
        <v>0.72</v>
      </c>
      <c r="D54" s="100">
        <v>1.67</v>
      </c>
      <c r="E54" s="100">
        <v>0</v>
      </c>
    </row>
    <row r="55" spans="1:5" x14ac:dyDescent="0.25">
      <c r="A55" s="99">
        <v>46</v>
      </c>
      <c r="B55" s="100">
        <v>14.38</v>
      </c>
      <c r="C55" s="100">
        <v>0.73</v>
      </c>
      <c r="D55" s="100">
        <v>1.68</v>
      </c>
      <c r="E55" s="100">
        <v>0</v>
      </c>
    </row>
    <row r="56" spans="1:5" x14ac:dyDescent="0.25">
      <c r="A56" s="99">
        <v>47</v>
      </c>
      <c r="B56" s="100">
        <v>14.6</v>
      </c>
      <c r="C56" s="100">
        <v>0.74</v>
      </c>
      <c r="D56" s="100">
        <v>1.7</v>
      </c>
      <c r="E56" s="100">
        <v>0</v>
      </c>
    </row>
    <row r="57" spans="1:5" x14ac:dyDescent="0.25">
      <c r="A57" s="99">
        <v>48</v>
      </c>
      <c r="B57" s="100">
        <v>14.82</v>
      </c>
      <c r="C57" s="100">
        <v>0.76</v>
      </c>
      <c r="D57" s="100">
        <v>1.71</v>
      </c>
      <c r="E57" s="100">
        <v>0</v>
      </c>
    </row>
    <row r="58" spans="1:5" x14ac:dyDescent="0.25">
      <c r="A58" s="99">
        <v>49</v>
      </c>
      <c r="B58" s="100">
        <v>15.05</v>
      </c>
      <c r="C58" s="100">
        <v>0.77</v>
      </c>
      <c r="D58" s="100">
        <v>1.73</v>
      </c>
      <c r="E58" s="100">
        <v>0</v>
      </c>
    </row>
    <row r="59" spans="1:5" x14ac:dyDescent="0.25">
      <c r="A59" s="99">
        <v>50</v>
      </c>
      <c r="B59" s="100">
        <v>15.28</v>
      </c>
      <c r="C59" s="100">
        <v>0.78</v>
      </c>
      <c r="D59" s="100">
        <v>1.74</v>
      </c>
      <c r="E59" s="100">
        <v>0</v>
      </c>
    </row>
    <row r="60" spans="1:5" x14ac:dyDescent="0.25">
      <c r="A60" s="99">
        <v>51</v>
      </c>
      <c r="B60" s="100">
        <v>15.51</v>
      </c>
      <c r="C60" s="100">
        <v>0.8</v>
      </c>
      <c r="D60" s="100">
        <v>1.75</v>
      </c>
      <c r="E60" s="100">
        <v>0</v>
      </c>
    </row>
    <row r="61" spans="1:5" x14ac:dyDescent="0.25">
      <c r="A61" s="99">
        <v>52</v>
      </c>
      <c r="B61" s="100">
        <v>15.75</v>
      </c>
      <c r="C61" s="100">
        <v>0.81</v>
      </c>
      <c r="D61" s="100">
        <v>1.76</v>
      </c>
      <c r="E61" s="100">
        <v>0</v>
      </c>
    </row>
    <row r="62" spans="1:5" x14ac:dyDescent="0.25">
      <c r="A62" s="99">
        <v>53</v>
      </c>
      <c r="B62" s="100">
        <v>15.99</v>
      </c>
      <c r="C62" s="100">
        <v>0.82</v>
      </c>
      <c r="D62" s="100">
        <v>1.77</v>
      </c>
      <c r="E62" s="100">
        <v>0</v>
      </c>
    </row>
    <row r="63" spans="1:5" x14ac:dyDescent="0.25">
      <c r="A63" s="99">
        <v>54</v>
      </c>
      <c r="B63" s="100">
        <v>16.25</v>
      </c>
      <c r="C63" s="100">
        <v>0.84</v>
      </c>
      <c r="D63" s="100">
        <v>1.78</v>
      </c>
      <c r="E63" s="100">
        <v>0</v>
      </c>
    </row>
    <row r="64" spans="1:5" x14ac:dyDescent="0.25">
      <c r="A64" s="99">
        <v>55</v>
      </c>
      <c r="B64" s="100">
        <v>16.5</v>
      </c>
      <c r="C64" s="100">
        <v>0.85</v>
      </c>
      <c r="D64" s="100">
        <v>1.79</v>
      </c>
      <c r="E64" s="100">
        <v>0</v>
      </c>
    </row>
    <row r="65" spans="1:5" x14ac:dyDescent="0.25">
      <c r="A65" s="99">
        <v>56</v>
      </c>
      <c r="B65" s="100">
        <v>16.77</v>
      </c>
      <c r="C65" s="100">
        <v>0.87</v>
      </c>
      <c r="D65" s="100">
        <v>1.8</v>
      </c>
      <c r="E65" s="100">
        <v>0</v>
      </c>
    </row>
    <row r="66" spans="1:5" x14ac:dyDescent="0.25">
      <c r="A66" s="99">
        <v>57</v>
      </c>
      <c r="B66" s="100">
        <v>17.04</v>
      </c>
      <c r="C66" s="100">
        <v>0.88</v>
      </c>
      <c r="D66" s="100">
        <v>1.81</v>
      </c>
      <c r="E66" s="100">
        <v>0</v>
      </c>
    </row>
    <row r="67" spans="1:5" x14ac:dyDescent="0.25">
      <c r="A67" s="99">
        <v>58</v>
      </c>
      <c r="B67" s="100">
        <v>17.32</v>
      </c>
      <c r="C67" s="100">
        <v>0.9</v>
      </c>
      <c r="D67" s="100">
        <v>1.81</v>
      </c>
      <c r="E67" s="100">
        <v>0</v>
      </c>
    </row>
    <row r="68" spans="1:5" x14ac:dyDescent="0.25">
      <c r="A68" s="99">
        <v>59</v>
      </c>
      <c r="B68" s="100">
        <v>17.600000000000001</v>
      </c>
      <c r="C68" s="100">
        <v>0.91</v>
      </c>
      <c r="D68" s="100">
        <v>1.81</v>
      </c>
      <c r="E68" s="100">
        <v>0</v>
      </c>
    </row>
    <row r="69" spans="1:5" x14ac:dyDescent="0.25">
      <c r="A69" s="99">
        <v>60</v>
      </c>
      <c r="B69" s="100">
        <v>17.899999999999999</v>
      </c>
      <c r="C69" s="100">
        <v>0.93</v>
      </c>
      <c r="D69" s="100">
        <v>1.81</v>
      </c>
      <c r="E69" s="100">
        <v>0</v>
      </c>
    </row>
    <row r="70" spans="1:5" x14ac:dyDescent="0.25">
      <c r="A70" s="99">
        <v>61</v>
      </c>
      <c r="B70" s="100">
        <v>18.21</v>
      </c>
      <c r="C70" s="100">
        <v>0.94</v>
      </c>
      <c r="D70" s="100">
        <v>1.81</v>
      </c>
      <c r="E70" s="100">
        <v>0</v>
      </c>
    </row>
    <row r="71" spans="1:5" x14ac:dyDescent="0.25">
      <c r="A71" s="99">
        <v>62</v>
      </c>
      <c r="B71" s="100">
        <v>18.53</v>
      </c>
      <c r="C71" s="100">
        <v>0.96</v>
      </c>
      <c r="D71" s="100">
        <v>1.81</v>
      </c>
      <c r="E71" s="100">
        <v>0</v>
      </c>
    </row>
    <row r="72" spans="1:5" x14ac:dyDescent="0.25">
      <c r="A72" s="99">
        <v>63</v>
      </c>
      <c r="B72" s="100">
        <v>18.86</v>
      </c>
      <c r="C72" s="100">
        <v>0.98</v>
      </c>
      <c r="D72" s="100">
        <v>1.8</v>
      </c>
      <c r="E72" s="100">
        <v>0</v>
      </c>
    </row>
    <row r="73" spans="1:5" x14ac:dyDescent="0.25">
      <c r="A73" s="99">
        <v>64</v>
      </c>
      <c r="B73" s="100">
        <v>19.21</v>
      </c>
      <c r="C73" s="100">
        <v>0.99</v>
      </c>
      <c r="D73" s="100">
        <v>1.79</v>
      </c>
      <c r="E73" s="100">
        <v>0</v>
      </c>
    </row>
  </sheetData>
  <sheetProtection algorithmName="SHA-512" hashValue="mjlm3el4G8Hv/2rbHUl0ZSy/xPoKXxVMvvf+vGkrblrr/MQ8MxFzMIq7H0sfQiOTmxj+uPyP19i1Le6o9dImSA==" saltValue="y2mvxtdDWKwIPJ9exTb7JA==" spinCount="100000" sheet="1" objects="1" scenarios="1"/>
  <conditionalFormatting sqref="A6:A21">
    <cfRule type="expression" dxfId="1059" priority="15" stopIfTrue="1">
      <formula>MOD(ROW(),2)=0</formula>
    </cfRule>
    <cfRule type="expression" dxfId="1058" priority="16" stopIfTrue="1">
      <formula>MOD(ROW(),2)&lt;&gt;0</formula>
    </cfRule>
  </conditionalFormatting>
  <conditionalFormatting sqref="A26:A73">
    <cfRule type="expression" dxfId="1057" priority="5" stopIfTrue="1">
      <formula>MOD(ROW(),2)=0</formula>
    </cfRule>
    <cfRule type="expression" dxfId="1056" priority="6" stopIfTrue="1">
      <formula>MOD(ROW(),2)&lt;&gt;0</formula>
    </cfRule>
  </conditionalFormatting>
  <conditionalFormatting sqref="B18:B19">
    <cfRule type="expression" dxfId="1055" priority="9" stopIfTrue="1">
      <formula>MOD(ROW(),2)=0</formula>
    </cfRule>
    <cfRule type="expression" dxfId="1054" priority="10" stopIfTrue="1">
      <formula>MOD(ROW(),2)&lt;&gt;0</formula>
    </cfRule>
  </conditionalFormatting>
  <conditionalFormatting sqref="B6:E21 B26:E73">
    <cfRule type="expression" dxfId="1053" priority="23" stopIfTrue="1">
      <formula>MOD(ROW(),2)=0</formula>
    </cfRule>
    <cfRule type="expression" dxfId="1052" priority="24" stopIfTrue="1">
      <formula>MOD(ROW(),2)&lt;&gt;0</formula>
    </cfRule>
  </conditionalFormatting>
  <conditionalFormatting sqref="C17:E18">
    <cfRule type="expression" dxfId="1051" priority="1" stopIfTrue="1">
      <formula>MOD(ROW(),2)=0</formula>
    </cfRule>
    <cfRule type="expression" dxfId="1050" priority="2" stopIfTrue="1">
      <formula>MOD(ROW(),2)&lt;&gt;0</formula>
    </cfRule>
  </conditionalFormatting>
  <hyperlinks>
    <hyperlink ref="B24" location="Assumptions!A1" display="Assumptions" xr:uid="{F06B09E5-D149-4AEE-82EE-21AB8AE15C1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dimension ref="A1:L68"/>
  <sheetViews>
    <sheetView showGridLines="0" zoomScale="85" zoomScaleNormal="85" workbookViewId="0">
      <selection activeCell="A4" sqref="A4"/>
    </sheetView>
  </sheetViews>
  <sheetFormatPr defaultColWidth="10" defaultRowHeight="12.5" x14ac:dyDescent="0.25"/>
  <cols>
    <col min="1" max="1" width="31.90625" style="25" customWidth="1"/>
    <col min="2" max="5" width="22.90625" style="25" customWidth="1"/>
    <col min="6" max="7" width="10" style="25"/>
    <col min="8" max="8" width="31.90625" style="25" customWidth="1"/>
    <col min="9" max="12" width="22.90625" style="25" customWidth="1"/>
    <col min="13" max="16384" width="10" style="25"/>
  </cols>
  <sheetData>
    <row r="1" spans="1:12" ht="20" x14ac:dyDescent="0.4">
      <c r="A1" s="36" t="s">
        <v>0</v>
      </c>
      <c r="B1" s="37"/>
      <c r="C1" s="37"/>
      <c r="D1" s="37"/>
      <c r="E1" s="37"/>
      <c r="F1" s="37"/>
      <c r="G1" s="37"/>
      <c r="H1" s="37"/>
    </row>
    <row r="2" spans="1:12" ht="15.5" x14ac:dyDescent="0.35">
      <c r="A2" s="38" t="str">
        <f>IF(title="&gt; Enter workbook title here","Enter workbook title in Cover sheet",title)</f>
        <v>NHSPS_NI - Consolidated Factor Spreadsheet</v>
      </c>
      <c r="B2" s="39"/>
      <c r="C2" s="39"/>
      <c r="D2" s="39"/>
      <c r="E2" s="39"/>
      <c r="F2" s="39"/>
      <c r="G2" s="39"/>
      <c r="H2" s="39"/>
    </row>
    <row r="3" spans="1:12" ht="15.5" x14ac:dyDescent="0.35">
      <c r="A3" s="40" t="str">
        <f>TABLE_FACTOR_TYPE_1&amp;" - x-"&amp;TABLE_SERIES_NUMBER_1</f>
        <v>CETV - x-204</v>
      </c>
      <c r="B3" s="39"/>
      <c r="C3" s="39"/>
      <c r="D3" s="39"/>
      <c r="E3" s="39"/>
      <c r="F3" s="39"/>
      <c r="G3" s="39"/>
      <c r="H3" s="39"/>
    </row>
    <row r="4" spans="1:12" x14ac:dyDescent="0.25">
      <c r="A4" s="41"/>
    </row>
    <row r="5" spans="1:12" x14ac:dyDescent="0.25">
      <c r="B5" s="118"/>
      <c r="C5" s="118"/>
      <c r="D5" s="118"/>
      <c r="E5" s="118"/>
    </row>
    <row r="6" spans="1:12" ht="13" x14ac:dyDescent="0.3">
      <c r="A6" s="163" t="s">
        <v>276</v>
      </c>
      <c r="B6" s="107" t="s">
        <v>277</v>
      </c>
      <c r="C6" s="107"/>
      <c r="D6" s="107"/>
      <c r="E6" s="107"/>
      <c r="H6" s="163" t="s">
        <v>276</v>
      </c>
      <c r="I6" s="107" t="s">
        <v>277</v>
      </c>
      <c r="J6" s="107"/>
      <c r="K6" s="107"/>
      <c r="L6" s="107"/>
    </row>
    <row r="7" spans="1:12" x14ac:dyDescent="0.25">
      <c r="A7" s="69" t="s">
        <v>278</v>
      </c>
      <c r="B7" s="107" t="s">
        <v>310</v>
      </c>
      <c r="C7" s="107"/>
      <c r="D7" s="107"/>
      <c r="E7" s="107"/>
      <c r="H7" s="69" t="s">
        <v>278</v>
      </c>
      <c r="I7" s="107" t="s">
        <v>310</v>
      </c>
      <c r="J7" s="107"/>
      <c r="K7" s="107"/>
      <c r="L7" s="107"/>
    </row>
    <row r="8" spans="1:12" x14ac:dyDescent="0.25">
      <c r="A8" s="69" t="s">
        <v>280</v>
      </c>
      <c r="B8" s="107" t="s">
        <v>75</v>
      </c>
      <c r="C8" s="107"/>
      <c r="D8" s="107"/>
      <c r="E8" s="107"/>
      <c r="H8" s="69" t="s">
        <v>280</v>
      </c>
      <c r="I8" s="107" t="s">
        <v>75</v>
      </c>
      <c r="J8" s="107"/>
      <c r="K8" s="107"/>
      <c r="L8" s="107"/>
    </row>
    <row r="9" spans="1:12" x14ac:dyDescent="0.25">
      <c r="A9" s="69" t="s">
        <v>282</v>
      </c>
      <c r="B9" s="107" t="s">
        <v>328</v>
      </c>
      <c r="C9" s="107"/>
      <c r="D9" s="107"/>
      <c r="E9" s="107"/>
      <c r="H9" s="69" t="s">
        <v>282</v>
      </c>
      <c r="I9" s="107" t="s">
        <v>328</v>
      </c>
      <c r="J9" s="107"/>
      <c r="K9" s="107"/>
      <c r="L9" s="107"/>
    </row>
    <row r="10" spans="1:12" ht="12.65" customHeight="1" x14ac:dyDescent="0.25">
      <c r="A10" s="69" t="s">
        <v>6</v>
      </c>
      <c r="B10" s="107" t="s">
        <v>340</v>
      </c>
      <c r="C10" s="107"/>
      <c r="D10" s="107"/>
      <c r="E10" s="107"/>
      <c r="H10" s="69" t="s">
        <v>6</v>
      </c>
      <c r="I10" s="107" t="s">
        <v>343</v>
      </c>
      <c r="J10" s="107"/>
      <c r="K10" s="107"/>
      <c r="L10" s="107"/>
    </row>
    <row r="11" spans="1:12" x14ac:dyDescent="0.25">
      <c r="A11" s="69" t="s">
        <v>285</v>
      </c>
      <c r="B11" s="107" t="s">
        <v>334</v>
      </c>
      <c r="C11" s="107"/>
      <c r="D11" s="107"/>
      <c r="E11" s="107"/>
      <c r="H11" s="69" t="s">
        <v>285</v>
      </c>
      <c r="I11" s="107" t="s">
        <v>334</v>
      </c>
      <c r="J11" s="107"/>
      <c r="K11" s="107"/>
      <c r="L11" s="107"/>
    </row>
    <row r="12" spans="1:12" ht="12.65" customHeight="1" x14ac:dyDescent="0.25">
      <c r="A12" s="69" t="s">
        <v>287</v>
      </c>
      <c r="B12" s="107" t="s">
        <v>314</v>
      </c>
      <c r="C12" s="107"/>
      <c r="D12" s="107"/>
      <c r="E12" s="107"/>
      <c r="H12" s="69" t="s">
        <v>287</v>
      </c>
      <c r="I12" s="107" t="s">
        <v>314</v>
      </c>
      <c r="J12" s="107"/>
      <c r="K12" s="107"/>
      <c r="L12" s="107"/>
    </row>
    <row r="13" spans="1:12" x14ac:dyDescent="0.25">
      <c r="A13" s="69" t="s">
        <v>289</v>
      </c>
      <c r="B13" s="107">
        <v>2</v>
      </c>
      <c r="C13" s="107"/>
      <c r="D13" s="107"/>
      <c r="E13" s="107"/>
      <c r="H13" s="69" t="s">
        <v>289</v>
      </c>
      <c r="I13" s="107">
        <v>2</v>
      </c>
      <c r="J13" s="107"/>
      <c r="K13" s="107"/>
      <c r="L13" s="107"/>
    </row>
    <row r="14" spans="1:12" x14ac:dyDescent="0.25">
      <c r="A14" s="69" t="s">
        <v>291</v>
      </c>
      <c r="B14" s="107">
        <v>204</v>
      </c>
      <c r="C14" s="107"/>
      <c r="D14" s="107"/>
      <c r="E14" s="107"/>
      <c r="H14" s="69" t="s">
        <v>291</v>
      </c>
      <c r="I14" s="107">
        <v>204</v>
      </c>
      <c r="J14" s="107"/>
      <c r="K14" s="107"/>
      <c r="L14" s="107"/>
    </row>
    <row r="15" spans="1:12" x14ac:dyDescent="0.25">
      <c r="A15" s="69" t="s">
        <v>293</v>
      </c>
      <c r="B15" s="107" t="s">
        <v>341</v>
      </c>
      <c r="C15" s="107"/>
      <c r="D15" s="107"/>
      <c r="E15" s="107"/>
      <c r="H15" s="69" t="s">
        <v>293</v>
      </c>
      <c r="I15" s="107" t="s">
        <v>344</v>
      </c>
      <c r="J15" s="107"/>
      <c r="K15" s="107"/>
      <c r="L15" s="107"/>
    </row>
    <row r="16" spans="1:12" x14ac:dyDescent="0.25">
      <c r="A16" s="69" t="s">
        <v>295</v>
      </c>
      <c r="B16" s="107" t="s">
        <v>342</v>
      </c>
      <c r="C16" s="107"/>
      <c r="D16" s="107"/>
      <c r="E16" s="107"/>
      <c r="H16" s="69" t="s">
        <v>295</v>
      </c>
      <c r="I16" s="107" t="s">
        <v>342</v>
      </c>
      <c r="J16" s="107"/>
      <c r="K16" s="107"/>
      <c r="L16" s="107"/>
    </row>
    <row r="17" spans="1:12" ht="12.65" customHeight="1" x14ac:dyDescent="0.25">
      <c r="A17" s="69" t="s">
        <v>725</v>
      </c>
      <c r="B17" s="107"/>
      <c r="C17" s="107"/>
      <c r="D17" s="107"/>
      <c r="E17" s="107"/>
      <c r="H17" s="69" t="s">
        <v>725</v>
      </c>
      <c r="I17" s="107"/>
      <c r="J17" s="107"/>
      <c r="K17" s="107"/>
      <c r="L17" s="107"/>
    </row>
    <row r="18" spans="1:12" x14ac:dyDescent="0.25">
      <c r="A18" s="69" t="s">
        <v>299</v>
      </c>
      <c r="B18" s="164" t="s">
        <v>727</v>
      </c>
      <c r="C18" s="107"/>
      <c r="D18" s="107"/>
      <c r="E18" s="107"/>
      <c r="H18" s="69" t="s">
        <v>299</v>
      </c>
      <c r="I18" s="164" t="s">
        <v>727</v>
      </c>
      <c r="J18" s="107"/>
      <c r="K18" s="107"/>
      <c r="L18" s="107"/>
    </row>
    <row r="19" spans="1:12" x14ac:dyDescent="0.25">
      <c r="A19" s="69" t="s">
        <v>301</v>
      </c>
      <c r="B19" s="164">
        <v>45014</v>
      </c>
      <c r="C19" s="107"/>
      <c r="D19" s="107"/>
      <c r="E19" s="107"/>
      <c r="H19" s="69" t="s">
        <v>301</v>
      </c>
      <c r="I19" s="164">
        <v>45014</v>
      </c>
      <c r="J19" s="107"/>
      <c r="K19" s="107"/>
      <c r="L19" s="107"/>
    </row>
    <row r="20" spans="1:12" x14ac:dyDescent="0.25">
      <c r="A20" s="69" t="s">
        <v>303</v>
      </c>
      <c r="B20" s="107" t="s">
        <v>317</v>
      </c>
      <c r="C20" s="107"/>
      <c r="D20" s="107"/>
      <c r="E20" s="107"/>
      <c r="H20" s="69" t="s">
        <v>303</v>
      </c>
      <c r="I20" s="107" t="s">
        <v>317</v>
      </c>
      <c r="J20" s="107"/>
      <c r="K20" s="107"/>
      <c r="L20" s="107"/>
    </row>
    <row r="21" spans="1:12" x14ac:dyDescent="0.25">
      <c r="A21" s="69" t="s">
        <v>309</v>
      </c>
      <c r="B21" s="107" t="s">
        <v>318</v>
      </c>
      <c r="C21" s="107"/>
      <c r="D21" s="107"/>
      <c r="E21" s="107"/>
      <c r="H21" s="69" t="s">
        <v>309</v>
      </c>
      <c r="I21" s="107" t="s">
        <v>318</v>
      </c>
      <c r="J21" s="107"/>
      <c r="K21" s="107"/>
      <c r="L21" s="107"/>
    </row>
    <row r="23" spans="1:12" x14ac:dyDescent="0.25">
      <c r="B23" s="103" t="str">
        <f>HYPERLINK("#'Factor List'!A1","Back to Factor List")</f>
        <v>Back to Factor List</v>
      </c>
    </row>
    <row r="24" spans="1:12" x14ac:dyDescent="0.25">
      <c r="B24" s="103" t="s">
        <v>15</v>
      </c>
    </row>
    <row r="26" spans="1:12" ht="39" x14ac:dyDescent="0.25">
      <c r="A26" s="98" t="s">
        <v>408</v>
      </c>
      <c r="B26" s="98" t="s">
        <v>731</v>
      </c>
      <c r="C26" s="98" t="s">
        <v>732</v>
      </c>
      <c r="D26" s="98" t="s">
        <v>733</v>
      </c>
      <c r="E26" s="98" t="s">
        <v>734</v>
      </c>
      <c r="H26" s="98" t="s">
        <v>408</v>
      </c>
      <c r="I26" s="98" t="s">
        <v>728</v>
      </c>
      <c r="J26" s="98" t="s">
        <v>732</v>
      </c>
      <c r="K26" s="98" t="s">
        <v>730</v>
      </c>
      <c r="L26" s="98" t="s">
        <v>735</v>
      </c>
    </row>
    <row r="27" spans="1:12" x14ac:dyDescent="0.25">
      <c r="A27" s="99">
        <v>18</v>
      </c>
      <c r="B27" s="100">
        <v>9.56</v>
      </c>
      <c r="C27" s="100">
        <v>0.46</v>
      </c>
      <c r="D27" s="100">
        <v>1.1399999999999999</v>
      </c>
      <c r="E27" s="100">
        <v>0</v>
      </c>
      <c r="H27" s="99">
        <v>60</v>
      </c>
      <c r="I27" s="100">
        <v>17.899999999999999</v>
      </c>
      <c r="J27" s="100">
        <v>0.93</v>
      </c>
      <c r="K27" s="100">
        <v>1.81</v>
      </c>
      <c r="L27" s="100">
        <v>0</v>
      </c>
    </row>
    <row r="28" spans="1:12" x14ac:dyDescent="0.25">
      <c r="A28" s="99">
        <v>19</v>
      </c>
      <c r="B28" s="100">
        <v>9.6999999999999993</v>
      </c>
      <c r="C28" s="100">
        <v>0.46</v>
      </c>
      <c r="D28" s="100">
        <v>1.18</v>
      </c>
      <c r="E28" s="100">
        <v>0</v>
      </c>
      <c r="H28" s="99">
        <v>61</v>
      </c>
      <c r="I28" s="100">
        <v>18.21</v>
      </c>
      <c r="J28" s="100">
        <v>0.94</v>
      </c>
      <c r="K28" s="100">
        <v>1.81</v>
      </c>
      <c r="L28" s="100">
        <v>0</v>
      </c>
    </row>
    <row r="29" spans="1:12" x14ac:dyDescent="0.25">
      <c r="A29" s="99">
        <v>20</v>
      </c>
      <c r="B29" s="100">
        <v>9.84</v>
      </c>
      <c r="C29" s="100">
        <v>0.47</v>
      </c>
      <c r="D29" s="100">
        <v>1.19</v>
      </c>
      <c r="E29" s="100">
        <v>0</v>
      </c>
      <c r="H29" s="99">
        <v>62</v>
      </c>
      <c r="I29" s="100">
        <v>18.53</v>
      </c>
      <c r="J29" s="100">
        <v>0.96</v>
      </c>
      <c r="K29" s="100">
        <v>1.81</v>
      </c>
      <c r="L29" s="100">
        <v>0</v>
      </c>
    </row>
    <row r="30" spans="1:12" x14ac:dyDescent="0.25">
      <c r="A30" s="99">
        <v>21</v>
      </c>
      <c r="B30" s="100">
        <v>9.99</v>
      </c>
      <c r="C30" s="100">
        <v>0.48</v>
      </c>
      <c r="D30" s="100">
        <v>1.21</v>
      </c>
      <c r="E30" s="100">
        <v>0</v>
      </c>
      <c r="H30" s="99">
        <v>63</v>
      </c>
      <c r="I30" s="100">
        <v>18.86</v>
      </c>
      <c r="J30" s="100">
        <v>0.98</v>
      </c>
      <c r="K30" s="100">
        <v>1.8</v>
      </c>
      <c r="L30" s="100">
        <v>0</v>
      </c>
    </row>
    <row r="31" spans="1:12" x14ac:dyDescent="0.25">
      <c r="A31" s="99">
        <v>22</v>
      </c>
      <c r="B31" s="100">
        <v>10.130000000000001</v>
      </c>
      <c r="C31" s="100">
        <v>0.49</v>
      </c>
      <c r="D31" s="100">
        <v>1.23</v>
      </c>
      <c r="E31" s="100">
        <v>0</v>
      </c>
      <c r="H31" s="99">
        <v>64</v>
      </c>
      <c r="I31" s="100">
        <v>19.21</v>
      </c>
      <c r="J31" s="100">
        <v>0.99</v>
      </c>
      <c r="K31" s="100">
        <v>1.79</v>
      </c>
      <c r="L31" s="100">
        <v>0</v>
      </c>
    </row>
    <row r="32" spans="1:12" x14ac:dyDescent="0.25">
      <c r="A32" s="99">
        <v>23</v>
      </c>
      <c r="B32" s="100">
        <v>10.28</v>
      </c>
      <c r="C32" s="100">
        <v>0.5</v>
      </c>
      <c r="D32" s="100">
        <v>1.25</v>
      </c>
      <c r="E32" s="100">
        <v>0</v>
      </c>
    </row>
    <row r="33" spans="1:5" x14ac:dyDescent="0.25">
      <c r="A33" s="99">
        <v>24</v>
      </c>
      <c r="B33" s="100">
        <v>10.43</v>
      </c>
      <c r="C33" s="100">
        <v>0.51</v>
      </c>
      <c r="D33" s="100">
        <v>1.27</v>
      </c>
      <c r="E33" s="100">
        <v>0</v>
      </c>
    </row>
    <row r="34" spans="1:5" x14ac:dyDescent="0.25">
      <c r="A34" s="99">
        <v>25</v>
      </c>
      <c r="B34" s="100">
        <v>10.58</v>
      </c>
      <c r="C34" s="100">
        <v>0.51</v>
      </c>
      <c r="D34" s="100">
        <v>1.29</v>
      </c>
      <c r="E34" s="100">
        <v>0</v>
      </c>
    </row>
    <row r="35" spans="1:5" x14ac:dyDescent="0.25">
      <c r="A35" s="99">
        <v>26</v>
      </c>
      <c r="B35" s="100">
        <v>10.74</v>
      </c>
      <c r="C35" s="100">
        <v>0.52</v>
      </c>
      <c r="D35" s="100">
        <v>1.31</v>
      </c>
      <c r="E35" s="100">
        <v>0</v>
      </c>
    </row>
    <row r="36" spans="1:5" x14ac:dyDescent="0.25">
      <c r="A36" s="99">
        <v>27</v>
      </c>
      <c r="B36" s="100">
        <v>10.89</v>
      </c>
      <c r="C36" s="100">
        <v>0.53</v>
      </c>
      <c r="D36" s="100">
        <v>1.33</v>
      </c>
      <c r="E36" s="100">
        <v>0</v>
      </c>
    </row>
    <row r="37" spans="1:5" x14ac:dyDescent="0.25">
      <c r="A37" s="99">
        <v>28</v>
      </c>
      <c r="B37" s="100">
        <v>11.05</v>
      </c>
      <c r="C37" s="100">
        <v>0.54</v>
      </c>
      <c r="D37" s="100">
        <v>1.35</v>
      </c>
      <c r="E37" s="100">
        <v>0</v>
      </c>
    </row>
    <row r="38" spans="1:5" x14ac:dyDescent="0.25">
      <c r="A38" s="99">
        <v>29</v>
      </c>
      <c r="B38" s="100">
        <v>11.21</v>
      </c>
      <c r="C38" s="100">
        <v>0.55000000000000004</v>
      </c>
      <c r="D38" s="100">
        <v>1.37</v>
      </c>
      <c r="E38" s="100">
        <v>0</v>
      </c>
    </row>
    <row r="39" spans="1:5" x14ac:dyDescent="0.25">
      <c r="A39" s="99">
        <v>30</v>
      </c>
      <c r="B39" s="100">
        <v>11.38</v>
      </c>
      <c r="C39" s="100">
        <v>0.56000000000000005</v>
      </c>
      <c r="D39" s="100">
        <v>1.39</v>
      </c>
      <c r="E39" s="100">
        <v>0</v>
      </c>
    </row>
    <row r="40" spans="1:5" x14ac:dyDescent="0.25">
      <c r="A40" s="99">
        <v>31</v>
      </c>
      <c r="B40" s="100">
        <v>11.54</v>
      </c>
      <c r="C40" s="100">
        <v>0.56999999999999995</v>
      </c>
      <c r="D40" s="100">
        <v>1.41</v>
      </c>
      <c r="E40" s="100">
        <v>0</v>
      </c>
    </row>
    <row r="41" spans="1:5" x14ac:dyDescent="0.25">
      <c r="A41" s="99">
        <v>32</v>
      </c>
      <c r="B41" s="100">
        <v>11.71</v>
      </c>
      <c r="C41" s="100">
        <v>0.57999999999999996</v>
      </c>
      <c r="D41" s="100">
        <v>1.43</v>
      </c>
      <c r="E41" s="100">
        <v>0</v>
      </c>
    </row>
    <row r="42" spans="1:5" x14ac:dyDescent="0.25">
      <c r="A42" s="99">
        <v>33</v>
      </c>
      <c r="B42" s="100">
        <v>11.88</v>
      </c>
      <c r="C42" s="100">
        <v>0.59</v>
      </c>
      <c r="D42" s="100">
        <v>1.45</v>
      </c>
      <c r="E42" s="100">
        <v>0</v>
      </c>
    </row>
    <row r="43" spans="1:5" x14ac:dyDescent="0.25">
      <c r="A43" s="99">
        <v>34</v>
      </c>
      <c r="B43" s="100">
        <v>12.06</v>
      </c>
      <c r="C43" s="100">
        <v>0.6</v>
      </c>
      <c r="D43" s="100">
        <v>1.47</v>
      </c>
      <c r="E43" s="100">
        <v>0</v>
      </c>
    </row>
    <row r="44" spans="1:5" x14ac:dyDescent="0.25">
      <c r="A44" s="99">
        <v>35</v>
      </c>
      <c r="B44" s="100">
        <v>12.24</v>
      </c>
      <c r="C44" s="100">
        <v>0.61</v>
      </c>
      <c r="D44" s="100">
        <v>1.49</v>
      </c>
      <c r="E44" s="100">
        <v>0</v>
      </c>
    </row>
    <row r="45" spans="1:5" x14ac:dyDescent="0.25">
      <c r="A45" s="99">
        <v>36</v>
      </c>
      <c r="B45" s="100">
        <v>12.42</v>
      </c>
      <c r="C45" s="100">
        <v>0.62</v>
      </c>
      <c r="D45" s="100">
        <v>1.51</v>
      </c>
      <c r="E45" s="100">
        <v>0</v>
      </c>
    </row>
    <row r="46" spans="1:5" x14ac:dyDescent="0.25">
      <c r="A46" s="99">
        <v>37</v>
      </c>
      <c r="B46" s="100">
        <v>12.6</v>
      </c>
      <c r="C46" s="100">
        <v>0.63</v>
      </c>
      <c r="D46" s="100">
        <v>1.52</v>
      </c>
      <c r="E46" s="100">
        <v>0</v>
      </c>
    </row>
    <row r="47" spans="1:5" x14ac:dyDescent="0.25">
      <c r="A47" s="99">
        <v>38</v>
      </c>
      <c r="B47" s="100">
        <v>12.78</v>
      </c>
      <c r="C47" s="100">
        <v>0.64</v>
      </c>
      <c r="D47" s="100">
        <v>1.54</v>
      </c>
      <c r="E47" s="100">
        <v>0</v>
      </c>
    </row>
    <row r="48" spans="1:5" x14ac:dyDescent="0.25">
      <c r="A48" s="99">
        <v>39</v>
      </c>
      <c r="B48" s="100">
        <v>12.97</v>
      </c>
      <c r="C48" s="100">
        <v>0.65</v>
      </c>
      <c r="D48" s="100">
        <v>1.56</v>
      </c>
      <c r="E48" s="100">
        <v>0</v>
      </c>
    </row>
    <row r="49" spans="1:5" x14ac:dyDescent="0.25">
      <c r="A49" s="99">
        <v>40</v>
      </c>
      <c r="B49" s="100">
        <v>13.16</v>
      </c>
      <c r="C49" s="100">
        <v>0.66</v>
      </c>
      <c r="D49" s="100">
        <v>1.58</v>
      </c>
      <c r="E49" s="100">
        <v>0</v>
      </c>
    </row>
    <row r="50" spans="1:5" x14ac:dyDescent="0.25">
      <c r="A50" s="99">
        <v>41</v>
      </c>
      <c r="B50" s="100">
        <v>13.36</v>
      </c>
      <c r="C50" s="100">
        <v>0.67</v>
      </c>
      <c r="D50" s="100">
        <v>1.6</v>
      </c>
      <c r="E50" s="100">
        <v>0</v>
      </c>
    </row>
    <row r="51" spans="1:5" x14ac:dyDescent="0.25">
      <c r="A51" s="99">
        <v>42</v>
      </c>
      <c r="B51" s="100">
        <v>13.56</v>
      </c>
      <c r="C51" s="100">
        <v>0.68</v>
      </c>
      <c r="D51" s="100">
        <v>1.62</v>
      </c>
      <c r="E51" s="100">
        <v>0</v>
      </c>
    </row>
    <row r="52" spans="1:5" x14ac:dyDescent="0.25">
      <c r="A52" s="99">
        <v>43</v>
      </c>
      <c r="B52" s="100">
        <v>13.76</v>
      </c>
      <c r="C52" s="100">
        <v>0.7</v>
      </c>
      <c r="D52" s="100">
        <v>1.63</v>
      </c>
      <c r="E52" s="100">
        <v>0</v>
      </c>
    </row>
    <row r="53" spans="1:5" x14ac:dyDescent="0.25">
      <c r="A53" s="99">
        <v>44</v>
      </c>
      <c r="B53" s="100">
        <v>13.96</v>
      </c>
      <c r="C53" s="100">
        <v>0.71</v>
      </c>
      <c r="D53" s="100">
        <v>1.65</v>
      </c>
      <c r="E53" s="100">
        <v>0</v>
      </c>
    </row>
    <row r="54" spans="1:5" x14ac:dyDescent="0.25">
      <c r="A54" s="99">
        <v>45</v>
      </c>
      <c r="B54" s="100">
        <v>14.17</v>
      </c>
      <c r="C54" s="100">
        <v>0.72</v>
      </c>
      <c r="D54" s="100">
        <v>1.67</v>
      </c>
      <c r="E54" s="100">
        <v>0</v>
      </c>
    </row>
    <row r="55" spans="1:5" x14ac:dyDescent="0.25">
      <c r="A55" s="99">
        <v>46</v>
      </c>
      <c r="B55" s="100">
        <v>14.38</v>
      </c>
      <c r="C55" s="100">
        <v>0.73</v>
      </c>
      <c r="D55" s="100">
        <v>1.68</v>
      </c>
      <c r="E55" s="100">
        <v>0</v>
      </c>
    </row>
    <row r="56" spans="1:5" x14ac:dyDescent="0.25">
      <c r="A56" s="99">
        <v>47</v>
      </c>
      <c r="B56" s="100">
        <v>14.6</v>
      </c>
      <c r="C56" s="100">
        <v>0.74</v>
      </c>
      <c r="D56" s="100">
        <v>1.7</v>
      </c>
      <c r="E56" s="100">
        <v>0</v>
      </c>
    </row>
    <row r="57" spans="1:5" x14ac:dyDescent="0.25">
      <c r="A57" s="99">
        <v>48</v>
      </c>
      <c r="B57" s="100">
        <v>14.82</v>
      </c>
      <c r="C57" s="100">
        <v>0.76</v>
      </c>
      <c r="D57" s="100">
        <v>1.71</v>
      </c>
      <c r="E57" s="100">
        <v>0</v>
      </c>
    </row>
    <row r="58" spans="1:5" x14ac:dyDescent="0.25">
      <c r="A58" s="99">
        <v>49</v>
      </c>
      <c r="B58" s="100">
        <v>15.05</v>
      </c>
      <c r="C58" s="100">
        <v>0.77</v>
      </c>
      <c r="D58" s="100">
        <v>1.73</v>
      </c>
      <c r="E58" s="100">
        <v>0</v>
      </c>
    </row>
    <row r="59" spans="1:5" x14ac:dyDescent="0.25">
      <c r="A59" s="99">
        <v>50</v>
      </c>
      <c r="B59" s="100">
        <v>15.28</v>
      </c>
      <c r="C59" s="100">
        <v>0.78</v>
      </c>
      <c r="D59" s="100">
        <v>1.74</v>
      </c>
      <c r="E59" s="100">
        <v>0</v>
      </c>
    </row>
    <row r="60" spans="1:5" x14ac:dyDescent="0.25">
      <c r="A60" s="99">
        <v>51</v>
      </c>
      <c r="B60" s="100">
        <v>15.51</v>
      </c>
      <c r="C60" s="100">
        <v>0.8</v>
      </c>
      <c r="D60" s="100">
        <v>1.75</v>
      </c>
      <c r="E60" s="100">
        <v>0</v>
      </c>
    </row>
    <row r="61" spans="1:5" x14ac:dyDescent="0.25">
      <c r="A61" s="99">
        <v>52</v>
      </c>
      <c r="B61" s="100">
        <v>15.75</v>
      </c>
      <c r="C61" s="100">
        <v>0.81</v>
      </c>
      <c r="D61" s="100">
        <v>1.76</v>
      </c>
      <c r="E61" s="100">
        <v>0</v>
      </c>
    </row>
    <row r="62" spans="1:5" x14ac:dyDescent="0.25">
      <c r="A62" s="99">
        <v>53</v>
      </c>
      <c r="B62" s="100">
        <v>15.99</v>
      </c>
      <c r="C62" s="100">
        <v>0.82</v>
      </c>
      <c r="D62" s="100">
        <v>1.77</v>
      </c>
      <c r="E62" s="100">
        <v>0</v>
      </c>
    </row>
    <row r="63" spans="1:5" x14ac:dyDescent="0.25">
      <c r="A63" s="99">
        <v>54</v>
      </c>
      <c r="B63" s="100">
        <v>16.25</v>
      </c>
      <c r="C63" s="100">
        <v>0.84</v>
      </c>
      <c r="D63" s="100">
        <v>1.78</v>
      </c>
      <c r="E63" s="100">
        <v>0</v>
      </c>
    </row>
    <row r="64" spans="1:5" x14ac:dyDescent="0.25">
      <c r="A64" s="99">
        <v>55</v>
      </c>
      <c r="B64" s="100">
        <v>16.5</v>
      </c>
      <c r="C64" s="100">
        <v>0.85</v>
      </c>
      <c r="D64" s="100">
        <v>1.79</v>
      </c>
      <c r="E64" s="100">
        <v>0</v>
      </c>
    </row>
    <row r="65" spans="1:5" x14ac:dyDescent="0.25">
      <c r="A65" s="99">
        <v>56</v>
      </c>
      <c r="B65" s="100">
        <v>16.77</v>
      </c>
      <c r="C65" s="100">
        <v>0.87</v>
      </c>
      <c r="D65" s="100">
        <v>1.8</v>
      </c>
      <c r="E65" s="100">
        <v>0</v>
      </c>
    </row>
    <row r="66" spans="1:5" x14ac:dyDescent="0.25">
      <c r="A66" s="99">
        <v>57</v>
      </c>
      <c r="B66" s="100">
        <v>17.04</v>
      </c>
      <c r="C66" s="100">
        <v>0.88</v>
      </c>
      <c r="D66" s="100">
        <v>1.81</v>
      </c>
      <c r="E66" s="100">
        <v>0</v>
      </c>
    </row>
    <row r="67" spans="1:5" x14ac:dyDescent="0.25">
      <c r="A67" s="99">
        <v>58</v>
      </c>
      <c r="B67" s="100">
        <v>17.32</v>
      </c>
      <c r="C67" s="100">
        <v>0.9</v>
      </c>
      <c r="D67" s="100">
        <v>1.81</v>
      </c>
      <c r="E67" s="100">
        <v>0</v>
      </c>
    </row>
    <row r="68" spans="1:5" x14ac:dyDescent="0.25">
      <c r="A68" s="99">
        <v>59</v>
      </c>
      <c r="B68" s="100">
        <v>17.600000000000001</v>
      </c>
      <c r="C68" s="100">
        <v>0.91</v>
      </c>
      <c r="D68" s="100">
        <v>1.81</v>
      </c>
      <c r="E68" s="100">
        <v>0</v>
      </c>
    </row>
  </sheetData>
  <sheetProtection algorithmName="SHA-512" hashValue="v6/k8tXbynnaBUCYABrn1xEYEaR9YuDQdmiWnFnASQ2GWT3eZZ0xmVh35Yt8vgglzsTidOfwWOGbyILgLIc8BA==" saltValue="9xRiuj7guRUKSXezVvOFVA==" spinCount="100000" sheet="1" objects="1" scenarios="1"/>
  <conditionalFormatting sqref="A6:A21">
    <cfRule type="expression" dxfId="1049" priority="31" stopIfTrue="1">
      <formula>MOD(ROW(),2)=0</formula>
    </cfRule>
    <cfRule type="expression" dxfId="1048" priority="32" stopIfTrue="1">
      <formula>MOD(ROW(),2)&lt;&gt;0</formula>
    </cfRule>
  </conditionalFormatting>
  <conditionalFormatting sqref="A26:A68">
    <cfRule type="expression" dxfId="1047" priority="15" stopIfTrue="1">
      <formula>MOD(ROW(),2)=0</formula>
    </cfRule>
    <cfRule type="expression" dxfId="1046" priority="16" stopIfTrue="1">
      <formula>MOD(ROW(),2)&lt;&gt;0</formula>
    </cfRule>
  </conditionalFormatting>
  <conditionalFormatting sqref="B18:B19">
    <cfRule type="expression" dxfId="1045" priority="21" stopIfTrue="1">
      <formula>MOD(ROW(),2)=0</formula>
    </cfRule>
    <cfRule type="expression" dxfId="1044" priority="22" stopIfTrue="1">
      <formula>MOD(ROW(),2)&lt;&gt;0</formula>
    </cfRule>
  </conditionalFormatting>
  <conditionalFormatting sqref="B6:E21 I6:L21 I26:L31 B26:E68">
    <cfRule type="expression" dxfId="1043" priority="45" stopIfTrue="1">
      <formula>MOD(ROW(),2)=0</formula>
    </cfRule>
    <cfRule type="expression" dxfId="1042" priority="46" stopIfTrue="1">
      <formula>MOD(ROW(),2)&lt;&gt;0</formula>
    </cfRule>
  </conditionalFormatting>
  <conditionalFormatting sqref="C17:E18">
    <cfRule type="expression" dxfId="1041" priority="7" stopIfTrue="1">
      <formula>MOD(ROW(),2)=0</formula>
    </cfRule>
    <cfRule type="expression" dxfId="1040" priority="8" stopIfTrue="1">
      <formula>MOD(ROW(),2)&lt;&gt;0</formula>
    </cfRule>
  </conditionalFormatting>
  <conditionalFormatting sqref="H6:H21">
    <cfRule type="expression" dxfId="1039" priority="33" stopIfTrue="1">
      <formula>MOD(ROW(),2)=0</formula>
    </cfRule>
    <cfRule type="expression" dxfId="1038" priority="34" stopIfTrue="1">
      <formula>MOD(ROW(),2)&lt;&gt;0</formula>
    </cfRule>
  </conditionalFormatting>
  <conditionalFormatting sqref="H26:H31">
    <cfRule type="expression" dxfId="1037" priority="11" stopIfTrue="1">
      <formula>MOD(ROW(),2)=0</formula>
    </cfRule>
    <cfRule type="expression" dxfId="1036" priority="12" stopIfTrue="1">
      <formula>MOD(ROW(),2)&lt;&gt;0</formula>
    </cfRule>
  </conditionalFormatting>
  <conditionalFormatting sqref="I18:I19">
    <cfRule type="expression" dxfId="1035" priority="1" stopIfTrue="1">
      <formula>MOD(ROW(),2)=0</formula>
    </cfRule>
    <cfRule type="expression" dxfId="1034" priority="2" stopIfTrue="1">
      <formula>MOD(ROW(),2)&lt;&gt;0</formula>
    </cfRule>
  </conditionalFormatting>
  <conditionalFormatting sqref="J17:L18">
    <cfRule type="expression" dxfId="1033" priority="3" stopIfTrue="1">
      <formula>MOD(ROW(),2)=0</formula>
    </cfRule>
    <cfRule type="expression" dxfId="1032" priority="4" stopIfTrue="1">
      <formula>MOD(ROW(),2)&lt;&gt;0</formula>
    </cfRule>
  </conditionalFormatting>
  <hyperlinks>
    <hyperlink ref="B24" location="Assumptions!A1" display="Assumptions" xr:uid="{306CA033-5965-412D-950F-DECB05099A8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3"/>
  <dimension ref="A1:H65"/>
  <sheetViews>
    <sheetView showGridLines="0" zoomScale="85" zoomScaleNormal="85" workbookViewId="0">
      <selection activeCell="A4" sqref="A4"/>
    </sheetView>
  </sheetViews>
  <sheetFormatPr defaultColWidth="10" defaultRowHeight="12.5" x14ac:dyDescent="0.25"/>
  <cols>
    <col min="1" max="1" width="31.90625" style="25" customWidth="1"/>
    <col min="2" max="5" width="22.90625" style="25" customWidth="1"/>
    <col min="6" max="16384" width="10" style="25"/>
  </cols>
  <sheetData>
    <row r="1" spans="1:8" ht="20" x14ac:dyDescent="0.4">
      <c r="A1" s="36" t="s">
        <v>0</v>
      </c>
      <c r="B1" s="37"/>
      <c r="C1" s="37"/>
      <c r="D1" s="37"/>
      <c r="E1" s="37"/>
      <c r="F1" s="37"/>
      <c r="G1" s="37"/>
      <c r="H1" s="37"/>
    </row>
    <row r="2" spans="1:8" ht="15.5" x14ac:dyDescent="0.35">
      <c r="A2" s="38" t="str">
        <f>IF(title="&gt; Enter workbook title here","Enter workbook title in Cover sheet",title)</f>
        <v>NHSPS_NI - Consolidated Factor Spreadsheet</v>
      </c>
      <c r="B2" s="39"/>
      <c r="C2" s="39"/>
      <c r="D2" s="39"/>
      <c r="E2" s="39"/>
      <c r="F2" s="39"/>
      <c r="G2" s="39"/>
      <c r="H2" s="39"/>
    </row>
    <row r="3" spans="1:8" ht="15.5" x14ac:dyDescent="0.35">
      <c r="A3" s="40" t="str">
        <f>TABLE_FACTOR_TYPE_1&amp;" - x-"&amp;TABLE_SERIES_NUMBER_1</f>
        <v>CETV - x-205</v>
      </c>
      <c r="B3" s="39"/>
      <c r="C3" s="39"/>
      <c r="D3" s="39"/>
      <c r="E3" s="39"/>
      <c r="F3" s="39"/>
      <c r="G3" s="39"/>
      <c r="H3" s="39"/>
    </row>
    <row r="4" spans="1:8" x14ac:dyDescent="0.25">
      <c r="A4" s="41"/>
    </row>
    <row r="6" spans="1:8" ht="13" x14ac:dyDescent="0.3">
      <c r="A6" s="163" t="s">
        <v>276</v>
      </c>
      <c r="B6" s="107" t="s">
        <v>277</v>
      </c>
      <c r="C6" s="107"/>
      <c r="D6" s="107"/>
      <c r="E6" s="107"/>
    </row>
    <row r="7" spans="1:8" x14ac:dyDescent="0.25">
      <c r="A7" s="69" t="s">
        <v>278</v>
      </c>
      <c r="B7" s="107" t="s">
        <v>310</v>
      </c>
      <c r="C7" s="107"/>
      <c r="D7" s="107"/>
      <c r="E7" s="107"/>
    </row>
    <row r="8" spans="1:8" x14ac:dyDescent="0.25">
      <c r="A8" s="69" t="s">
        <v>280</v>
      </c>
      <c r="B8" s="107" t="s">
        <v>75</v>
      </c>
      <c r="C8" s="107"/>
      <c r="D8" s="107"/>
      <c r="E8" s="107"/>
    </row>
    <row r="9" spans="1:8" x14ac:dyDescent="0.25">
      <c r="A9" s="69" t="s">
        <v>282</v>
      </c>
      <c r="B9" s="107" t="s">
        <v>328</v>
      </c>
      <c r="C9" s="107"/>
      <c r="D9" s="107"/>
      <c r="E9" s="107"/>
    </row>
    <row r="10" spans="1:8" ht="12.65" customHeight="1" x14ac:dyDescent="0.25">
      <c r="A10" s="69" t="s">
        <v>6</v>
      </c>
      <c r="B10" s="107" t="s">
        <v>345</v>
      </c>
      <c r="C10" s="107"/>
      <c r="D10" s="107"/>
      <c r="E10" s="107"/>
    </row>
    <row r="11" spans="1:8" x14ac:dyDescent="0.25">
      <c r="A11" s="69" t="s">
        <v>285</v>
      </c>
      <c r="B11" s="107" t="s">
        <v>330</v>
      </c>
      <c r="C11" s="107"/>
      <c r="D11" s="107"/>
      <c r="E11" s="107"/>
    </row>
    <row r="12" spans="1:8" ht="12.65" customHeight="1" x14ac:dyDescent="0.25">
      <c r="A12" s="69" t="s">
        <v>287</v>
      </c>
      <c r="B12" s="107" t="s">
        <v>314</v>
      </c>
      <c r="C12" s="107"/>
      <c r="D12" s="107"/>
      <c r="E12" s="107"/>
    </row>
    <row r="13" spans="1:8" x14ac:dyDescent="0.25">
      <c r="A13" s="69" t="s">
        <v>289</v>
      </c>
      <c r="B13" s="107">
        <v>1</v>
      </c>
      <c r="C13" s="107"/>
      <c r="D13" s="107"/>
      <c r="E13" s="107"/>
    </row>
    <row r="14" spans="1:8" x14ac:dyDescent="0.25">
      <c r="A14" s="69" t="s">
        <v>291</v>
      </c>
      <c r="B14" s="107">
        <v>205</v>
      </c>
      <c r="C14" s="107"/>
      <c r="D14" s="107"/>
      <c r="E14" s="107"/>
    </row>
    <row r="15" spans="1:8" x14ac:dyDescent="0.25">
      <c r="A15" s="69" t="s">
        <v>293</v>
      </c>
      <c r="B15" s="107" t="s">
        <v>346</v>
      </c>
      <c r="C15" s="107"/>
      <c r="D15" s="107"/>
      <c r="E15" s="107"/>
    </row>
    <row r="16" spans="1:8" x14ac:dyDescent="0.25">
      <c r="A16" s="69" t="s">
        <v>295</v>
      </c>
      <c r="B16" s="107" t="s">
        <v>347</v>
      </c>
      <c r="C16" s="107"/>
      <c r="D16" s="107"/>
      <c r="E16" s="107"/>
    </row>
    <row r="17" spans="1:5" ht="12.65" customHeight="1" x14ac:dyDescent="0.25">
      <c r="A17" s="69" t="s">
        <v>725</v>
      </c>
      <c r="B17" s="107"/>
      <c r="C17" s="107"/>
      <c r="D17" s="107"/>
      <c r="E17" s="107"/>
    </row>
    <row r="18" spans="1:5" x14ac:dyDescent="0.25">
      <c r="A18" s="69" t="s">
        <v>299</v>
      </c>
      <c r="B18" s="164" t="s">
        <v>727</v>
      </c>
      <c r="C18" s="107"/>
      <c r="D18" s="107"/>
      <c r="E18" s="107"/>
    </row>
    <row r="19" spans="1:5" x14ac:dyDescent="0.25">
      <c r="A19" s="69" t="s">
        <v>301</v>
      </c>
      <c r="B19" s="164">
        <v>45014</v>
      </c>
      <c r="C19" s="107"/>
      <c r="D19" s="107"/>
      <c r="E19" s="107"/>
    </row>
    <row r="20" spans="1:5" x14ac:dyDescent="0.25">
      <c r="A20" s="69" t="s">
        <v>303</v>
      </c>
      <c r="B20" s="107" t="s">
        <v>317</v>
      </c>
      <c r="C20" s="107"/>
      <c r="D20" s="107"/>
      <c r="E20" s="107"/>
    </row>
    <row r="21" spans="1:5" x14ac:dyDescent="0.25">
      <c r="A21" s="69" t="s">
        <v>309</v>
      </c>
      <c r="B21" s="107" t="s">
        <v>318</v>
      </c>
      <c r="C21" s="107"/>
      <c r="D21" s="107"/>
      <c r="E21" s="107"/>
    </row>
    <row r="23" spans="1:5" x14ac:dyDescent="0.25">
      <c r="B23" s="103" t="str">
        <f>HYPERLINK("#'Factor List'!A1","Back to Factor List")</f>
        <v>Back to Factor List</v>
      </c>
    </row>
    <row r="24" spans="1:5" x14ac:dyDescent="0.25">
      <c r="B24" s="103" t="s">
        <v>15</v>
      </c>
    </row>
    <row r="26" spans="1:5" ht="39" x14ac:dyDescent="0.25">
      <c r="A26" s="98" t="s">
        <v>408</v>
      </c>
      <c r="B26" s="98" t="s">
        <v>728</v>
      </c>
      <c r="C26" s="98" t="s">
        <v>729</v>
      </c>
      <c r="D26" s="98" t="s">
        <v>730</v>
      </c>
      <c r="E26" s="98" t="s">
        <v>736</v>
      </c>
    </row>
    <row r="27" spans="1:5" x14ac:dyDescent="0.25">
      <c r="A27" s="99">
        <v>35</v>
      </c>
      <c r="B27" s="100">
        <v>18.68</v>
      </c>
      <c r="C27" s="100">
        <v>0.72</v>
      </c>
      <c r="D27" s="100">
        <v>1.42</v>
      </c>
      <c r="E27" s="100">
        <v>0</v>
      </c>
    </row>
    <row r="28" spans="1:5" x14ac:dyDescent="0.25">
      <c r="A28" s="99">
        <v>36</v>
      </c>
      <c r="B28" s="100">
        <v>18.97</v>
      </c>
      <c r="C28" s="100">
        <v>0.73</v>
      </c>
      <c r="D28" s="100">
        <v>1.44</v>
      </c>
      <c r="E28" s="100">
        <v>0</v>
      </c>
    </row>
    <row r="29" spans="1:5" x14ac:dyDescent="0.25">
      <c r="A29" s="99">
        <v>37</v>
      </c>
      <c r="B29" s="100">
        <v>19.260000000000002</v>
      </c>
      <c r="C29" s="100">
        <v>0.74</v>
      </c>
      <c r="D29" s="100">
        <v>1.46</v>
      </c>
      <c r="E29" s="100">
        <v>0</v>
      </c>
    </row>
    <row r="30" spans="1:5" x14ac:dyDescent="0.25">
      <c r="A30" s="99">
        <v>38</v>
      </c>
      <c r="B30" s="100">
        <v>19.559999999999999</v>
      </c>
      <c r="C30" s="100">
        <v>0.76</v>
      </c>
      <c r="D30" s="100">
        <v>1.47</v>
      </c>
      <c r="E30" s="100">
        <v>0</v>
      </c>
    </row>
    <row r="31" spans="1:5" x14ac:dyDescent="0.25">
      <c r="A31" s="99">
        <v>39</v>
      </c>
      <c r="B31" s="100">
        <v>19.87</v>
      </c>
      <c r="C31" s="100">
        <v>0.77</v>
      </c>
      <c r="D31" s="100">
        <v>1.49</v>
      </c>
      <c r="E31" s="100">
        <v>0</v>
      </c>
    </row>
    <row r="32" spans="1:5" x14ac:dyDescent="0.25">
      <c r="A32" s="99">
        <v>40</v>
      </c>
      <c r="B32" s="100">
        <v>20.18</v>
      </c>
      <c r="C32" s="100">
        <v>0.78</v>
      </c>
      <c r="D32" s="100">
        <v>1.51</v>
      </c>
      <c r="E32" s="100">
        <v>0</v>
      </c>
    </row>
    <row r="33" spans="1:5" x14ac:dyDescent="0.25">
      <c r="A33" s="99">
        <v>41</v>
      </c>
      <c r="B33" s="100">
        <v>20.5</v>
      </c>
      <c r="C33" s="100">
        <v>0.8</v>
      </c>
      <c r="D33" s="100">
        <v>1.52</v>
      </c>
      <c r="E33" s="100">
        <v>0</v>
      </c>
    </row>
    <row r="34" spans="1:5" x14ac:dyDescent="0.25">
      <c r="A34" s="99">
        <v>42</v>
      </c>
      <c r="B34" s="100">
        <v>20.82</v>
      </c>
      <c r="C34" s="100">
        <v>0.81</v>
      </c>
      <c r="D34" s="100">
        <v>1.54</v>
      </c>
      <c r="E34" s="100">
        <v>0</v>
      </c>
    </row>
    <row r="35" spans="1:5" x14ac:dyDescent="0.25">
      <c r="A35" s="99">
        <v>43</v>
      </c>
      <c r="B35" s="100">
        <v>21.15</v>
      </c>
      <c r="C35" s="100">
        <v>0.82</v>
      </c>
      <c r="D35" s="100">
        <v>1.56</v>
      </c>
      <c r="E35" s="100">
        <v>0</v>
      </c>
    </row>
    <row r="36" spans="1:5" x14ac:dyDescent="0.25">
      <c r="A36" s="99">
        <v>44</v>
      </c>
      <c r="B36" s="100">
        <v>21.48</v>
      </c>
      <c r="C36" s="100">
        <v>0.84</v>
      </c>
      <c r="D36" s="100">
        <v>1.57</v>
      </c>
      <c r="E36" s="100">
        <v>0</v>
      </c>
    </row>
    <row r="37" spans="1:5" x14ac:dyDescent="0.25">
      <c r="A37" s="99">
        <v>45</v>
      </c>
      <c r="B37" s="100">
        <v>21.82</v>
      </c>
      <c r="C37" s="100">
        <v>0.85</v>
      </c>
      <c r="D37" s="100">
        <v>1.59</v>
      </c>
      <c r="E37" s="100">
        <v>0</v>
      </c>
    </row>
    <row r="38" spans="1:5" x14ac:dyDescent="0.25">
      <c r="A38" s="99">
        <v>46</v>
      </c>
      <c r="B38" s="100">
        <v>22.17</v>
      </c>
      <c r="C38" s="100">
        <v>0.87</v>
      </c>
      <c r="D38" s="100">
        <v>1.6</v>
      </c>
      <c r="E38" s="100">
        <v>0</v>
      </c>
    </row>
    <row r="39" spans="1:5" x14ac:dyDescent="0.25">
      <c r="A39" s="99">
        <v>47</v>
      </c>
      <c r="B39" s="100">
        <v>22.52</v>
      </c>
      <c r="C39" s="100">
        <v>0.88</v>
      </c>
      <c r="D39" s="100">
        <v>1.61</v>
      </c>
      <c r="E39" s="100">
        <v>0</v>
      </c>
    </row>
    <row r="40" spans="1:5" x14ac:dyDescent="0.25">
      <c r="A40" s="99">
        <v>48</v>
      </c>
      <c r="B40" s="100">
        <v>22.89</v>
      </c>
      <c r="C40" s="100">
        <v>0.9</v>
      </c>
      <c r="D40" s="100">
        <v>1.63</v>
      </c>
      <c r="E40" s="100">
        <v>0</v>
      </c>
    </row>
    <row r="41" spans="1:5" x14ac:dyDescent="0.25">
      <c r="A41" s="99">
        <v>49</v>
      </c>
      <c r="B41" s="100">
        <v>23.25</v>
      </c>
      <c r="C41" s="100">
        <v>0.91</v>
      </c>
      <c r="D41" s="100">
        <v>1.64</v>
      </c>
      <c r="E41" s="100">
        <v>0</v>
      </c>
    </row>
    <row r="42" spans="1:5" x14ac:dyDescent="0.25">
      <c r="A42" s="99">
        <v>50</v>
      </c>
      <c r="B42" s="100">
        <v>23.63</v>
      </c>
      <c r="C42" s="100">
        <v>0.93</v>
      </c>
      <c r="D42" s="100">
        <v>1.65</v>
      </c>
      <c r="E42" s="100">
        <v>0</v>
      </c>
    </row>
    <row r="43" spans="1:5" x14ac:dyDescent="0.25">
      <c r="A43" s="99">
        <v>51</v>
      </c>
      <c r="B43" s="100">
        <v>24.02</v>
      </c>
      <c r="C43" s="100">
        <v>0.94</v>
      </c>
      <c r="D43" s="100">
        <v>1.66</v>
      </c>
      <c r="E43" s="100">
        <v>0</v>
      </c>
    </row>
    <row r="44" spans="1:5" x14ac:dyDescent="0.25">
      <c r="A44" s="99">
        <v>52</v>
      </c>
      <c r="B44" s="100">
        <v>24.41</v>
      </c>
      <c r="C44" s="100">
        <v>0.96</v>
      </c>
      <c r="D44" s="100">
        <v>1.67</v>
      </c>
      <c r="E44" s="100">
        <v>0</v>
      </c>
    </row>
    <row r="45" spans="1:5" x14ac:dyDescent="0.25">
      <c r="A45" s="99">
        <v>53</v>
      </c>
      <c r="B45" s="100">
        <v>24.81</v>
      </c>
      <c r="C45" s="100">
        <v>0.98</v>
      </c>
      <c r="D45" s="100">
        <v>1.68</v>
      </c>
      <c r="E45" s="100">
        <v>0</v>
      </c>
    </row>
    <row r="46" spans="1:5" x14ac:dyDescent="0.25">
      <c r="A46" s="99">
        <v>54</v>
      </c>
      <c r="B46" s="100">
        <v>25.23</v>
      </c>
      <c r="C46" s="100">
        <v>0.99</v>
      </c>
      <c r="D46" s="100">
        <v>1.69</v>
      </c>
      <c r="E46" s="100">
        <v>0</v>
      </c>
    </row>
    <row r="47" spans="1:5" x14ac:dyDescent="0.25">
      <c r="A47"/>
      <c r="B47"/>
    </row>
    <row r="48" spans="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IP7WLT+rH6ZoLB7bAxL0dxdmFY6AeoVzU5WO3HMWp6e+4lVvnr/57GjBK1GOzlzikXf12lTh70vdD3WjyEJYzw==" saltValue="qut+KtDrIA5ULkg0Ule2PA==" spinCount="100000" sheet="1" objects="1" scenarios="1"/>
  <conditionalFormatting sqref="A6:A21">
    <cfRule type="expression" dxfId="1031" priority="15" stopIfTrue="1">
      <formula>MOD(ROW(),2)=0</formula>
    </cfRule>
    <cfRule type="expression" dxfId="1030" priority="16" stopIfTrue="1">
      <formula>MOD(ROW(),2)&lt;&gt;0</formula>
    </cfRule>
  </conditionalFormatting>
  <conditionalFormatting sqref="A26:A46">
    <cfRule type="expression" dxfId="1029" priority="5" stopIfTrue="1">
      <formula>MOD(ROW(),2)=0</formula>
    </cfRule>
    <cfRule type="expression" dxfId="1028" priority="6" stopIfTrue="1">
      <formula>MOD(ROW(),2)&lt;&gt;0</formula>
    </cfRule>
  </conditionalFormatting>
  <conditionalFormatting sqref="B18:B19">
    <cfRule type="expression" dxfId="1027" priority="9" stopIfTrue="1">
      <formula>MOD(ROW(),2)=0</formula>
    </cfRule>
    <cfRule type="expression" dxfId="1026" priority="10" stopIfTrue="1">
      <formula>MOD(ROW(),2)&lt;&gt;0</formula>
    </cfRule>
  </conditionalFormatting>
  <conditionalFormatting sqref="B6:E21 B26:E46">
    <cfRule type="expression" dxfId="1025" priority="23" stopIfTrue="1">
      <formula>MOD(ROW(),2)=0</formula>
    </cfRule>
    <cfRule type="expression" dxfId="1024" priority="24" stopIfTrue="1">
      <formula>MOD(ROW(),2)&lt;&gt;0</formula>
    </cfRule>
  </conditionalFormatting>
  <conditionalFormatting sqref="C17:E18">
    <cfRule type="expression" dxfId="1023" priority="1" stopIfTrue="1">
      <formula>MOD(ROW(),2)=0</formula>
    </cfRule>
    <cfRule type="expression" dxfId="1022" priority="2" stopIfTrue="1">
      <formula>MOD(ROW(),2)&lt;&gt;0</formula>
    </cfRule>
  </conditionalFormatting>
  <hyperlinks>
    <hyperlink ref="B24" location="Assumptions!A1" display="Assumptions" xr:uid="{2DF9FD8C-8452-47EC-B115-ED89B0F1723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dimension ref="A1:H65"/>
  <sheetViews>
    <sheetView showGridLines="0" zoomScale="85" zoomScaleNormal="85" workbookViewId="0">
      <selection activeCell="A4" sqref="A4"/>
    </sheetView>
  </sheetViews>
  <sheetFormatPr defaultColWidth="10" defaultRowHeight="12.5" x14ac:dyDescent="0.25"/>
  <cols>
    <col min="1" max="1" width="31.90625" style="25" customWidth="1"/>
    <col min="2" max="5" width="22.90625" style="25" customWidth="1"/>
    <col min="6" max="16384" width="10" style="25"/>
  </cols>
  <sheetData>
    <row r="1" spans="1:8" ht="20" x14ac:dyDescent="0.4">
      <c r="A1" s="36" t="s">
        <v>0</v>
      </c>
      <c r="B1" s="37"/>
      <c r="C1" s="37"/>
      <c r="D1" s="37"/>
      <c r="E1" s="37"/>
      <c r="F1" s="37"/>
      <c r="G1" s="37"/>
      <c r="H1" s="37"/>
    </row>
    <row r="2" spans="1:8" ht="15.5" x14ac:dyDescent="0.35">
      <c r="A2" s="38" t="str">
        <f>IF(title="&gt; Enter workbook title here","Enter workbook title in Cover sheet",title)</f>
        <v>NHSPS_NI - Consolidated Factor Spreadsheet</v>
      </c>
      <c r="B2" s="39"/>
      <c r="C2" s="39"/>
      <c r="D2" s="39"/>
      <c r="E2" s="39"/>
      <c r="F2" s="39"/>
      <c r="G2" s="39"/>
      <c r="H2" s="39"/>
    </row>
    <row r="3" spans="1:8" ht="15.5" x14ac:dyDescent="0.35">
      <c r="A3" s="40" t="str">
        <f>TABLE_FACTOR_TYPE_1&amp;" - x-"&amp;TABLE_SERIES_NUMBER_1</f>
        <v>CETV - x-206</v>
      </c>
      <c r="B3" s="39"/>
      <c r="C3" s="39"/>
      <c r="D3" s="39"/>
      <c r="E3" s="39"/>
      <c r="F3" s="39"/>
      <c r="G3" s="39"/>
      <c r="H3" s="39"/>
    </row>
    <row r="4" spans="1:8" x14ac:dyDescent="0.25">
      <c r="A4" s="41"/>
    </row>
    <row r="6" spans="1:8" ht="13" x14ac:dyDescent="0.3">
      <c r="A6" s="163" t="s">
        <v>276</v>
      </c>
      <c r="B6" s="107" t="s">
        <v>277</v>
      </c>
      <c r="C6" s="107"/>
      <c r="D6" s="107"/>
      <c r="E6" s="107"/>
    </row>
    <row r="7" spans="1:8" x14ac:dyDescent="0.25">
      <c r="A7" s="69" t="s">
        <v>278</v>
      </c>
      <c r="B7" s="107" t="s">
        <v>310</v>
      </c>
      <c r="C7" s="107"/>
      <c r="D7" s="107"/>
      <c r="E7" s="107"/>
    </row>
    <row r="8" spans="1:8" x14ac:dyDescent="0.25">
      <c r="A8" s="69" t="s">
        <v>280</v>
      </c>
      <c r="B8" s="107" t="s">
        <v>75</v>
      </c>
      <c r="C8" s="107"/>
      <c r="D8" s="107"/>
      <c r="E8" s="107"/>
    </row>
    <row r="9" spans="1:8" x14ac:dyDescent="0.25">
      <c r="A9" s="69" t="s">
        <v>282</v>
      </c>
      <c r="B9" s="107" t="s">
        <v>328</v>
      </c>
      <c r="C9" s="107"/>
      <c r="D9" s="107"/>
      <c r="E9" s="107"/>
    </row>
    <row r="10" spans="1:8" ht="12.65" customHeight="1" x14ac:dyDescent="0.25">
      <c r="A10" s="69" t="s">
        <v>6</v>
      </c>
      <c r="B10" s="107" t="s">
        <v>348</v>
      </c>
      <c r="C10" s="107"/>
      <c r="D10" s="107"/>
      <c r="E10" s="107"/>
    </row>
    <row r="11" spans="1:8" x14ac:dyDescent="0.25">
      <c r="A11" s="69" t="s">
        <v>285</v>
      </c>
      <c r="B11" s="107" t="s">
        <v>334</v>
      </c>
      <c r="C11" s="107"/>
      <c r="D11" s="107"/>
      <c r="E11" s="107"/>
    </row>
    <row r="12" spans="1:8" ht="12.65" customHeight="1" x14ac:dyDescent="0.25">
      <c r="A12" s="69" t="s">
        <v>287</v>
      </c>
      <c r="B12" s="107" t="s">
        <v>314</v>
      </c>
      <c r="C12" s="107"/>
      <c r="D12" s="107"/>
      <c r="E12" s="107"/>
    </row>
    <row r="13" spans="1:8" x14ac:dyDescent="0.25">
      <c r="A13" s="69" t="s">
        <v>289</v>
      </c>
      <c r="B13" s="107">
        <v>1</v>
      </c>
      <c r="C13" s="107"/>
      <c r="D13" s="107"/>
      <c r="E13" s="107"/>
    </row>
    <row r="14" spans="1:8" x14ac:dyDescent="0.25">
      <c r="A14" s="69" t="s">
        <v>291</v>
      </c>
      <c r="B14" s="107">
        <v>206</v>
      </c>
      <c r="C14" s="107"/>
      <c r="D14" s="107"/>
      <c r="E14" s="107"/>
    </row>
    <row r="15" spans="1:8" x14ac:dyDescent="0.25">
      <c r="A15" s="69" t="s">
        <v>293</v>
      </c>
      <c r="B15" s="107" t="s">
        <v>349</v>
      </c>
      <c r="C15" s="107"/>
      <c r="D15" s="107"/>
      <c r="E15" s="107"/>
    </row>
    <row r="16" spans="1:8" x14ac:dyDescent="0.25">
      <c r="A16" s="69" t="s">
        <v>295</v>
      </c>
      <c r="B16" s="107" t="s">
        <v>350</v>
      </c>
      <c r="C16" s="107"/>
      <c r="D16" s="107"/>
      <c r="E16" s="107"/>
    </row>
    <row r="17" spans="1:5" ht="12.65" customHeight="1" x14ac:dyDescent="0.25">
      <c r="A17" s="69" t="s">
        <v>725</v>
      </c>
      <c r="B17" s="107"/>
      <c r="C17" s="107"/>
      <c r="D17" s="107"/>
      <c r="E17" s="107"/>
    </row>
    <row r="18" spans="1:5" x14ac:dyDescent="0.25">
      <c r="A18" s="69" t="s">
        <v>299</v>
      </c>
      <c r="B18" s="164" t="str">
        <f>"26 May 2023"</f>
        <v>26 May 2023</v>
      </c>
      <c r="C18" s="107"/>
      <c r="D18" s="107"/>
      <c r="E18" s="107"/>
    </row>
    <row r="19" spans="1:5" x14ac:dyDescent="0.25">
      <c r="A19" s="69" t="s">
        <v>301</v>
      </c>
      <c r="B19" s="164">
        <v>45014</v>
      </c>
      <c r="C19" s="107"/>
      <c r="D19" s="107"/>
      <c r="E19" s="107"/>
    </row>
    <row r="20" spans="1:5" x14ac:dyDescent="0.25">
      <c r="A20" s="69" t="s">
        <v>303</v>
      </c>
      <c r="B20" s="107" t="s">
        <v>317</v>
      </c>
      <c r="C20" s="107"/>
      <c r="D20" s="107"/>
      <c r="E20" s="107"/>
    </row>
    <row r="21" spans="1:5" x14ac:dyDescent="0.25">
      <c r="A21" s="69" t="s">
        <v>309</v>
      </c>
      <c r="B21" s="107" t="s">
        <v>318</v>
      </c>
      <c r="C21" s="107"/>
      <c r="D21" s="107"/>
      <c r="E21" s="107"/>
    </row>
    <row r="23" spans="1:5" x14ac:dyDescent="0.25">
      <c r="B23" s="103" t="str">
        <f>HYPERLINK("#'Factor List'!A1","Back to Factor List")</f>
        <v>Back to Factor List</v>
      </c>
    </row>
    <row r="24" spans="1:5" x14ac:dyDescent="0.25">
      <c r="B24" s="103" t="s">
        <v>15</v>
      </c>
    </row>
    <row r="26" spans="1:5" ht="39" x14ac:dyDescent="0.25">
      <c r="A26" s="98" t="s">
        <v>408</v>
      </c>
      <c r="B26" s="98" t="s">
        <v>728</v>
      </c>
      <c r="C26" s="98" t="s">
        <v>729</v>
      </c>
      <c r="D26" s="98" t="s">
        <v>730</v>
      </c>
      <c r="E26" s="98" t="s">
        <v>736</v>
      </c>
    </row>
    <row r="27" spans="1:5" x14ac:dyDescent="0.25">
      <c r="A27" s="99">
        <v>35</v>
      </c>
      <c r="B27" s="100">
        <v>18.68</v>
      </c>
      <c r="C27" s="100">
        <v>0.72</v>
      </c>
      <c r="D27" s="100">
        <v>1.42</v>
      </c>
      <c r="E27" s="100">
        <v>0</v>
      </c>
    </row>
    <row r="28" spans="1:5" x14ac:dyDescent="0.25">
      <c r="A28" s="99">
        <v>36</v>
      </c>
      <c r="B28" s="100">
        <v>18.97</v>
      </c>
      <c r="C28" s="100">
        <v>0.73</v>
      </c>
      <c r="D28" s="100">
        <v>1.44</v>
      </c>
      <c r="E28" s="100">
        <v>0</v>
      </c>
    </row>
    <row r="29" spans="1:5" x14ac:dyDescent="0.25">
      <c r="A29" s="99">
        <v>37</v>
      </c>
      <c r="B29" s="100">
        <v>19.260000000000002</v>
      </c>
      <c r="C29" s="100">
        <v>0.74</v>
      </c>
      <c r="D29" s="100">
        <v>1.46</v>
      </c>
      <c r="E29" s="100">
        <v>0</v>
      </c>
    </row>
    <row r="30" spans="1:5" x14ac:dyDescent="0.25">
      <c r="A30" s="99">
        <v>38</v>
      </c>
      <c r="B30" s="100">
        <v>19.559999999999999</v>
      </c>
      <c r="C30" s="100">
        <v>0.76</v>
      </c>
      <c r="D30" s="100">
        <v>1.47</v>
      </c>
      <c r="E30" s="100">
        <v>0</v>
      </c>
    </row>
    <row r="31" spans="1:5" x14ac:dyDescent="0.25">
      <c r="A31" s="99">
        <v>39</v>
      </c>
      <c r="B31" s="100">
        <v>19.87</v>
      </c>
      <c r="C31" s="100">
        <v>0.77</v>
      </c>
      <c r="D31" s="100">
        <v>1.49</v>
      </c>
      <c r="E31" s="100">
        <v>0</v>
      </c>
    </row>
    <row r="32" spans="1:5" x14ac:dyDescent="0.25">
      <c r="A32" s="99">
        <v>40</v>
      </c>
      <c r="B32" s="100">
        <v>20.18</v>
      </c>
      <c r="C32" s="100">
        <v>0.78</v>
      </c>
      <c r="D32" s="100">
        <v>1.51</v>
      </c>
      <c r="E32" s="100">
        <v>0</v>
      </c>
    </row>
    <row r="33" spans="1:5" x14ac:dyDescent="0.25">
      <c r="A33" s="99">
        <v>41</v>
      </c>
      <c r="B33" s="100">
        <v>20.5</v>
      </c>
      <c r="C33" s="100">
        <v>0.8</v>
      </c>
      <c r="D33" s="100">
        <v>1.52</v>
      </c>
      <c r="E33" s="100">
        <v>0</v>
      </c>
    </row>
    <row r="34" spans="1:5" x14ac:dyDescent="0.25">
      <c r="A34" s="99">
        <v>42</v>
      </c>
      <c r="B34" s="100">
        <v>20.82</v>
      </c>
      <c r="C34" s="100">
        <v>0.81</v>
      </c>
      <c r="D34" s="100">
        <v>1.54</v>
      </c>
      <c r="E34" s="100">
        <v>0</v>
      </c>
    </row>
    <row r="35" spans="1:5" x14ac:dyDescent="0.25">
      <c r="A35" s="99">
        <v>43</v>
      </c>
      <c r="B35" s="100">
        <v>21.15</v>
      </c>
      <c r="C35" s="100">
        <v>0.82</v>
      </c>
      <c r="D35" s="100">
        <v>1.56</v>
      </c>
      <c r="E35" s="100">
        <v>0</v>
      </c>
    </row>
    <row r="36" spans="1:5" x14ac:dyDescent="0.25">
      <c r="A36" s="99">
        <v>44</v>
      </c>
      <c r="B36" s="100">
        <v>21.48</v>
      </c>
      <c r="C36" s="100">
        <v>0.84</v>
      </c>
      <c r="D36" s="100">
        <v>1.57</v>
      </c>
      <c r="E36" s="100">
        <v>0</v>
      </c>
    </row>
    <row r="37" spans="1:5" x14ac:dyDescent="0.25">
      <c r="A37" s="99">
        <v>45</v>
      </c>
      <c r="B37" s="100">
        <v>21.82</v>
      </c>
      <c r="C37" s="100">
        <v>0.85</v>
      </c>
      <c r="D37" s="100">
        <v>1.59</v>
      </c>
      <c r="E37" s="100">
        <v>0</v>
      </c>
    </row>
    <row r="38" spans="1:5" x14ac:dyDescent="0.25">
      <c r="A38" s="99">
        <v>46</v>
      </c>
      <c r="B38" s="100">
        <v>22.17</v>
      </c>
      <c r="C38" s="100">
        <v>0.87</v>
      </c>
      <c r="D38" s="100">
        <v>1.6</v>
      </c>
      <c r="E38" s="100">
        <v>0</v>
      </c>
    </row>
    <row r="39" spans="1:5" x14ac:dyDescent="0.25">
      <c r="A39" s="99">
        <v>47</v>
      </c>
      <c r="B39" s="100">
        <v>22.52</v>
      </c>
      <c r="C39" s="100">
        <v>0.88</v>
      </c>
      <c r="D39" s="100">
        <v>1.61</v>
      </c>
      <c r="E39" s="100">
        <v>0</v>
      </c>
    </row>
    <row r="40" spans="1:5" x14ac:dyDescent="0.25">
      <c r="A40" s="99">
        <v>48</v>
      </c>
      <c r="B40" s="100">
        <v>22.89</v>
      </c>
      <c r="C40" s="100">
        <v>0.9</v>
      </c>
      <c r="D40" s="100">
        <v>1.63</v>
      </c>
      <c r="E40" s="100">
        <v>0</v>
      </c>
    </row>
    <row r="41" spans="1:5" x14ac:dyDescent="0.25">
      <c r="A41" s="99">
        <v>49</v>
      </c>
      <c r="B41" s="100">
        <v>23.25</v>
      </c>
      <c r="C41" s="100">
        <v>0.91</v>
      </c>
      <c r="D41" s="100">
        <v>1.64</v>
      </c>
      <c r="E41" s="100">
        <v>0</v>
      </c>
    </row>
    <row r="42" spans="1:5" x14ac:dyDescent="0.25">
      <c r="A42" s="99">
        <v>50</v>
      </c>
      <c r="B42" s="100">
        <v>23.63</v>
      </c>
      <c r="C42" s="100">
        <v>0.93</v>
      </c>
      <c r="D42" s="100">
        <v>1.65</v>
      </c>
      <c r="E42" s="100">
        <v>0</v>
      </c>
    </row>
    <row r="43" spans="1:5" x14ac:dyDescent="0.25">
      <c r="A43" s="99">
        <v>51</v>
      </c>
      <c r="B43" s="100">
        <v>24.02</v>
      </c>
      <c r="C43" s="100">
        <v>0.94</v>
      </c>
      <c r="D43" s="100">
        <v>1.66</v>
      </c>
      <c r="E43" s="100">
        <v>0</v>
      </c>
    </row>
    <row r="44" spans="1:5" x14ac:dyDescent="0.25">
      <c r="A44" s="99">
        <v>52</v>
      </c>
      <c r="B44" s="100">
        <v>24.41</v>
      </c>
      <c r="C44" s="100">
        <v>0.96</v>
      </c>
      <c r="D44" s="100">
        <v>1.67</v>
      </c>
      <c r="E44" s="100">
        <v>0</v>
      </c>
    </row>
    <row r="45" spans="1:5" x14ac:dyDescent="0.25">
      <c r="A45" s="99">
        <v>53</v>
      </c>
      <c r="B45" s="100">
        <v>24.81</v>
      </c>
      <c r="C45" s="100">
        <v>0.98</v>
      </c>
      <c r="D45" s="100">
        <v>1.68</v>
      </c>
      <c r="E45" s="100">
        <v>0</v>
      </c>
    </row>
    <row r="46" spans="1:5" x14ac:dyDescent="0.25">
      <c r="A46" s="99">
        <v>54</v>
      </c>
      <c r="B46" s="100">
        <v>25.23</v>
      </c>
      <c r="C46" s="100">
        <v>0.99</v>
      </c>
      <c r="D46" s="100">
        <v>1.69</v>
      </c>
      <c r="E46" s="100">
        <v>0</v>
      </c>
    </row>
    <row r="47" spans="1:5" x14ac:dyDescent="0.25">
      <c r="A47"/>
      <c r="B47"/>
    </row>
    <row r="48" spans="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km0MeF5Mh8AotxC9Ly26YOgxynekQ7OE/qklfi6G+0R1wkXWqj5aQF3hdtfhSOGHUbY1+Md7961+e+Jl6m1n9g==" saltValue="lmuqiOZTe8M/yxvMq9fXDw==" spinCount="100000" sheet="1" objects="1" scenarios="1"/>
  <conditionalFormatting sqref="A6:A21">
    <cfRule type="expression" dxfId="1021" priority="15" stopIfTrue="1">
      <formula>MOD(ROW(),2)=0</formula>
    </cfRule>
    <cfRule type="expression" dxfId="1020" priority="16" stopIfTrue="1">
      <formula>MOD(ROW(),2)&lt;&gt;0</formula>
    </cfRule>
  </conditionalFormatting>
  <conditionalFormatting sqref="A26:A46">
    <cfRule type="expression" dxfId="1019" priority="5" stopIfTrue="1">
      <formula>MOD(ROW(),2)=0</formula>
    </cfRule>
    <cfRule type="expression" dxfId="1018" priority="6" stopIfTrue="1">
      <formula>MOD(ROW(),2)&lt;&gt;0</formula>
    </cfRule>
  </conditionalFormatting>
  <conditionalFormatting sqref="B18:B19">
    <cfRule type="expression" dxfId="1017" priority="9" stopIfTrue="1">
      <formula>MOD(ROW(),2)=0</formula>
    </cfRule>
    <cfRule type="expression" dxfId="1016" priority="10" stopIfTrue="1">
      <formula>MOD(ROW(),2)&lt;&gt;0</formula>
    </cfRule>
  </conditionalFormatting>
  <conditionalFormatting sqref="B6:E21 B26:E46">
    <cfRule type="expression" dxfId="1015" priority="23" stopIfTrue="1">
      <formula>MOD(ROW(),2)=0</formula>
    </cfRule>
    <cfRule type="expression" dxfId="1014" priority="24" stopIfTrue="1">
      <formula>MOD(ROW(),2)&lt;&gt;0</formula>
    </cfRule>
  </conditionalFormatting>
  <conditionalFormatting sqref="C17:E18">
    <cfRule type="expression" dxfId="1013" priority="1" stopIfTrue="1">
      <formula>MOD(ROW(),2)=0</formula>
    </cfRule>
    <cfRule type="expression" dxfId="1012" priority="2" stopIfTrue="1">
      <formula>MOD(ROW(),2)&lt;&gt;0</formula>
    </cfRule>
  </conditionalFormatting>
  <hyperlinks>
    <hyperlink ref="B24" location="Assumptions!A1" display="Assumptions" xr:uid="{C6A8F598-5EAA-481B-9A79-C2BD78E6FE1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dimension ref="A1:H67"/>
  <sheetViews>
    <sheetView showGridLines="0" zoomScale="85" zoomScaleNormal="85" workbookViewId="0">
      <selection activeCell="A4" sqref="A4"/>
    </sheetView>
  </sheetViews>
  <sheetFormatPr defaultColWidth="10" defaultRowHeight="12.5" x14ac:dyDescent="0.25"/>
  <cols>
    <col min="1" max="1" width="31.90625" style="25" customWidth="1"/>
    <col min="2" max="5" width="22.90625" style="25" customWidth="1"/>
    <col min="6" max="16384" width="10" style="25"/>
  </cols>
  <sheetData>
    <row r="1" spans="1:8" ht="20" x14ac:dyDescent="0.4">
      <c r="A1" s="36" t="s">
        <v>0</v>
      </c>
      <c r="B1" s="37"/>
      <c r="C1" s="37"/>
      <c r="D1" s="37"/>
      <c r="E1" s="37"/>
      <c r="F1" s="37"/>
      <c r="G1" s="37"/>
      <c r="H1" s="37"/>
    </row>
    <row r="2" spans="1:8" ht="15.5" x14ac:dyDescent="0.35">
      <c r="A2" s="38" t="str">
        <f>IF(title="&gt; Enter workbook title here","Enter workbook title in Cover sheet",title)</f>
        <v>NHSPS_NI - Consolidated Factor Spreadsheet</v>
      </c>
      <c r="B2" s="39"/>
      <c r="C2" s="39"/>
      <c r="D2" s="39"/>
      <c r="E2" s="39"/>
      <c r="F2" s="39"/>
      <c r="G2" s="39"/>
      <c r="H2" s="39"/>
    </row>
    <row r="3" spans="1:8" ht="15.5" x14ac:dyDescent="0.35">
      <c r="A3" s="40" t="str">
        <f>TABLE_FACTOR_TYPE_1&amp;" - x-"&amp;TABLE_SERIES_NUMBER_1</f>
        <v>CETV - x-207</v>
      </c>
      <c r="B3" s="39"/>
      <c r="C3" s="39"/>
      <c r="D3" s="39"/>
      <c r="E3" s="39"/>
      <c r="F3" s="39"/>
      <c r="G3" s="39"/>
      <c r="H3" s="39"/>
    </row>
    <row r="4" spans="1:8" x14ac:dyDescent="0.25">
      <c r="A4" s="41"/>
    </row>
    <row r="6" spans="1:8" ht="13" x14ac:dyDescent="0.3">
      <c r="A6" s="163" t="s">
        <v>276</v>
      </c>
      <c r="B6" s="107" t="s">
        <v>277</v>
      </c>
      <c r="C6" s="107"/>
      <c r="D6" s="107"/>
      <c r="E6" s="107"/>
    </row>
    <row r="7" spans="1:8" x14ac:dyDescent="0.25">
      <c r="A7" s="69" t="s">
        <v>278</v>
      </c>
      <c r="B7" s="107" t="s">
        <v>310</v>
      </c>
      <c r="C7" s="107"/>
      <c r="D7" s="107"/>
      <c r="E7" s="107"/>
    </row>
    <row r="8" spans="1:8" x14ac:dyDescent="0.25">
      <c r="A8" s="69" t="s">
        <v>280</v>
      </c>
      <c r="B8" s="107" t="s">
        <v>75</v>
      </c>
      <c r="C8" s="107"/>
      <c r="D8" s="107"/>
      <c r="E8" s="107"/>
    </row>
    <row r="9" spans="1:8" x14ac:dyDescent="0.25">
      <c r="A9" s="69" t="s">
        <v>282</v>
      </c>
      <c r="B9" s="107" t="s">
        <v>328</v>
      </c>
      <c r="C9" s="107"/>
      <c r="D9" s="107"/>
      <c r="E9" s="107"/>
    </row>
    <row r="10" spans="1:8" ht="12.65" customHeight="1" x14ac:dyDescent="0.25">
      <c r="A10" s="69" t="s">
        <v>6</v>
      </c>
      <c r="B10" s="107" t="s">
        <v>351</v>
      </c>
      <c r="C10" s="107"/>
      <c r="D10" s="107"/>
      <c r="E10" s="107"/>
    </row>
    <row r="11" spans="1:8" x14ac:dyDescent="0.25">
      <c r="A11" s="69" t="s">
        <v>285</v>
      </c>
      <c r="B11" s="107" t="s">
        <v>330</v>
      </c>
      <c r="C11" s="107"/>
      <c r="D11" s="107"/>
      <c r="E11" s="107"/>
    </row>
    <row r="12" spans="1:8" ht="12.65" customHeight="1" x14ac:dyDescent="0.25">
      <c r="A12" s="69" t="s">
        <v>287</v>
      </c>
      <c r="B12" s="107" t="s">
        <v>352</v>
      </c>
      <c r="C12" s="107"/>
      <c r="D12" s="107"/>
      <c r="E12" s="107"/>
    </row>
    <row r="13" spans="1:8" x14ac:dyDescent="0.25">
      <c r="A13" s="69" t="s">
        <v>289</v>
      </c>
      <c r="B13" s="107">
        <v>1</v>
      </c>
      <c r="C13" s="107"/>
      <c r="D13" s="107"/>
      <c r="E13" s="107"/>
    </row>
    <row r="14" spans="1:8" x14ac:dyDescent="0.25">
      <c r="A14" s="69" t="s">
        <v>291</v>
      </c>
      <c r="B14" s="107">
        <v>207</v>
      </c>
      <c r="C14" s="107"/>
      <c r="D14" s="107"/>
      <c r="E14" s="107"/>
    </row>
    <row r="15" spans="1:8" x14ac:dyDescent="0.25">
      <c r="A15" s="69" t="s">
        <v>293</v>
      </c>
      <c r="B15" s="107" t="s">
        <v>353</v>
      </c>
      <c r="C15" s="107"/>
      <c r="D15" s="107"/>
      <c r="E15" s="107"/>
    </row>
    <row r="16" spans="1:8" x14ac:dyDescent="0.25">
      <c r="A16" s="69" t="s">
        <v>295</v>
      </c>
      <c r="B16" s="107" t="s">
        <v>354</v>
      </c>
      <c r="C16" s="107"/>
      <c r="D16" s="107"/>
      <c r="E16" s="107"/>
    </row>
    <row r="17" spans="1:5" ht="12.65" customHeight="1" x14ac:dyDescent="0.25">
      <c r="A17" s="69" t="s">
        <v>725</v>
      </c>
      <c r="B17" s="107"/>
      <c r="C17" s="107"/>
      <c r="D17" s="107"/>
      <c r="E17" s="107"/>
    </row>
    <row r="18" spans="1:5" x14ac:dyDescent="0.25">
      <c r="A18" s="69" t="s">
        <v>299</v>
      </c>
      <c r="B18" s="164" t="s">
        <v>727</v>
      </c>
      <c r="C18" s="107"/>
      <c r="D18" s="107"/>
      <c r="E18" s="107"/>
    </row>
    <row r="19" spans="1:5" x14ac:dyDescent="0.25">
      <c r="A19" s="69" t="s">
        <v>301</v>
      </c>
      <c r="B19" s="164">
        <v>45014</v>
      </c>
      <c r="C19" s="107"/>
      <c r="D19" s="107"/>
      <c r="E19" s="107"/>
    </row>
    <row r="20" spans="1:5" x14ac:dyDescent="0.25">
      <c r="A20" s="69" t="s">
        <v>303</v>
      </c>
      <c r="B20" s="107" t="s">
        <v>317</v>
      </c>
      <c r="C20" s="107"/>
      <c r="D20" s="107"/>
      <c r="E20" s="107"/>
    </row>
    <row r="21" spans="1:5" x14ac:dyDescent="0.25">
      <c r="A21" s="69" t="s">
        <v>309</v>
      </c>
      <c r="B21" s="107" t="s">
        <v>318</v>
      </c>
      <c r="C21" s="107"/>
      <c r="D21" s="107"/>
      <c r="E21" s="107"/>
    </row>
    <row r="23" spans="1:5" x14ac:dyDescent="0.25">
      <c r="B23" s="103" t="str">
        <f>HYPERLINK("#'Factor List'!A1","Back to Factor List")</f>
        <v>Back to Factor List</v>
      </c>
    </row>
    <row r="24" spans="1:5" x14ac:dyDescent="0.25">
      <c r="B24" s="103" t="s">
        <v>15</v>
      </c>
    </row>
    <row r="26" spans="1:5" ht="26" x14ac:dyDescent="0.25">
      <c r="A26" s="98" t="s">
        <v>408</v>
      </c>
      <c r="B26" s="98" t="s">
        <v>728</v>
      </c>
      <c r="C26" s="98" t="s">
        <v>737</v>
      </c>
      <c r="D26" s="98" t="s">
        <v>738</v>
      </c>
      <c r="E26" s="98" t="s">
        <v>739</v>
      </c>
    </row>
    <row r="27" spans="1:5" x14ac:dyDescent="0.25">
      <c r="A27" s="99">
        <v>19</v>
      </c>
      <c r="B27" s="100">
        <v>5</v>
      </c>
      <c r="C27" s="100">
        <v>0</v>
      </c>
      <c r="D27" s="100">
        <v>0.6</v>
      </c>
      <c r="E27" s="100">
        <v>4</v>
      </c>
    </row>
    <row r="28" spans="1:5" x14ac:dyDescent="0.25">
      <c r="A28" s="99">
        <v>20</v>
      </c>
      <c r="B28" s="100">
        <v>5.05</v>
      </c>
      <c r="C28" s="100">
        <v>0</v>
      </c>
      <c r="D28" s="100">
        <v>0.6</v>
      </c>
      <c r="E28" s="100">
        <v>4</v>
      </c>
    </row>
    <row r="29" spans="1:5" x14ac:dyDescent="0.25">
      <c r="A29" s="99">
        <v>21</v>
      </c>
      <c r="B29" s="100">
        <v>5.0999999999999996</v>
      </c>
      <c r="C29" s="100">
        <v>0</v>
      </c>
      <c r="D29" s="100">
        <v>0.61</v>
      </c>
      <c r="E29" s="100">
        <v>4</v>
      </c>
    </row>
    <row r="30" spans="1:5" x14ac:dyDescent="0.25">
      <c r="A30" s="99">
        <v>22</v>
      </c>
      <c r="B30" s="100">
        <v>5.15</v>
      </c>
      <c r="C30" s="100">
        <v>0</v>
      </c>
      <c r="D30" s="100">
        <v>0.61</v>
      </c>
      <c r="E30" s="100">
        <v>4</v>
      </c>
    </row>
    <row r="31" spans="1:5" x14ac:dyDescent="0.25">
      <c r="A31" s="99">
        <v>23</v>
      </c>
      <c r="B31" s="100">
        <v>5.2</v>
      </c>
      <c r="C31" s="100">
        <v>0</v>
      </c>
      <c r="D31" s="100">
        <v>0.61</v>
      </c>
      <c r="E31" s="100">
        <v>4</v>
      </c>
    </row>
    <row r="32" spans="1:5" x14ac:dyDescent="0.25">
      <c r="A32" s="99">
        <v>24</v>
      </c>
      <c r="B32" s="100">
        <v>5.25</v>
      </c>
      <c r="C32" s="100">
        <v>0</v>
      </c>
      <c r="D32" s="100">
        <v>0.62</v>
      </c>
      <c r="E32" s="100">
        <v>4</v>
      </c>
    </row>
    <row r="33" spans="1:5" x14ac:dyDescent="0.25">
      <c r="A33" s="99">
        <v>25</v>
      </c>
      <c r="B33" s="100">
        <v>5.3</v>
      </c>
      <c r="C33" s="100">
        <v>0</v>
      </c>
      <c r="D33" s="100">
        <v>0.62</v>
      </c>
      <c r="E33" s="100">
        <v>4</v>
      </c>
    </row>
    <row r="34" spans="1:5" x14ac:dyDescent="0.25">
      <c r="A34" s="99">
        <v>26</v>
      </c>
      <c r="B34" s="100">
        <v>5.35</v>
      </c>
      <c r="C34" s="100">
        <v>0</v>
      </c>
      <c r="D34" s="100">
        <v>0.63</v>
      </c>
      <c r="E34" s="100">
        <v>4</v>
      </c>
    </row>
    <row r="35" spans="1:5" x14ac:dyDescent="0.25">
      <c r="A35" s="99">
        <v>27</v>
      </c>
      <c r="B35" s="100">
        <v>5.4</v>
      </c>
      <c r="C35" s="100">
        <v>0</v>
      </c>
      <c r="D35" s="100">
        <v>0.63</v>
      </c>
      <c r="E35" s="100">
        <v>4</v>
      </c>
    </row>
    <row r="36" spans="1:5" x14ac:dyDescent="0.25">
      <c r="A36" s="99">
        <v>28</v>
      </c>
      <c r="B36" s="100">
        <v>5.45</v>
      </c>
      <c r="C36" s="100">
        <v>0</v>
      </c>
      <c r="D36" s="100">
        <v>0.63</v>
      </c>
      <c r="E36" s="100">
        <v>4</v>
      </c>
    </row>
    <row r="37" spans="1:5" x14ac:dyDescent="0.25">
      <c r="A37" s="99">
        <v>29</v>
      </c>
      <c r="B37" s="100">
        <v>5.5</v>
      </c>
      <c r="C37" s="100">
        <v>0</v>
      </c>
      <c r="D37" s="100">
        <v>0.64</v>
      </c>
      <c r="E37" s="100">
        <v>4</v>
      </c>
    </row>
    <row r="38" spans="1:5" x14ac:dyDescent="0.25">
      <c r="A38" s="99">
        <v>30</v>
      </c>
      <c r="B38" s="100">
        <v>5.55</v>
      </c>
      <c r="C38" s="100">
        <v>0</v>
      </c>
      <c r="D38" s="100">
        <v>0.64</v>
      </c>
      <c r="E38" s="100">
        <v>4</v>
      </c>
    </row>
    <row r="39" spans="1:5" x14ac:dyDescent="0.25">
      <c r="A39" s="99">
        <v>31</v>
      </c>
      <c r="B39" s="100">
        <v>5.6</v>
      </c>
      <c r="C39" s="100">
        <v>0</v>
      </c>
      <c r="D39" s="100">
        <v>0.65</v>
      </c>
      <c r="E39" s="100">
        <v>4</v>
      </c>
    </row>
    <row r="40" spans="1:5" x14ac:dyDescent="0.25">
      <c r="A40" s="99">
        <v>32</v>
      </c>
      <c r="B40" s="100">
        <v>5.65</v>
      </c>
      <c r="C40" s="100">
        <v>0</v>
      </c>
      <c r="D40" s="100">
        <v>0.66</v>
      </c>
      <c r="E40" s="100">
        <v>4</v>
      </c>
    </row>
    <row r="41" spans="1:5" x14ac:dyDescent="0.25">
      <c r="A41" s="99">
        <v>33</v>
      </c>
      <c r="B41" s="100">
        <v>5.7</v>
      </c>
      <c r="C41" s="100">
        <v>0</v>
      </c>
      <c r="D41" s="100">
        <v>0.66</v>
      </c>
      <c r="E41" s="100">
        <v>4</v>
      </c>
    </row>
    <row r="42" spans="1:5" x14ac:dyDescent="0.25">
      <c r="A42" s="99">
        <v>34</v>
      </c>
      <c r="B42" s="100">
        <v>5.75</v>
      </c>
      <c r="C42" s="100">
        <v>0</v>
      </c>
      <c r="D42" s="100">
        <v>0.67</v>
      </c>
      <c r="E42" s="100">
        <v>4</v>
      </c>
    </row>
    <row r="43" spans="1:5" x14ac:dyDescent="0.25">
      <c r="A43" s="99">
        <v>35</v>
      </c>
      <c r="B43" s="100">
        <v>5.8</v>
      </c>
      <c r="C43" s="100">
        <v>0</v>
      </c>
      <c r="D43" s="100">
        <v>0.67</v>
      </c>
      <c r="E43" s="100">
        <v>4</v>
      </c>
    </row>
    <row r="44" spans="1:5" x14ac:dyDescent="0.25">
      <c r="A44" s="99">
        <v>36</v>
      </c>
      <c r="B44" s="100">
        <v>5.85</v>
      </c>
      <c r="C44" s="100">
        <v>0</v>
      </c>
      <c r="D44" s="100">
        <v>0.68</v>
      </c>
      <c r="E44" s="100">
        <v>4</v>
      </c>
    </row>
    <row r="45" spans="1:5" x14ac:dyDescent="0.25">
      <c r="A45" s="99">
        <v>37</v>
      </c>
      <c r="B45" s="100">
        <v>5.9</v>
      </c>
      <c r="C45" s="100">
        <v>0</v>
      </c>
      <c r="D45" s="100">
        <v>0.68</v>
      </c>
      <c r="E45" s="100">
        <v>4</v>
      </c>
    </row>
    <row r="46" spans="1:5" x14ac:dyDescent="0.25">
      <c r="A46" s="99">
        <v>38</v>
      </c>
      <c r="B46" s="100">
        <v>5.95</v>
      </c>
      <c r="C46" s="100">
        <v>0</v>
      </c>
      <c r="D46" s="100">
        <v>0.68</v>
      </c>
      <c r="E46" s="100">
        <v>4</v>
      </c>
    </row>
    <row r="47" spans="1:5" x14ac:dyDescent="0.25">
      <c r="A47" s="99">
        <v>39</v>
      </c>
      <c r="B47" s="100">
        <v>6</v>
      </c>
      <c r="C47" s="100">
        <v>0</v>
      </c>
      <c r="D47" s="100">
        <v>0.69</v>
      </c>
      <c r="E47" s="100">
        <v>4</v>
      </c>
    </row>
    <row r="48" spans="1:5" x14ac:dyDescent="0.25">
      <c r="A48" s="99">
        <v>40</v>
      </c>
      <c r="B48" s="100">
        <v>6.05</v>
      </c>
      <c r="C48" s="100">
        <v>0</v>
      </c>
      <c r="D48" s="100">
        <v>0.69</v>
      </c>
      <c r="E48" s="100">
        <v>4</v>
      </c>
    </row>
    <row r="49" spans="1:5" x14ac:dyDescent="0.25">
      <c r="A49" s="99">
        <v>41</v>
      </c>
      <c r="B49" s="100">
        <v>6.1</v>
      </c>
      <c r="C49" s="100">
        <v>0</v>
      </c>
      <c r="D49" s="100">
        <v>0.7</v>
      </c>
      <c r="E49" s="100">
        <v>4</v>
      </c>
    </row>
    <row r="50" spans="1:5" x14ac:dyDescent="0.25">
      <c r="A50" s="99">
        <v>42</v>
      </c>
      <c r="B50" s="100">
        <v>6.15</v>
      </c>
      <c r="C50" s="100">
        <v>0</v>
      </c>
      <c r="D50" s="100">
        <v>0.7</v>
      </c>
      <c r="E50" s="100">
        <v>4</v>
      </c>
    </row>
    <row r="51" spans="1:5" x14ac:dyDescent="0.25">
      <c r="A51" s="99">
        <v>43</v>
      </c>
      <c r="B51" s="100">
        <v>6.2</v>
      </c>
      <c r="C51" s="100">
        <v>0</v>
      </c>
      <c r="D51" s="100">
        <v>0.71</v>
      </c>
      <c r="E51" s="100">
        <v>4</v>
      </c>
    </row>
    <row r="52" spans="1:5" x14ac:dyDescent="0.25">
      <c r="A52" s="99">
        <v>44</v>
      </c>
      <c r="B52" s="100">
        <v>6.25</v>
      </c>
      <c r="C52" s="100">
        <v>0</v>
      </c>
      <c r="D52" s="100">
        <v>0.72</v>
      </c>
      <c r="E52" s="100">
        <v>4</v>
      </c>
    </row>
    <row r="53" spans="1:5" x14ac:dyDescent="0.25">
      <c r="A53" s="99">
        <v>45</v>
      </c>
      <c r="B53" s="100">
        <v>6.3</v>
      </c>
      <c r="C53" s="100">
        <v>0</v>
      </c>
      <c r="D53" s="100">
        <v>0.72</v>
      </c>
      <c r="E53" s="100">
        <v>4</v>
      </c>
    </row>
    <row r="54" spans="1:5" x14ac:dyDescent="0.25">
      <c r="A54" s="99">
        <v>46</v>
      </c>
      <c r="B54" s="100">
        <v>6.4</v>
      </c>
      <c r="C54" s="100">
        <v>0</v>
      </c>
      <c r="D54" s="100">
        <v>0.73</v>
      </c>
      <c r="E54" s="100">
        <v>4</v>
      </c>
    </row>
    <row r="55" spans="1:5" x14ac:dyDescent="0.25">
      <c r="A55" s="99">
        <v>47</v>
      </c>
      <c r="B55" s="100">
        <v>6.5</v>
      </c>
      <c r="C55" s="100">
        <v>0</v>
      </c>
      <c r="D55" s="100">
        <v>0.74</v>
      </c>
      <c r="E55" s="100">
        <v>4</v>
      </c>
    </row>
    <row r="56" spans="1:5" x14ac:dyDescent="0.25">
      <c r="A56" s="99">
        <v>48</v>
      </c>
      <c r="B56" s="100">
        <v>6.6</v>
      </c>
      <c r="C56" s="100">
        <v>0</v>
      </c>
      <c r="D56" s="100">
        <v>0.74</v>
      </c>
      <c r="E56" s="100">
        <v>4</v>
      </c>
    </row>
    <row r="57" spans="1:5" x14ac:dyDescent="0.25">
      <c r="A57" s="99">
        <v>49</v>
      </c>
      <c r="B57" s="100">
        <v>6.7</v>
      </c>
      <c r="C57" s="100">
        <v>0</v>
      </c>
      <c r="D57" s="100">
        <v>0.75</v>
      </c>
      <c r="E57" s="100">
        <v>4</v>
      </c>
    </row>
    <row r="58" spans="1:5" x14ac:dyDescent="0.25">
      <c r="A58" s="99">
        <v>50</v>
      </c>
      <c r="B58" s="100">
        <v>6.8</v>
      </c>
      <c r="C58" s="100">
        <v>0</v>
      </c>
      <c r="D58" s="100">
        <v>0.75</v>
      </c>
      <c r="E58" s="100">
        <v>4</v>
      </c>
    </row>
    <row r="59" spans="1:5" x14ac:dyDescent="0.25">
      <c r="A59" s="99">
        <v>51</v>
      </c>
      <c r="B59" s="100">
        <v>6.9</v>
      </c>
      <c r="C59" s="100">
        <v>0</v>
      </c>
      <c r="D59" s="100">
        <v>0.76</v>
      </c>
      <c r="E59" s="100">
        <v>4</v>
      </c>
    </row>
    <row r="60" spans="1:5" x14ac:dyDescent="0.25">
      <c r="A60" s="99">
        <v>52</v>
      </c>
      <c r="B60" s="100">
        <v>7.1</v>
      </c>
      <c r="C60" s="100">
        <v>0</v>
      </c>
      <c r="D60" s="100">
        <v>0.76</v>
      </c>
      <c r="E60" s="100">
        <v>4</v>
      </c>
    </row>
    <row r="61" spans="1:5" x14ac:dyDescent="0.25">
      <c r="A61" s="99">
        <v>53</v>
      </c>
      <c r="B61" s="100">
        <v>7.3</v>
      </c>
      <c r="C61" s="100">
        <v>0</v>
      </c>
      <c r="D61" s="100">
        <v>0.77</v>
      </c>
      <c r="E61" s="100">
        <v>4</v>
      </c>
    </row>
    <row r="62" spans="1:5" x14ac:dyDescent="0.25">
      <c r="A62" s="99">
        <v>54</v>
      </c>
      <c r="B62" s="100">
        <v>7.5</v>
      </c>
      <c r="C62" s="100">
        <v>0</v>
      </c>
      <c r="D62" s="100">
        <v>0.78</v>
      </c>
      <c r="E62" s="100">
        <v>4</v>
      </c>
    </row>
    <row r="63" spans="1:5" x14ac:dyDescent="0.25">
      <c r="A63" s="99">
        <v>55</v>
      </c>
      <c r="B63" s="100">
        <v>7.7</v>
      </c>
      <c r="C63" s="100">
        <v>0</v>
      </c>
      <c r="D63" s="100">
        <v>0.79</v>
      </c>
      <c r="E63" s="100">
        <v>4</v>
      </c>
    </row>
    <row r="64" spans="1:5" x14ac:dyDescent="0.25">
      <c r="A64" s="99">
        <v>56</v>
      </c>
      <c r="B64" s="100">
        <v>8</v>
      </c>
      <c r="C64" s="100">
        <v>0</v>
      </c>
      <c r="D64" s="100">
        <v>0.8</v>
      </c>
      <c r="E64" s="100">
        <v>4</v>
      </c>
    </row>
    <row r="65" spans="1:5" x14ac:dyDescent="0.25">
      <c r="A65" s="99">
        <v>57</v>
      </c>
      <c r="B65" s="100">
        <v>8.3000000000000007</v>
      </c>
      <c r="C65" s="100">
        <v>0</v>
      </c>
      <c r="D65" s="100">
        <v>0.81</v>
      </c>
      <c r="E65" s="100">
        <v>4</v>
      </c>
    </row>
    <row r="66" spans="1:5" x14ac:dyDescent="0.25">
      <c r="A66" s="99">
        <v>58</v>
      </c>
      <c r="B66" s="100">
        <v>8.6</v>
      </c>
      <c r="C66" s="100">
        <v>0</v>
      </c>
      <c r="D66" s="100">
        <v>0.82</v>
      </c>
      <c r="E66" s="100">
        <v>4</v>
      </c>
    </row>
    <row r="67" spans="1:5" x14ac:dyDescent="0.25">
      <c r="A67" s="99">
        <v>59</v>
      </c>
      <c r="B67" s="100">
        <v>9</v>
      </c>
      <c r="C67" s="100">
        <v>0</v>
      </c>
      <c r="D67" s="100">
        <v>0.84</v>
      </c>
      <c r="E67" s="100">
        <v>4</v>
      </c>
    </row>
  </sheetData>
  <sheetProtection algorithmName="SHA-512" hashValue="3mAZUTj4EVJHj8Va9ZP3crcGInNw/OyFGK1hJjOYf8nKRVN33diQH4Igs3gij7EZWsydPY2N+DXBK2ABj7cnpA==" saltValue="xrKo7NewB6bBrANHdNstIA==" spinCount="100000" sheet="1" objects="1" scenarios="1"/>
  <conditionalFormatting sqref="A6:A21">
    <cfRule type="expression" dxfId="1011" priority="15" stopIfTrue="1">
      <formula>MOD(ROW(),2)=0</formula>
    </cfRule>
    <cfRule type="expression" dxfId="1010" priority="16" stopIfTrue="1">
      <formula>MOD(ROW(),2)&lt;&gt;0</formula>
    </cfRule>
  </conditionalFormatting>
  <conditionalFormatting sqref="A26:A67">
    <cfRule type="expression" dxfId="1009" priority="5" stopIfTrue="1">
      <formula>MOD(ROW(),2)=0</formula>
    </cfRule>
    <cfRule type="expression" dxfId="1008" priority="6" stopIfTrue="1">
      <formula>MOD(ROW(),2)&lt;&gt;0</formula>
    </cfRule>
  </conditionalFormatting>
  <conditionalFormatting sqref="B6:E21">
    <cfRule type="expression" dxfId="1007" priority="23" stopIfTrue="1">
      <formula>MOD(ROW(),2)=0</formula>
    </cfRule>
    <cfRule type="expression" dxfId="1006" priority="24" stopIfTrue="1">
      <formula>MOD(ROW(),2)&lt;&gt;0</formula>
    </cfRule>
  </conditionalFormatting>
  <conditionalFormatting sqref="B17:E21">
    <cfRule type="expression" dxfId="1005" priority="1" stopIfTrue="1">
      <formula>MOD(ROW(),2)=0</formula>
    </cfRule>
    <cfRule type="expression" dxfId="1004" priority="2" stopIfTrue="1">
      <formula>MOD(ROW(),2)&lt;&gt;0</formula>
    </cfRule>
  </conditionalFormatting>
  <conditionalFormatting sqref="B26:E67">
    <cfRule type="expression" dxfId="1003" priority="7" stopIfTrue="1">
      <formula>MOD(ROW(),2)=0</formula>
    </cfRule>
    <cfRule type="expression" dxfId="1002" priority="8" stopIfTrue="1">
      <formula>MOD(ROW(),2)&lt;&gt;0</formula>
    </cfRule>
  </conditionalFormatting>
  <hyperlinks>
    <hyperlink ref="B24" location="Assumptions!A1" display="Assumptions" xr:uid="{557ED0B5-2644-4CF7-9B27-627D65E5A30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zoomScale="85" zoomScaleNormal="85" workbookViewId="0">
      <selection activeCell="B9" sqref="B9"/>
    </sheetView>
  </sheetViews>
  <sheetFormatPr defaultRowHeight="12.5" x14ac:dyDescent="0.25"/>
  <sheetData>
    <row r="1" spans="1:13" ht="20" x14ac:dyDescent="0.4">
      <c r="A1" s="3" t="s">
        <v>0</v>
      </c>
      <c r="B1" s="3"/>
      <c r="C1" s="3"/>
      <c r="D1" s="3"/>
      <c r="E1" s="3"/>
      <c r="F1" s="3"/>
      <c r="G1" s="3"/>
      <c r="H1" s="3"/>
      <c r="I1" s="3"/>
      <c r="J1" s="3"/>
      <c r="K1" s="3"/>
      <c r="L1" s="3"/>
    </row>
    <row r="2" spans="1:13" ht="15.5" x14ac:dyDescent="0.35">
      <c r="A2" s="4" t="str">
        <f>IF(title="&gt; Enter workbook title here","Enter workbook title in Cover sheet",title)</f>
        <v>NHSPS_NI - Consolidated Factor Spreadsheet</v>
      </c>
      <c r="B2" s="4"/>
      <c r="C2" s="4"/>
      <c r="D2" s="4"/>
      <c r="E2" s="4"/>
      <c r="F2" s="4"/>
      <c r="G2" s="4"/>
      <c r="H2" s="4"/>
      <c r="I2" s="4"/>
      <c r="J2" s="4"/>
      <c r="K2" s="4"/>
      <c r="L2" s="4"/>
    </row>
    <row r="3" spans="1:13" ht="15.5" x14ac:dyDescent="0.35">
      <c r="A3" s="5" t="s">
        <v>33</v>
      </c>
      <c r="B3" s="5"/>
      <c r="C3" s="5"/>
      <c r="D3" s="5"/>
      <c r="E3" s="5"/>
      <c r="F3" s="5"/>
      <c r="G3" s="5"/>
      <c r="H3" s="5"/>
      <c r="I3" s="5"/>
      <c r="J3" s="5"/>
      <c r="K3" s="5"/>
      <c r="L3" s="5"/>
    </row>
    <row r="4" spans="1:13" x14ac:dyDescent="0.25">
      <c r="A4" s="6" t="str">
        <f ca="1">CELL("filename",A1)</f>
        <v>https://tris42.sharepoint.com/sites/gad_wrkgrp_actuarial/pspsactuarialwork/Central/Factors &amp; Guidance/2024 Guidance Review/4. Online portal/3. Import data/3. Factor tables/0_client_friendly/Ready to be uploaded/2025-03/[NHS NI Consolidated Factors 2025-02.xlsx]Purpose of spreadsheet</v>
      </c>
      <c r="B4" s="6"/>
    </row>
    <row r="5" spans="1:13" x14ac:dyDescent="0.25">
      <c r="E5" s="7"/>
      <c r="F5" s="7"/>
      <c r="G5" s="7"/>
    </row>
    <row r="7" spans="1:13" ht="13" x14ac:dyDescent="0.3">
      <c r="A7" s="170" t="s">
        <v>34</v>
      </c>
      <c r="B7" s="171"/>
      <c r="C7" s="171"/>
      <c r="D7" s="171"/>
      <c r="E7" s="171"/>
      <c r="F7" s="171"/>
      <c r="G7" s="171"/>
      <c r="H7" s="171"/>
      <c r="I7" s="171"/>
      <c r="J7" s="171"/>
      <c r="K7" s="171"/>
      <c r="L7" s="171"/>
      <c r="M7" s="172"/>
    </row>
    <row r="8" spans="1:13" x14ac:dyDescent="0.25">
      <c r="A8" s="26"/>
      <c r="M8" s="17"/>
    </row>
    <row r="9" spans="1:13" x14ac:dyDescent="0.25">
      <c r="A9" s="173" t="s">
        <v>35</v>
      </c>
      <c r="B9" s="174"/>
      <c r="C9" s="174"/>
      <c r="D9" s="174"/>
      <c r="E9" s="174"/>
      <c r="F9" s="174"/>
      <c r="G9" s="174"/>
      <c r="H9" s="174"/>
      <c r="I9" s="174"/>
      <c r="J9" s="174"/>
      <c r="K9" s="174"/>
      <c r="L9" s="174"/>
      <c r="M9" s="175"/>
    </row>
    <row r="10" spans="1:13" ht="22.5" customHeight="1" x14ac:dyDescent="0.25">
      <c r="A10" s="176"/>
      <c r="B10" s="174"/>
      <c r="C10" s="174"/>
      <c r="D10" s="174"/>
      <c r="E10" s="174"/>
      <c r="F10" s="174"/>
      <c r="G10" s="174"/>
      <c r="H10" s="174"/>
      <c r="I10" s="174"/>
      <c r="J10" s="174"/>
      <c r="K10" s="174"/>
      <c r="L10" s="174"/>
      <c r="M10" s="175"/>
    </row>
    <row r="11" spans="1:13" ht="31.5" customHeight="1" x14ac:dyDescent="0.25">
      <c r="A11" s="176"/>
      <c r="B11" s="174"/>
      <c r="C11" s="174"/>
      <c r="D11" s="174"/>
      <c r="E11" s="174"/>
      <c r="F11" s="174"/>
      <c r="G11" s="174"/>
      <c r="H11" s="174"/>
      <c r="I11" s="174"/>
      <c r="J11" s="174"/>
      <c r="K11" s="174"/>
      <c r="L11" s="174"/>
      <c r="M11" s="175"/>
    </row>
    <row r="12" spans="1:13" ht="150" customHeight="1" x14ac:dyDescent="0.25">
      <c r="A12" s="177"/>
      <c r="B12" s="178"/>
      <c r="C12" s="178"/>
      <c r="D12" s="178"/>
      <c r="E12" s="178"/>
      <c r="F12" s="178"/>
      <c r="G12" s="178"/>
      <c r="H12" s="178"/>
      <c r="I12" s="178"/>
      <c r="J12" s="178"/>
      <c r="K12" s="178"/>
      <c r="L12" s="178"/>
      <c r="M12" s="179"/>
    </row>
  </sheetData>
  <sheetProtection algorithmName="SHA-512" hashValue="1DiqDfdABN+btz0J03kTcrV6ZenwspG9jsDGQxIVkj2UlZVy/qe1sozSc8iECaNVEeJaFB9yI+G+INsXojFOgQ==" saltValue="4wORotapY4/WjHdRLkxM2Q=="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dimension ref="A1:H67"/>
  <sheetViews>
    <sheetView showGridLines="0" zoomScale="85" zoomScaleNormal="85" workbookViewId="0">
      <selection activeCell="A4" sqref="A4"/>
    </sheetView>
  </sheetViews>
  <sheetFormatPr defaultColWidth="10" defaultRowHeight="12.5" x14ac:dyDescent="0.25"/>
  <cols>
    <col min="1" max="1" width="31.90625" style="25" customWidth="1"/>
    <col min="2" max="4" width="22.90625" style="25" customWidth="1"/>
    <col min="5" max="16384" width="10" style="25"/>
  </cols>
  <sheetData>
    <row r="1" spans="1:8" ht="20" x14ac:dyDescent="0.4">
      <c r="A1" s="36" t="s">
        <v>0</v>
      </c>
      <c r="B1" s="37"/>
      <c r="C1" s="37"/>
      <c r="D1" s="37"/>
      <c r="E1" s="37"/>
      <c r="F1" s="37"/>
      <c r="G1" s="37"/>
      <c r="H1" s="37"/>
    </row>
    <row r="2" spans="1:8" ht="15.5" x14ac:dyDescent="0.35">
      <c r="A2" s="38" t="str">
        <f>IF(title="&gt; Enter workbook title here","Enter workbook title in Cover sheet",title)</f>
        <v>NHSPS_NI - Consolidated Factor Spreadsheet</v>
      </c>
      <c r="B2" s="39"/>
      <c r="C2" s="39"/>
      <c r="D2" s="39"/>
      <c r="E2" s="39"/>
      <c r="F2" s="39"/>
      <c r="G2" s="39"/>
      <c r="H2" s="39"/>
    </row>
    <row r="3" spans="1:8" ht="15.5" x14ac:dyDescent="0.35">
      <c r="A3" s="40" t="str">
        <f>TABLE_FACTOR_TYPE_1&amp;" - x-"&amp;TABLE_SERIES_NUMBER_1</f>
        <v>CETV - x-208</v>
      </c>
      <c r="B3" s="39"/>
      <c r="C3" s="39"/>
      <c r="D3" s="39"/>
      <c r="E3" s="39"/>
      <c r="F3" s="39"/>
      <c r="G3" s="39"/>
      <c r="H3" s="39"/>
    </row>
    <row r="4" spans="1:8" x14ac:dyDescent="0.25">
      <c r="A4" s="41"/>
    </row>
    <row r="6" spans="1:8" ht="13" x14ac:dyDescent="0.3">
      <c r="A6" s="163" t="s">
        <v>276</v>
      </c>
      <c r="B6" s="107" t="s">
        <v>277</v>
      </c>
      <c r="C6" s="107"/>
      <c r="D6" s="107"/>
    </row>
    <row r="7" spans="1:8" x14ac:dyDescent="0.25">
      <c r="A7" s="69" t="s">
        <v>278</v>
      </c>
      <c r="B7" s="107" t="s">
        <v>310</v>
      </c>
      <c r="C7" s="107"/>
      <c r="D7" s="107"/>
    </row>
    <row r="8" spans="1:8" x14ac:dyDescent="0.25">
      <c r="A8" s="69" t="s">
        <v>280</v>
      </c>
      <c r="B8" s="107" t="s">
        <v>75</v>
      </c>
      <c r="C8" s="107"/>
      <c r="D8" s="107"/>
    </row>
    <row r="9" spans="1:8" x14ac:dyDescent="0.25">
      <c r="A9" s="69" t="s">
        <v>282</v>
      </c>
      <c r="B9" s="107" t="s">
        <v>328</v>
      </c>
      <c r="C9" s="107"/>
      <c r="D9" s="107"/>
    </row>
    <row r="10" spans="1:8" ht="12.65" customHeight="1" x14ac:dyDescent="0.25">
      <c r="A10" s="69" t="s">
        <v>6</v>
      </c>
      <c r="B10" s="107" t="s">
        <v>355</v>
      </c>
      <c r="C10" s="107"/>
      <c r="D10" s="107"/>
    </row>
    <row r="11" spans="1:8" x14ac:dyDescent="0.25">
      <c r="A11" s="69" t="s">
        <v>285</v>
      </c>
      <c r="B11" s="107" t="s">
        <v>334</v>
      </c>
      <c r="C11" s="107"/>
      <c r="D11" s="107"/>
    </row>
    <row r="12" spans="1:8" ht="12.65" customHeight="1" x14ac:dyDescent="0.25">
      <c r="A12" s="69" t="s">
        <v>287</v>
      </c>
      <c r="B12" s="107" t="s">
        <v>352</v>
      </c>
      <c r="C12" s="107"/>
      <c r="D12" s="107"/>
    </row>
    <row r="13" spans="1:8" x14ac:dyDescent="0.25">
      <c r="A13" s="69" t="s">
        <v>289</v>
      </c>
      <c r="B13" s="107">
        <v>1</v>
      </c>
      <c r="C13" s="107"/>
      <c r="D13" s="107"/>
    </row>
    <row r="14" spans="1:8" x14ac:dyDescent="0.25">
      <c r="A14" s="69" t="s">
        <v>291</v>
      </c>
      <c r="B14" s="107">
        <v>208</v>
      </c>
      <c r="C14" s="107"/>
      <c r="D14" s="107"/>
    </row>
    <row r="15" spans="1:8" x14ac:dyDescent="0.25">
      <c r="A15" s="69" t="s">
        <v>293</v>
      </c>
      <c r="B15" s="107" t="s">
        <v>356</v>
      </c>
      <c r="C15" s="107"/>
      <c r="D15" s="107"/>
    </row>
    <row r="16" spans="1:8" x14ac:dyDescent="0.25">
      <c r="A16" s="69" t="s">
        <v>295</v>
      </c>
      <c r="B16" s="107" t="s">
        <v>357</v>
      </c>
      <c r="C16" s="107"/>
      <c r="D16" s="107"/>
    </row>
    <row r="17" spans="1:4" ht="12.65" customHeight="1" x14ac:dyDescent="0.25">
      <c r="A17" s="69" t="s">
        <v>725</v>
      </c>
      <c r="B17" s="107"/>
      <c r="C17" s="107"/>
      <c r="D17" s="107"/>
    </row>
    <row r="18" spans="1:4" x14ac:dyDescent="0.25">
      <c r="A18" s="69" t="s">
        <v>299</v>
      </c>
      <c r="B18" s="164" t="s">
        <v>727</v>
      </c>
      <c r="C18" s="107"/>
      <c r="D18" s="107"/>
    </row>
    <row r="19" spans="1:4" x14ac:dyDescent="0.25">
      <c r="A19" s="69" t="s">
        <v>301</v>
      </c>
      <c r="B19" s="164">
        <v>45014</v>
      </c>
      <c r="C19" s="107"/>
      <c r="D19" s="107"/>
    </row>
    <row r="20" spans="1:4" x14ac:dyDescent="0.25">
      <c r="A20" s="69" t="s">
        <v>303</v>
      </c>
      <c r="B20" s="107" t="s">
        <v>317</v>
      </c>
      <c r="C20" s="107"/>
      <c r="D20" s="107"/>
    </row>
    <row r="21" spans="1:4" x14ac:dyDescent="0.25">
      <c r="A21" s="69" t="s">
        <v>309</v>
      </c>
      <c r="B21" s="107" t="s">
        <v>318</v>
      </c>
      <c r="C21" s="107"/>
      <c r="D21" s="107"/>
    </row>
    <row r="23" spans="1:4" x14ac:dyDescent="0.25">
      <c r="B23" s="103" t="str">
        <f>HYPERLINK("#'Factor List'!A1","Back to Factor List")</f>
        <v>Back to Factor List</v>
      </c>
    </row>
    <row r="24" spans="1:4" x14ac:dyDescent="0.25">
      <c r="B24" s="103" t="s">
        <v>15</v>
      </c>
    </row>
    <row r="26" spans="1:4" ht="26" x14ac:dyDescent="0.25">
      <c r="A26" s="98" t="s">
        <v>408</v>
      </c>
      <c r="B26" s="98" t="s">
        <v>728</v>
      </c>
      <c r="C26" s="98" t="s">
        <v>737</v>
      </c>
      <c r="D26" s="98" t="s">
        <v>738</v>
      </c>
    </row>
    <row r="27" spans="1:4" x14ac:dyDescent="0.25">
      <c r="A27" s="99">
        <v>19</v>
      </c>
      <c r="B27" s="100">
        <v>7</v>
      </c>
      <c r="C27" s="100">
        <v>0</v>
      </c>
      <c r="D27" s="100">
        <v>0.6</v>
      </c>
    </row>
    <row r="28" spans="1:4" x14ac:dyDescent="0.25">
      <c r="A28" s="99">
        <v>20</v>
      </c>
      <c r="B28" s="100">
        <v>7.05</v>
      </c>
      <c r="C28" s="100">
        <v>0</v>
      </c>
      <c r="D28" s="100">
        <v>0.6</v>
      </c>
    </row>
    <row r="29" spans="1:4" x14ac:dyDescent="0.25">
      <c r="A29" s="99">
        <v>21</v>
      </c>
      <c r="B29" s="100">
        <v>7.1</v>
      </c>
      <c r="C29" s="100">
        <v>0</v>
      </c>
      <c r="D29" s="100">
        <v>0.61</v>
      </c>
    </row>
    <row r="30" spans="1:4" x14ac:dyDescent="0.25">
      <c r="A30" s="99">
        <v>22</v>
      </c>
      <c r="B30" s="100">
        <v>7.15</v>
      </c>
      <c r="C30" s="100">
        <v>0</v>
      </c>
      <c r="D30" s="100">
        <v>0.61</v>
      </c>
    </row>
    <row r="31" spans="1:4" x14ac:dyDescent="0.25">
      <c r="A31" s="99">
        <v>23</v>
      </c>
      <c r="B31" s="100">
        <v>7.2</v>
      </c>
      <c r="C31" s="100">
        <v>0</v>
      </c>
      <c r="D31" s="100">
        <v>0.61</v>
      </c>
    </row>
    <row r="32" spans="1:4" x14ac:dyDescent="0.25">
      <c r="A32" s="99">
        <v>24</v>
      </c>
      <c r="B32" s="100">
        <v>7.25</v>
      </c>
      <c r="C32" s="100">
        <v>0</v>
      </c>
      <c r="D32" s="100">
        <v>0.62</v>
      </c>
    </row>
    <row r="33" spans="1:4" x14ac:dyDescent="0.25">
      <c r="A33" s="99">
        <v>25</v>
      </c>
      <c r="B33" s="100">
        <v>7.35</v>
      </c>
      <c r="C33" s="100">
        <v>0</v>
      </c>
      <c r="D33" s="100">
        <v>0.62</v>
      </c>
    </row>
    <row r="34" spans="1:4" x14ac:dyDescent="0.25">
      <c r="A34" s="99">
        <v>26</v>
      </c>
      <c r="B34" s="100">
        <v>7.4</v>
      </c>
      <c r="C34" s="100">
        <v>0</v>
      </c>
      <c r="D34" s="100">
        <v>0.63</v>
      </c>
    </row>
    <row r="35" spans="1:4" x14ac:dyDescent="0.25">
      <c r="A35" s="99">
        <v>27</v>
      </c>
      <c r="B35" s="100">
        <v>7.45</v>
      </c>
      <c r="C35" s="100">
        <v>0</v>
      </c>
      <c r="D35" s="100">
        <v>0.63</v>
      </c>
    </row>
    <row r="36" spans="1:4" x14ac:dyDescent="0.25">
      <c r="A36" s="99">
        <v>28</v>
      </c>
      <c r="B36" s="100">
        <v>7.5</v>
      </c>
      <c r="C36" s="100">
        <v>0</v>
      </c>
      <c r="D36" s="100">
        <v>0.63</v>
      </c>
    </row>
    <row r="37" spans="1:4" x14ac:dyDescent="0.25">
      <c r="A37" s="99">
        <v>29</v>
      </c>
      <c r="B37" s="100">
        <v>7.55</v>
      </c>
      <c r="C37" s="100">
        <v>0</v>
      </c>
      <c r="D37" s="100">
        <v>0.64</v>
      </c>
    </row>
    <row r="38" spans="1:4" x14ac:dyDescent="0.25">
      <c r="A38" s="99">
        <v>30</v>
      </c>
      <c r="B38" s="100">
        <v>7.65</v>
      </c>
      <c r="C38" s="100">
        <v>0</v>
      </c>
      <c r="D38" s="100">
        <v>0.64</v>
      </c>
    </row>
    <row r="39" spans="1:4" x14ac:dyDescent="0.25">
      <c r="A39" s="99">
        <v>31</v>
      </c>
      <c r="B39" s="100">
        <v>7.7</v>
      </c>
      <c r="C39" s="100">
        <v>0</v>
      </c>
      <c r="D39" s="100">
        <v>0.65</v>
      </c>
    </row>
    <row r="40" spans="1:4" x14ac:dyDescent="0.25">
      <c r="A40" s="99">
        <v>32</v>
      </c>
      <c r="B40" s="100">
        <v>7.8</v>
      </c>
      <c r="C40" s="100">
        <v>0</v>
      </c>
      <c r="D40" s="100">
        <v>0.66</v>
      </c>
    </row>
    <row r="41" spans="1:4" x14ac:dyDescent="0.25">
      <c r="A41" s="99">
        <v>33</v>
      </c>
      <c r="B41" s="100">
        <v>7.9</v>
      </c>
      <c r="C41" s="100">
        <v>0</v>
      </c>
      <c r="D41" s="100">
        <v>0.66</v>
      </c>
    </row>
    <row r="42" spans="1:4" x14ac:dyDescent="0.25">
      <c r="A42" s="99">
        <v>34</v>
      </c>
      <c r="B42" s="100">
        <v>7.95</v>
      </c>
      <c r="C42" s="100">
        <v>0</v>
      </c>
      <c r="D42" s="100">
        <v>0.67</v>
      </c>
    </row>
    <row r="43" spans="1:4" x14ac:dyDescent="0.25">
      <c r="A43" s="99">
        <v>35</v>
      </c>
      <c r="B43" s="100">
        <v>8.0500000000000007</v>
      </c>
      <c r="C43" s="100">
        <v>0</v>
      </c>
      <c r="D43" s="100">
        <v>0.67</v>
      </c>
    </row>
    <row r="44" spans="1:4" x14ac:dyDescent="0.25">
      <c r="A44" s="99">
        <v>36</v>
      </c>
      <c r="B44" s="100">
        <v>8.15</v>
      </c>
      <c r="C44" s="100">
        <v>0</v>
      </c>
      <c r="D44" s="100">
        <v>0.68</v>
      </c>
    </row>
    <row r="45" spans="1:4" x14ac:dyDescent="0.25">
      <c r="A45" s="99">
        <v>37</v>
      </c>
      <c r="B45" s="100">
        <v>8.25</v>
      </c>
      <c r="C45" s="100">
        <v>0</v>
      </c>
      <c r="D45" s="100">
        <v>0.68</v>
      </c>
    </row>
    <row r="46" spans="1:4" x14ac:dyDescent="0.25">
      <c r="A46" s="99">
        <v>38</v>
      </c>
      <c r="B46" s="100">
        <v>8.35</v>
      </c>
      <c r="C46" s="100">
        <v>0</v>
      </c>
      <c r="D46" s="100">
        <v>0.68</v>
      </c>
    </row>
    <row r="47" spans="1:4" x14ac:dyDescent="0.25">
      <c r="A47" s="99">
        <v>39</v>
      </c>
      <c r="B47" s="100">
        <v>8.4499999999999993</v>
      </c>
      <c r="C47" s="100">
        <v>0</v>
      </c>
      <c r="D47" s="100">
        <v>0.69</v>
      </c>
    </row>
    <row r="48" spans="1:4" x14ac:dyDescent="0.25">
      <c r="A48" s="99">
        <v>40</v>
      </c>
      <c r="B48" s="100">
        <v>8.5500000000000007</v>
      </c>
      <c r="C48" s="100">
        <v>0</v>
      </c>
      <c r="D48" s="100">
        <v>0.69</v>
      </c>
    </row>
    <row r="49" spans="1:4" x14ac:dyDescent="0.25">
      <c r="A49" s="99">
        <v>41</v>
      </c>
      <c r="B49" s="100">
        <v>8.65</v>
      </c>
      <c r="C49" s="100">
        <v>0</v>
      </c>
      <c r="D49" s="100">
        <v>0.7</v>
      </c>
    </row>
    <row r="50" spans="1:4" x14ac:dyDescent="0.25">
      <c r="A50" s="99">
        <v>42</v>
      </c>
      <c r="B50" s="100">
        <v>8.75</v>
      </c>
      <c r="C50" s="100">
        <v>0</v>
      </c>
      <c r="D50" s="100">
        <v>0.7</v>
      </c>
    </row>
    <row r="51" spans="1:4" x14ac:dyDescent="0.25">
      <c r="A51" s="99">
        <v>43</v>
      </c>
      <c r="B51" s="100">
        <v>8.85</v>
      </c>
      <c r="C51" s="100">
        <v>0</v>
      </c>
      <c r="D51" s="100">
        <v>0.71</v>
      </c>
    </row>
    <row r="52" spans="1:4" x14ac:dyDescent="0.25">
      <c r="A52" s="99">
        <v>44</v>
      </c>
      <c r="B52" s="100">
        <v>8.9499999999999993</v>
      </c>
      <c r="C52" s="100">
        <v>0</v>
      </c>
      <c r="D52" s="100">
        <v>0.72</v>
      </c>
    </row>
    <row r="53" spans="1:4" x14ac:dyDescent="0.25">
      <c r="A53" s="99">
        <v>45</v>
      </c>
      <c r="B53" s="100">
        <v>9.0500000000000007</v>
      </c>
      <c r="C53" s="100">
        <v>0</v>
      </c>
      <c r="D53" s="100">
        <v>0.73</v>
      </c>
    </row>
    <row r="54" spans="1:4" x14ac:dyDescent="0.25">
      <c r="A54" s="99">
        <v>46</v>
      </c>
      <c r="B54" s="100">
        <v>9.15</v>
      </c>
      <c r="C54" s="100">
        <v>0</v>
      </c>
      <c r="D54" s="100">
        <v>0.74</v>
      </c>
    </row>
    <row r="55" spans="1:4" x14ac:dyDescent="0.25">
      <c r="A55" s="99">
        <v>47</v>
      </c>
      <c r="B55" s="100">
        <v>9.25</v>
      </c>
      <c r="C55" s="100">
        <v>0</v>
      </c>
      <c r="D55" s="100">
        <v>0.75</v>
      </c>
    </row>
    <row r="56" spans="1:4" x14ac:dyDescent="0.25">
      <c r="A56" s="99">
        <v>48</v>
      </c>
      <c r="B56" s="100">
        <v>9.35</v>
      </c>
      <c r="C56" s="100">
        <v>0</v>
      </c>
      <c r="D56" s="100">
        <v>0.76</v>
      </c>
    </row>
    <row r="57" spans="1:4" x14ac:dyDescent="0.25">
      <c r="A57" s="99">
        <v>49</v>
      </c>
      <c r="B57" s="100">
        <v>9.4499999999999993</v>
      </c>
      <c r="C57" s="100">
        <v>0</v>
      </c>
      <c r="D57" s="100">
        <v>0.77</v>
      </c>
    </row>
    <row r="58" spans="1:4" x14ac:dyDescent="0.25">
      <c r="A58" s="99">
        <v>50</v>
      </c>
      <c r="B58" s="100">
        <v>9.5500000000000007</v>
      </c>
      <c r="C58" s="100">
        <v>0</v>
      </c>
      <c r="D58" s="100">
        <v>0.78</v>
      </c>
    </row>
    <row r="59" spans="1:4" x14ac:dyDescent="0.25">
      <c r="A59" s="99">
        <v>51</v>
      </c>
      <c r="B59" s="100">
        <v>9.65</v>
      </c>
      <c r="C59" s="100">
        <v>0</v>
      </c>
      <c r="D59" s="100">
        <v>0.79</v>
      </c>
    </row>
    <row r="60" spans="1:4" x14ac:dyDescent="0.25">
      <c r="A60" s="99">
        <v>52</v>
      </c>
      <c r="B60" s="100">
        <v>9.8000000000000007</v>
      </c>
      <c r="C60" s="100">
        <v>0</v>
      </c>
      <c r="D60" s="100">
        <v>0.8</v>
      </c>
    </row>
    <row r="61" spans="1:4" x14ac:dyDescent="0.25">
      <c r="A61" s="99">
        <v>53</v>
      </c>
      <c r="B61" s="100">
        <v>9.9499999999999993</v>
      </c>
      <c r="C61" s="100">
        <v>0</v>
      </c>
      <c r="D61" s="100">
        <v>0.81</v>
      </c>
    </row>
    <row r="62" spans="1:4" x14ac:dyDescent="0.25">
      <c r="A62" s="99">
        <v>54</v>
      </c>
      <c r="B62" s="100">
        <v>10.1</v>
      </c>
      <c r="C62" s="100">
        <v>0</v>
      </c>
      <c r="D62" s="100">
        <v>0.82</v>
      </c>
    </row>
    <row r="63" spans="1:4" x14ac:dyDescent="0.25">
      <c r="A63" s="99">
        <v>55</v>
      </c>
      <c r="B63" s="100">
        <v>10.3</v>
      </c>
      <c r="C63" s="100">
        <v>0</v>
      </c>
      <c r="D63" s="100">
        <v>0.83</v>
      </c>
    </row>
    <row r="64" spans="1:4" x14ac:dyDescent="0.25">
      <c r="A64" s="99">
        <v>56</v>
      </c>
      <c r="B64" s="100">
        <v>10.5</v>
      </c>
      <c r="C64" s="100">
        <v>0</v>
      </c>
      <c r="D64" s="100">
        <v>0.84</v>
      </c>
    </row>
    <row r="65" spans="1:4" x14ac:dyDescent="0.25">
      <c r="A65" s="99">
        <v>57</v>
      </c>
      <c r="B65" s="100">
        <v>10.75</v>
      </c>
      <c r="C65" s="100">
        <v>0</v>
      </c>
      <c r="D65" s="100">
        <v>0.85</v>
      </c>
    </row>
    <row r="66" spans="1:4" x14ac:dyDescent="0.25">
      <c r="A66" s="99">
        <v>58</v>
      </c>
      <c r="B66" s="100">
        <v>11.05</v>
      </c>
      <c r="C66" s="100">
        <v>0</v>
      </c>
      <c r="D66" s="100">
        <v>0.87</v>
      </c>
    </row>
    <row r="67" spans="1:4" x14ac:dyDescent="0.25">
      <c r="A67" s="99">
        <v>59</v>
      </c>
      <c r="B67" s="100">
        <v>11.4</v>
      </c>
      <c r="C67" s="100">
        <v>0</v>
      </c>
      <c r="D67" s="100">
        <v>0.89</v>
      </c>
    </row>
  </sheetData>
  <sheetProtection algorithmName="SHA-512" hashValue="DahjMXtOCSQX2RVEqiBa7D38twSmo2XIvg/d044mLQifwLjCWkmqx+1rFfS0VneyJEx9dqP18j/ScNBMOl5SMQ==" saltValue="m0npUrrMfp9g2PIhkQqTMw==" spinCount="100000" sheet="1" objects="1" scenarios="1"/>
  <conditionalFormatting sqref="A6:A21">
    <cfRule type="expression" dxfId="1001" priority="23" stopIfTrue="1">
      <formula>MOD(ROW(),2)=0</formula>
    </cfRule>
    <cfRule type="expression" dxfId="1000" priority="24" stopIfTrue="1">
      <formula>MOD(ROW(),2)&lt;&gt;0</formula>
    </cfRule>
  </conditionalFormatting>
  <conditionalFormatting sqref="A26:A67">
    <cfRule type="expression" dxfId="999" priority="13" stopIfTrue="1">
      <formula>MOD(ROW(),2)=0</formula>
    </cfRule>
    <cfRule type="expression" dxfId="998" priority="14" stopIfTrue="1">
      <formula>MOD(ROW(),2)&lt;&gt;0</formula>
    </cfRule>
  </conditionalFormatting>
  <conditionalFormatting sqref="B6:D21">
    <cfRule type="expression" dxfId="997" priority="31" stopIfTrue="1">
      <formula>MOD(ROW(),2)=0</formula>
    </cfRule>
    <cfRule type="expression" dxfId="996" priority="32" stopIfTrue="1">
      <formula>MOD(ROW(),2)&lt;&gt;0</formula>
    </cfRule>
  </conditionalFormatting>
  <conditionalFormatting sqref="B17:D21">
    <cfRule type="expression" dxfId="995" priority="1" stopIfTrue="1">
      <formula>MOD(ROW(),2)=0</formula>
    </cfRule>
    <cfRule type="expression" dxfId="994" priority="2" stopIfTrue="1">
      <formula>MOD(ROW(),2)&lt;&gt;0</formula>
    </cfRule>
  </conditionalFormatting>
  <conditionalFormatting sqref="B26:D67">
    <cfRule type="expression" dxfId="993" priority="3" stopIfTrue="1">
      <formula>MOD(ROW(),2)=0</formula>
    </cfRule>
    <cfRule type="expression" dxfId="992" priority="4" stopIfTrue="1">
      <formula>MOD(ROW(),2)&lt;&gt;0</formula>
    </cfRule>
  </conditionalFormatting>
  <hyperlinks>
    <hyperlink ref="B24" location="Assumptions!A1" display="Assumptions" xr:uid="{218B3362-9485-4D2E-8DF3-91DFABD4E7B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9"/>
  <dimension ref="A1:I125"/>
  <sheetViews>
    <sheetView showGridLines="0" zoomScale="85" zoomScaleNormal="85" workbookViewId="0">
      <selection activeCell="A4" sqref="A4"/>
    </sheetView>
  </sheetViews>
  <sheetFormatPr defaultColWidth="10" defaultRowHeight="12.5" x14ac:dyDescent="0.25"/>
  <cols>
    <col min="1" max="1" width="31.90625" style="25" customWidth="1"/>
    <col min="2" max="3" width="22.90625" style="25" customWidth="1"/>
    <col min="4" max="4" width="10" style="25" customWidth="1"/>
    <col min="5"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CETV - x-209</v>
      </c>
      <c r="B3" s="39"/>
      <c r="C3" s="39"/>
      <c r="D3" s="39"/>
      <c r="E3" s="39"/>
      <c r="F3" s="39"/>
      <c r="G3" s="39"/>
      <c r="H3" s="39"/>
      <c r="I3" s="39"/>
    </row>
    <row r="4" spans="1:9" x14ac:dyDescent="0.25">
      <c r="A4" s="41"/>
    </row>
    <row r="6" spans="1:9" ht="13" x14ac:dyDescent="0.3">
      <c r="A6" s="163" t="s">
        <v>276</v>
      </c>
      <c r="B6" s="107" t="s">
        <v>277</v>
      </c>
      <c r="C6" s="107"/>
    </row>
    <row r="7" spans="1:9" x14ac:dyDescent="0.25">
      <c r="A7" s="69" t="s">
        <v>278</v>
      </c>
      <c r="B7" s="107" t="s">
        <v>310</v>
      </c>
      <c r="C7" s="107"/>
    </row>
    <row r="8" spans="1:9" x14ac:dyDescent="0.25">
      <c r="A8" s="69" t="s">
        <v>280</v>
      </c>
      <c r="B8" s="107" t="s">
        <v>74</v>
      </c>
      <c r="C8" s="107"/>
    </row>
    <row r="9" spans="1:9" x14ac:dyDescent="0.25">
      <c r="A9" s="69" t="s">
        <v>282</v>
      </c>
      <c r="B9" s="107" t="s">
        <v>328</v>
      </c>
      <c r="C9" s="107"/>
    </row>
    <row r="10" spans="1:9" ht="12.65" customHeight="1" x14ac:dyDescent="0.25">
      <c r="A10" s="69" t="s">
        <v>6</v>
      </c>
      <c r="B10" s="107" t="s">
        <v>358</v>
      </c>
      <c r="C10" s="107"/>
    </row>
    <row r="11" spans="1:9" x14ac:dyDescent="0.25">
      <c r="A11" s="69" t="s">
        <v>285</v>
      </c>
      <c r="B11" s="107" t="s">
        <v>359</v>
      </c>
      <c r="C11" s="107"/>
    </row>
    <row r="12" spans="1:9" ht="12.65" customHeight="1" x14ac:dyDescent="0.25">
      <c r="A12" s="69" t="s">
        <v>287</v>
      </c>
      <c r="B12" s="107" t="s">
        <v>360</v>
      </c>
      <c r="C12" s="107"/>
    </row>
    <row r="13" spans="1:9" x14ac:dyDescent="0.25">
      <c r="A13" s="69" t="s">
        <v>289</v>
      </c>
      <c r="B13" s="107">
        <v>0</v>
      </c>
      <c r="C13" s="107"/>
    </row>
    <row r="14" spans="1:9" x14ac:dyDescent="0.25">
      <c r="A14" s="69" t="s">
        <v>291</v>
      </c>
      <c r="B14" s="107">
        <v>209</v>
      </c>
      <c r="C14" s="107"/>
    </row>
    <row r="15" spans="1:9" x14ac:dyDescent="0.25">
      <c r="A15" s="69" t="s">
        <v>293</v>
      </c>
      <c r="B15" s="107" t="s">
        <v>361</v>
      </c>
      <c r="C15" s="107"/>
    </row>
    <row r="16" spans="1:9" x14ac:dyDescent="0.25">
      <c r="A16" s="69" t="s">
        <v>295</v>
      </c>
      <c r="B16" s="107" t="s">
        <v>362</v>
      </c>
      <c r="C16" s="107"/>
    </row>
    <row r="17" spans="1:3" ht="12.65" customHeight="1" x14ac:dyDescent="0.25">
      <c r="A17" s="69" t="s">
        <v>725</v>
      </c>
      <c r="B17" s="107"/>
      <c r="C17" s="107"/>
    </row>
    <row r="18" spans="1:3" x14ac:dyDescent="0.25">
      <c r="A18" s="69" t="s">
        <v>299</v>
      </c>
      <c r="B18" s="164" t="s">
        <v>727</v>
      </c>
      <c r="C18" s="107"/>
    </row>
    <row r="19" spans="1:3" x14ac:dyDescent="0.25">
      <c r="A19" s="69" t="s">
        <v>301</v>
      </c>
      <c r="B19" s="164">
        <v>45014</v>
      </c>
      <c r="C19" s="107"/>
    </row>
    <row r="20" spans="1:3" x14ac:dyDescent="0.25">
      <c r="A20" s="69" t="s">
        <v>303</v>
      </c>
      <c r="B20" s="107" t="s">
        <v>317</v>
      </c>
      <c r="C20" s="107"/>
    </row>
    <row r="21" spans="1:3" x14ac:dyDescent="0.25">
      <c r="A21" s="69" t="s">
        <v>309</v>
      </c>
      <c r="B21" s="107" t="s">
        <v>318</v>
      </c>
      <c r="C21" s="107"/>
    </row>
    <row r="23" spans="1:3" x14ac:dyDescent="0.25">
      <c r="B23" s="103" t="str">
        <f>HYPERLINK("#'Factor List'!A1","Back to Factor List")</f>
        <v>Back to Factor List</v>
      </c>
    </row>
    <row r="24" spans="1:3" x14ac:dyDescent="0.25">
      <c r="B24" s="103" t="s">
        <v>15</v>
      </c>
    </row>
    <row r="26" spans="1:3" ht="39" x14ac:dyDescent="0.25">
      <c r="A26" s="98" t="s">
        <v>740</v>
      </c>
      <c r="B26" s="98" t="s">
        <v>728</v>
      </c>
      <c r="C26" s="98" t="s">
        <v>741</v>
      </c>
    </row>
    <row r="27" spans="1:3" x14ac:dyDescent="0.25">
      <c r="A27" s="99">
        <v>1</v>
      </c>
      <c r="B27" s="100">
        <v>18.239999999999998</v>
      </c>
      <c r="C27" s="100">
        <v>1.8</v>
      </c>
    </row>
    <row r="28" spans="1:3" x14ac:dyDescent="0.25">
      <c r="A28" s="99">
        <v>2</v>
      </c>
      <c r="B28" s="100">
        <v>17.75</v>
      </c>
      <c r="C28" s="100">
        <v>1.82</v>
      </c>
    </row>
    <row r="29" spans="1:3" x14ac:dyDescent="0.25">
      <c r="A29" s="99">
        <v>3</v>
      </c>
      <c r="B29" s="100">
        <v>17.28</v>
      </c>
      <c r="C29" s="100">
        <v>1.83</v>
      </c>
    </row>
    <row r="30" spans="1:3" x14ac:dyDescent="0.25">
      <c r="A30" s="99">
        <v>4</v>
      </c>
      <c r="B30" s="100">
        <v>16.82</v>
      </c>
      <c r="C30" s="100">
        <v>1.84</v>
      </c>
    </row>
    <row r="31" spans="1:3" x14ac:dyDescent="0.25">
      <c r="A31" s="99">
        <v>5</v>
      </c>
      <c r="B31" s="100">
        <v>16.53</v>
      </c>
      <c r="C31" s="100">
        <v>1.84</v>
      </c>
    </row>
    <row r="32" spans="1:3" x14ac:dyDescent="0.25">
      <c r="A32" s="99">
        <v>6</v>
      </c>
      <c r="B32" s="100">
        <v>16.260000000000002</v>
      </c>
      <c r="C32" s="100">
        <v>1.85</v>
      </c>
    </row>
    <row r="33" spans="1:3" x14ac:dyDescent="0.25">
      <c r="A33" s="99">
        <v>7</v>
      </c>
      <c r="B33" s="100">
        <v>15.99</v>
      </c>
      <c r="C33" s="100">
        <v>1.85</v>
      </c>
    </row>
    <row r="34" spans="1:3" x14ac:dyDescent="0.25">
      <c r="A34" s="99">
        <v>8</v>
      </c>
      <c r="B34" s="100">
        <v>15.73</v>
      </c>
      <c r="C34" s="100">
        <v>1.84</v>
      </c>
    </row>
    <row r="35" spans="1:3" x14ac:dyDescent="0.25">
      <c r="A35" s="99">
        <v>9</v>
      </c>
      <c r="B35" s="100">
        <v>15.48</v>
      </c>
      <c r="C35" s="100">
        <v>1.84</v>
      </c>
    </row>
    <row r="36" spans="1:3" x14ac:dyDescent="0.25">
      <c r="A36" s="99">
        <v>10</v>
      </c>
      <c r="B36" s="100">
        <v>15.23</v>
      </c>
      <c r="C36" s="100">
        <v>1.83</v>
      </c>
    </row>
    <row r="37" spans="1:3" x14ac:dyDescent="0.25">
      <c r="A37" s="99">
        <v>11</v>
      </c>
      <c r="B37" s="100">
        <v>15</v>
      </c>
      <c r="C37" s="100">
        <v>1.83</v>
      </c>
    </row>
    <row r="38" spans="1:3" x14ac:dyDescent="0.25">
      <c r="A38" s="99">
        <v>12</v>
      </c>
      <c r="B38" s="100">
        <v>14.77</v>
      </c>
      <c r="C38" s="100">
        <v>1.82</v>
      </c>
    </row>
    <row r="39" spans="1:3" x14ac:dyDescent="0.25">
      <c r="A39" s="99">
        <v>13</v>
      </c>
      <c r="B39" s="100">
        <v>14.54</v>
      </c>
      <c r="C39" s="100">
        <v>1.81</v>
      </c>
    </row>
    <row r="40" spans="1:3" x14ac:dyDescent="0.25">
      <c r="A40" s="99">
        <v>14</v>
      </c>
      <c r="B40" s="100">
        <v>14.32</v>
      </c>
      <c r="C40" s="100">
        <v>1.8</v>
      </c>
    </row>
    <row r="41" spans="1:3" x14ac:dyDescent="0.25">
      <c r="A41" s="99">
        <v>15</v>
      </c>
      <c r="B41" s="100">
        <v>14.11</v>
      </c>
      <c r="C41" s="100">
        <v>1.79</v>
      </c>
    </row>
    <row r="42" spans="1:3" x14ac:dyDescent="0.25">
      <c r="A42" s="99">
        <v>16</v>
      </c>
      <c r="B42" s="100">
        <v>13.9</v>
      </c>
      <c r="C42" s="100">
        <v>1.77</v>
      </c>
    </row>
    <row r="43" spans="1:3" x14ac:dyDescent="0.25">
      <c r="A43" s="99">
        <v>17</v>
      </c>
      <c r="B43" s="100">
        <v>13.69</v>
      </c>
      <c r="C43" s="100">
        <v>1.76</v>
      </c>
    </row>
    <row r="44" spans="1:3" x14ac:dyDescent="0.25">
      <c r="A44" s="99">
        <v>18</v>
      </c>
      <c r="B44" s="100">
        <v>13.49</v>
      </c>
      <c r="C44" s="100">
        <v>1.75</v>
      </c>
    </row>
    <row r="45" spans="1:3" x14ac:dyDescent="0.25">
      <c r="A45" s="99">
        <v>19</v>
      </c>
      <c r="B45" s="100">
        <v>13.17</v>
      </c>
      <c r="C45" s="100">
        <v>1.74</v>
      </c>
    </row>
    <row r="46" spans="1:3" x14ac:dyDescent="0.25">
      <c r="A46" s="99">
        <v>20</v>
      </c>
      <c r="B46" s="100">
        <v>12.85</v>
      </c>
      <c r="C46" s="100">
        <v>1.73</v>
      </c>
    </row>
    <row r="47" spans="1:3" x14ac:dyDescent="0.25">
      <c r="A47" s="99">
        <v>21</v>
      </c>
      <c r="B47" s="100">
        <v>12.54</v>
      </c>
      <c r="C47" s="100">
        <v>1.72</v>
      </c>
    </row>
    <row r="48" spans="1:3" x14ac:dyDescent="0.25">
      <c r="A48" s="99">
        <v>22</v>
      </c>
      <c r="B48" s="100">
        <v>12.24</v>
      </c>
      <c r="C48" s="100">
        <v>1.71</v>
      </c>
    </row>
    <row r="49" spans="1:3" x14ac:dyDescent="0.25">
      <c r="A49" s="99">
        <v>23</v>
      </c>
      <c r="B49" s="100">
        <v>12.07</v>
      </c>
      <c r="C49" s="100">
        <v>1.7</v>
      </c>
    </row>
    <row r="50" spans="1:3" x14ac:dyDescent="0.25">
      <c r="A50" s="99">
        <v>24</v>
      </c>
      <c r="B50" s="100">
        <v>11.89</v>
      </c>
      <c r="C50" s="100">
        <v>1.68</v>
      </c>
    </row>
    <row r="51" spans="1:3" x14ac:dyDescent="0.25">
      <c r="A51" s="99">
        <v>25</v>
      </c>
      <c r="B51" s="100">
        <v>11.72</v>
      </c>
      <c r="C51" s="100">
        <v>1.66</v>
      </c>
    </row>
    <row r="52" spans="1:3" x14ac:dyDescent="0.25">
      <c r="A52" s="99">
        <v>26</v>
      </c>
      <c r="B52" s="100">
        <v>11.56</v>
      </c>
      <c r="C52" s="100">
        <v>1.64</v>
      </c>
    </row>
    <row r="53" spans="1:3" x14ac:dyDescent="0.25">
      <c r="A53" s="99">
        <v>27</v>
      </c>
      <c r="B53" s="100">
        <v>11.39</v>
      </c>
      <c r="C53" s="100">
        <v>1.62</v>
      </c>
    </row>
    <row r="54" spans="1:3" x14ac:dyDescent="0.25">
      <c r="A54" s="99">
        <v>28</v>
      </c>
      <c r="B54" s="100">
        <v>11.23</v>
      </c>
      <c r="C54" s="100">
        <v>1.6</v>
      </c>
    </row>
    <row r="55" spans="1:3" x14ac:dyDescent="0.25">
      <c r="A55" s="99">
        <v>29</v>
      </c>
      <c r="B55" s="100">
        <v>11.07</v>
      </c>
      <c r="C55" s="100">
        <v>1.59</v>
      </c>
    </row>
    <row r="56" spans="1:3" x14ac:dyDescent="0.25">
      <c r="A56" s="99">
        <v>30</v>
      </c>
      <c r="B56" s="100">
        <v>10.92</v>
      </c>
      <c r="C56" s="100">
        <v>1.57</v>
      </c>
    </row>
    <row r="57" spans="1:3" x14ac:dyDescent="0.25">
      <c r="A57" s="99">
        <v>31</v>
      </c>
      <c r="B57" s="100">
        <v>10.76</v>
      </c>
      <c r="C57" s="100">
        <v>1.55</v>
      </c>
    </row>
    <row r="58" spans="1:3" x14ac:dyDescent="0.25">
      <c r="A58" s="99">
        <v>32</v>
      </c>
      <c r="B58" s="100">
        <v>10.61</v>
      </c>
      <c r="C58" s="100">
        <v>1.53</v>
      </c>
    </row>
    <row r="59" spans="1:3" x14ac:dyDescent="0.25">
      <c r="A59" s="99">
        <v>33</v>
      </c>
      <c r="B59" s="100">
        <v>10.46</v>
      </c>
      <c r="C59" s="100">
        <v>1.51</v>
      </c>
    </row>
    <row r="60" spans="1:3" x14ac:dyDescent="0.25">
      <c r="A60" s="99">
        <v>34</v>
      </c>
      <c r="B60" s="100">
        <v>10.31</v>
      </c>
      <c r="C60" s="100">
        <v>1.49</v>
      </c>
    </row>
    <row r="61" spans="1:3" x14ac:dyDescent="0.25">
      <c r="A61" s="99">
        <v>35</v>
      </c>
      <c r="B61" s="100">
        <v>10.17</v>
      </c>
      <c r="C61" s="100">
        <v>1.47</v>
      </c>
    </row>
    <row r="62" spans="1:3" x14ac:dyDescent="0.25">
      <c r="A62" s="99">
        <v>36</v>
      </c>
      <c r="B62" s="100">
        <v>10.02</v>
      </c>
      <c r="C62" s="100">
        <v>1.45</v>
      </c>
    </row>
    <row r="63" spans="1:3" x14ac:dyDescent="0.25">
      <c r="A63" s="99">
        <v>37</v>
      </c>
      <c r="B63" s="100">
        <v>9.8800000000000008</v>
      </c>
      <c r="C63" s="100">
        <v>1.43</v>
      </c>
    </row>
    <row r="64" spans="1:3" x14ac:dyDescent="0.25">
      <c r="A64" s="99">
        <v>38</v>
      </c>
      <c r="B64" s="100">
        <v>9.74</v>
      </c>
      <c r="C64" s="100">
        <v>1.41</v>
      </c>
    </row>
    <row r="65" spans="1:3" x14ac:dyDescent="0.25">
      <c r="A65" s="99">
        <v>39</v>
      </c>
      <c r="B65" s="100">
        <v>9.61</v>
      </c>
      <c r="C65" s="100">
        <v>1.39</v>
      </c>
    </row>
    <row r="66" spans="1:3" x14ac:dyDescent="0.25">
      <c r="A66" s="99">
        <v>40</v>
      </c>
      <c r="B66" s="100">
        <v>9.4700000000000006</v>
      </c>
      <c r="C66" s="100">
        <v>1.37</v>
      </c>
    </row>
    <row r="67" spans="1:3" x14ac:dyDescent="0.25">
      <c r="A67" s="99">
        <v>41</v>
      </c>
      <c r="B67" s="100">
        <v>9.34</v>
      </c>
      <c r="C67" s="100">
        <v>1.35</v>
      </c>
    </row>
    <row r="68" spans="1:3" x14ac:dyDescent="0.25">
      <c r="A68" s="99">
        <v>42</v>
      </c>
      <c r="B68" s="100">
        <v>9.2100000000000009</v>
      </c>
      <c r="C68" s="100">
        <v>1.32</v>
      </c>
    </row>
    <row r="69" spans="1:3" x14ac:dyDescent="0.25">
      <c r="A69" s="99">
        <v>43</v>
      </c>
      <c r="B69" s="100">
        <v>9.08</v>
      </c>
      <c r="C69" s="100">
        <v>1.3</v>
      </c>
    </row>
    <row r="70" spans="1:3" x14ac:dyDescent="0.25">
      <c r="A70" s="99">
        <v>44</v>
      </c>
      <c r="B70" s="100">
        <v>8.9499999999999993</v>
      </c>
      <c r="C70" s="100">
        <v>1.28</v>
      </c>
    </row>
    <row r="71" spans="1:3" x14ac:dyDescent="0.25">
      <c r="A71" s="99">
        <v>45</v>
      </c>
      <c r="B71" s="100">
        <v>8.82</v>
      </c>
      <c r="C71" s="100">
        <v>1.26</v>
      </c>
    </row>
    <row r="72" spans="1:3" x14ac:dyDescent="0.25">
      <c r="A72" s="99">
        <v>46</v>
      </c>
      <c r="B72" s="100">
        <v>8.6999999999999993</v>
      </c>
      <c r="C72" s="100">
        <v>1.25</v>
      </c>
    </row>
    <row r="73" spans="1:3" x14ac:dyDescent="0.25">
      <c r="A73" s="99">
        <v>47</v>
      </c>
      <c r="B73" s="100">
        <v>8.58</v>
      </c>
      <c r="C73" s="100">
        <v>1.23</v>
      </c>
    </row>
    <row r="74" spans="1:3" x14ac:dyDescent="0.25">
      <c r="A74" s="99">
        <v>48</v>
      </c>
      <c r="B74" s="100">
        <v>8.4600000000000009</v>
      </c>
      <c r="C74" s="100">
        <v>1.21</v>
      </c>
    </row>
    <row r="75" spans="1:3" x14ac:dyDescent="0.25">
      <c r="A75" s="99">
        <v>49</v>
      </c>
      <c r="B75" s="100">
        <v>8.34</v>
      </c>
      <c r="C75" s="100">
        <v>1.19</v>
      </c>
    </row>
    <row r="76" spans="1:3" x14ac:dyDescent="0.25">
      <c r="A76" s="99">
        <v>50</v>
      </c>
      <c r="B76" s="100">
        <v>8.2200000000000006</v>
      </c>
      <c r="C76" s="100">
        <v>1.1299999999999999</v>
      </c>
    </row>
    <row r="77" spans="1:3" x14ac:dyDescent="0.25">
      <c r="A77"/>
      <c r="B77"/>
      <c r="C77"/>
    </row>
    <row r="78" spans="1:3" x14ac:dyDescent="0.25">
      <c r="A78"/>
      <c r="B78"/>
      <c r="C78"/>
    </row>
    <row r="79" spans="1:3" x14ac:dyDescent="0.25">
      <c r="A79"/>
      <c r="B79"/>
      <c r="C79"/>
    </row>
    <row r="80" spans="1:3" x14ac:dyDescent="0.25">
      <c r="A80"/>
      <c r="B80"/>
      <c r="C80"/>
    </row>
    <row r="81" spans="1:3" x14ac:dyDescent="0.25">
      <c r="A81"/>
      <c r="B81"/>
      <c r="C81"/>
    </row>
    <row r="82" spans="1:3" x14ac:dyDescent="0.25">
      <c r="A82"/>
      <c r="B82"/>
      <c r="C82"/>
    </row>
    <row r="83" spans="1:3" x14ac:dyDescent="0.25">
      <c r="A83"/>
      <c r="B83"/>
      <c r="C83"/>
    </row>
    <row r="84" spans="1:3" x14ac:dyDescent="0.25">
      <c r="A84"/>
      <c r="B84"/>
      <c r="C84"/>
    </row>
    <row r="85" spans="1:3" x14ac:dyDescent="0.25">
      <c r="A85"/>
      <c r="B85"/>
      <c r="C85"/>
    </row>
    <row r="86" spans="1:3" x14ac:dyDescent="0.25">
      <c r="A86"/>
      <c r="B86"/>
      <c r="C86"/>
    </row>
    <row r="87" spans="1:3" x14ac:dyDescent="0.25">
      <c r="A87"/>
      <c r="B87"/>
      <c r="C87"/>
    </row>
    <row r="88" spans="1:3" x14ac:dyDescent="0.25">
      <c r="A88"/>
      <c r="B88"/>
      <c r="C88"/>
    </row>
    <row r="89" spans="1:3" x14ac:dyDescent="0.25">
      <c r="A89"/>
      <c r="B89"/>
      <c r="C89"/>
    </row>
    <row r="90" spans="1:3" x14ac:dyDescent="0.25">
      <c r="A90"/>
      <c r="B90"/>
      <c r="C90"/>
    </row>
    <row r="91" spans="1:3" x14ac:dyDescent="0.25">
      <c r="A91"/>
      <c r="B91"/>
      <c r="C91"/>
    </row>
    <row r="92" spans="1:3" x14ac:dyDescent="0.25">
      <c r="A92"/>
      <c r="B92"/>
      <c r="C92"/>
    </row>
    <row r="93" spans="1:3" x14ac:dyDescent="0.25">
      <c r="A93"/>
      <c r="B93"/>
      <c r="C93"/>
    </row>
    <row r="94" spans="1:3" x14ac:dyDescent="0.25">
      <c r="A94"/>
      <c r="B94"/>
      <c r="C94"/>
    </row>
    <row r="95" spans="1:3" x14ac:dyDescent="0.25">
      <c r="A95"/>
      <c r="B95"/>
      <c r="C95"/>
    </row>
    <row r="96" spans="1:3" x14ac:dyDescent="0.25">
      <c r="A96"/>
      <c r="B96"/>
      <c r="C96"/>
    </row>
    <row r="97" spans="1:3" x14ac:dyDescent="0.25">
      <c r="A97"/>
      <c r="B97"/>
      <c r="C97"/>
    </row>
    <row r="98" spans="1:3" x14ac:dyDescent="0.25">
      <c r="A98"/>
      <c r="B98"/>
      <c r="C98"/>
    </row>
    <row r="99" spans="1:3" x14ac:dyDescent="0.25">
      <c r="A99"/>
      <c r="B99"/>
      <c r="C99"/>
    </row>
    <row r="100" spans="1:3" x14ac:dyDescent="0.25">
      <c r="A100"/>
      <c r="B100"/>
      <c r="C100"/>
    </row>
    <row r="101" spans="1:3" x14ac:dyDescent="0.25">
      <c r="A101"/>
      <c r="B101"/>
      <c r="C101"/>
    </row>
    <row r="102" spans="1:3" x14ac:dyDescent="0.25">
      <c r="A102"/>
      <c r="B102"/>
      <c r="C102"/>
    </row>
    <row r="103" spans="1:3" x14ac:dyDescent="0.25">
      <c r="A103"/>
      <c r="B103"/>
      <c r="C103"/>
    </row>
    <row r="104" spans="1:3" x14ac:dyDescent="0.25">
      <c r="A104"/>
      <c r="B104"/>
      <c r="C104"/>
    </row>
    <row r="105" spans="1:3" x14ac:dyDescent="0.25">
      <c r="A105"/>
      <c r="B105"/>
      <c r="C105"/>
    </row>
    <row r="106" spans="1:3" x14ac:dyDescent="0.25">
      <c r="A106"/>
      <c r="B106"/>
      <c r="C106"/>
    </row>
    <row r="107" spans="1:3" x14ac:dyDescent="0.25">
      <c r="A107"/>
      <c r="B107"/>
      <c r="C107"/>
    </row>
    <row r="108" spans="1:3" x14ac:dyDescent="0.25">
      <c r="A108"/>
      <c r="B108"/>
      <c r="C108"/>
    </row>
    <row r="109" spans="1:3" x14ac:dyDescent="0.25">
      <c r="A109"/>
      <c r="B109"/>
      <c r="C109"/>
    </row>
    <row r="110" spans="1:3" x14ac:dyDescent="0.25">
      <c r="A110"/>
      <c r="B110"/>
      <c r="C110"/>
    </row>
    <row r="111" spans="1:3" x14ac:dyDescent="0.25">
      <c r="A111"/>
      <c r="B111"/>
      <c r="C111"/>
    </row>
    <row r="112" spans="1:3" x14ac:dyDescent="0.25">
      <c r="A112"/>
      <c r="B112"/>
      <c r="C112"/>
    </row>
    <row r="113" spans="1:3" x14ac:dyDescent="0.25">
      <c r="A113"/>
      <c r="B113"/>
      <c r="C113"/>
    </row>
    <row r="114" spans="1:3" x14ac:dyDescent="0.25">
      <c r="A114"/>
      <c r="B114"/>
      <c r="C114"/>
    </row>
    <row r="115" spans="1:3" x14ac:dyDescent="0.25">
      <c r="A115"/>
      <c r="B115"/>
      <c r="C115"/>
    </row>
    <row r="116" spans="1:3" x14ac:dyDescent="0.25">
      <c r="A116"/>
      <c r="B116"/>
      <c r="C116"/>
    </row>
    <row r="117" spans="1:3" x14ac:dyDescent="0.25">
      <c r="A117"/>
      <c r="B117"/>
      <c r="C117"/>
    </row>
    <row r="118" spans="1:3" x14ac:dyDescent="0.25">
      <c r="A118"/>
      <c r="B118"/>
      <c r="C118"/>
    </row>
    <row r="119" spans="1:3" x14ac:dyDescent="0.25">
      <c r="A119"/>
      <c r="B119"/>
      <c r="C119"/>
    </row>
    <row r="120" spans="1:3" x14ac:dyDescent="0.25">
      <c r="A120"/>
      <c r="B120"/>
      <c r="C120"/>
    </row>
    <row r="121" spans="1:3" x14ac:dyDescent="0.25">
      <c r="A121"/>
      <c r="B121"/>
      <c r="C121"/>
    </row>
    <row r="122" spans="1:3" x14ac:dyDescent="0.25">
      <c r="A122"/>
      <c r="B122"/>
      <c r="C122"/>
    </row>
    <row r="123" spans="1:3" x14ac:dyDescent="0.25">
      <c r="A123"/>
      <c r="B123"/>
      <c r="C123"/>
    </row>
    <row r="124" spans="1:3" x14ac:dyDescent="0.25">
      <c r="A124"/>
      <c r="B124"/>
      <c r="C124"/>
    </row>
    <row r="125" spans="1:3" x14ac:dyDescent="0.25">
      <c r="A125"/>
      <c r="B125"/>
      <c r="C125"/>
    </row>
  </sheetData>
  <sheetProtection algorithmName="SHA-512" hashValue="UspE+SRgRuZgb9S7aTQ+aDbyyZUboo/HvFAGCO2KIxGUlPuMZINtsknA99WYMR+SdOVl23fRsO3wMV4NSlMpbQ==" saltValue="w1NESDntswG1GPwoBk1YAA==" spinCount="100000" sheet="1" objects="1" scenarios="1"/>
  <conditionalFormatting sqref="A6:A21">
    <cfRule type="expression" dxfId="991" priority="15" stopIfTrue="1">
      <formula>MOD(ROW(),2)=0</formula>
    </cfRule>
    <cfRule type="expression" dxfId="990" priority="16" stopIfTrue="1">
      <formula>MOD(ROW(),2)&lt;&gt;0</formula>
    </cfRule>
  </conditionalFormatting>
  <conditionalFormatting sqref="A26:A76">
    <cfRule type="expression" dxfId="989" priority="27" stopIfTrue="1">
      <formula>MOD(ROW(),2)=0</formula>
    </cfRule>
    <cfRule type="expression" dxfId="988" priority="28" stopIfTrue="1">
      <formula>MOD(ROW(),2)&lt;&gt;0</formula>
    </cfRule>
  </conditionalFormatting>
  <conditionalFormatting sqref="B6:C21 B26:C76">
    <cfRule type="expression" dxfId="987" priority="29" stopIfTrue="1">
      <formula>MOD(ROW(),2)=0</formula>
    </cfRule>
    <cfRule type="expression" dxfId="986" priority="30" stopIfTrue="1">
      <formula>MOD(ROW(),2)&lt;&gt;0</formula>
    </cfRule>
  </conditionalFormatting>
  <conditionalFormatting sqref="B17:C21">
    <cfRule type="expression" dxfId="985" priority="1" stopIfTrue="1">
      <formula>MOD(ROW(),2)=0</formula>
    </cfRule>
    <cfRule type="expression" dxfId="984" priority="2" stopIfTrue="1">
      <formula>MOD(ROW(),2)&lt;&gt;0</formula>
    </cfRule>
  </conditionalFormatting>
  <hyperlinks>
    <hyperlink ref="B24" location="Assumptions!A1" display="Assumptions" xr:uid="{D4369A96-80A6-4F08-BE89-D77AFBB084B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23">
    <pageSetUpPr fitToPage="1"/>
  </sheetPr>
  <dimension ref="A1:I77"/>
  <sheetViews>
    <sheetView showGridLines="0" zoomScale="85" zoomScaleNormal="85" workbookViewId="0">
      <selection activeCell="A4" sqref="A4"/>
    </sheetView>
  </sheetViews>
  <sheetFormatPr defaultColWidth="10" defaultRowHeight="12.5" x14ac:dyDescent="0.25"/>
  <cols>
    <col min="1" max="1" width="31.90625" style="25" customWidth="1"/>
    <col min="2" max="2" width="32.54296875" style="25" customWidth="1"/>
    <col min="3" max="3" width="10.08984375" style="25" customWidth="1"/>
    <col min="4" max="4" width="10" style="25" customWidth="1"/>
    <col min="5"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TV In (non-club) - x-217</v>
      </c>
      <c r="B3" s="39"/>
      <c r="C3" s="39"/>
      <c r="D3" s="39"/>
      <c r="E3" s="39"/>
      <c r="F3" s="39"/>
      <c r="G3" s="39"/>
      <c r="H3" s="39"/>
      <c r="I3" s="39"/>
    </row>
    <row r="4" spans="1:9" x14ac:dyDescent="0.25">
      <c r="A4" s="41"/>
    </row>
    <row r="6" spans="1:9" ht="13" x14ac:dyDescent="0.3">
      <c r="A6" s="83" t="s">
        <v>276</v>
      </c>
      <c r="B6" s="161" t="s">
        <v>277</v>
      </c>
    </row>
    <row r="7" spans="1:9" x14ac:dyDescent="0.25">
      <c r="A7" s="85" t="s">
        <v>278</v>
      </c>
      <c r="B7" s="161" t="s">
        <v>310</v>
      </c>
    </row>
    <row r="8" spans="1:9" x14ac:dyDescent="0.25">
      <c r="A8" s="85" t="s">
        <v>280</v>
      </c>
      <c r="B8" s="161" t="s">
        <v>363</v>
      </c>
    </row>
    <row r="9" spans="1:9" ht="18" customHeight="1" x14ac:dyDescent="0.25">
      <c r="A9" s="85" t="s">
        <v>282</v>
      </c>
      <c r="B9" s="161" t="s">
        <v>364</v>
      </c>
    </row>
    <row r="10" spans="1:9" ht="47.4" customHeight="1" x14ac:dyDescent="0.25">
      <c r="A10" s="85" t="s">
        <v>6</v>
      </c>
      <c r="B10" s="161" t="s">
        <v>365</v>
      </c>
    </row>
    <row r="11" spans="1:9" x14ac:dyDescent="0.25">
      <c r="A11" s="85" t="s">
        <v>285</v>
      </c>
      <c r="B11" s="161" t="s">
        <v>359</v>
      </c>
    </row>
    <row r="12" spans="1:9" x14ac:dyDescent="0.25">
      <c r="A12" s="85" t="s">
        <v>287</v>
      </c>
      <c r="B12" s="161" t="s">
        <v>366</v>
      </c>
    </row>
    <row r="13" spans="1:9" x14ac:dyDescent="0.25">
      <c r="A13" s="85" t="s">
        <v>289</v>
      </c>
      <c r="B13" s="161">
        <v>1</v>
      </c>
    </row>
    <row r="14" spans="1:9" x14ac:dyDescent="0.25">
      <c r="A14" s="85" t="s">
        <v>291</v>
      </c>
      <c r="B14" s="161">
        <v>217</v>
      </c>
    </row>
    <row r="15" spans="1:9" x14ac:dyDescent="0.25">
      <c r="A15" s="85" t="s">
        <v>293</v>
      </c>
      <c r="B15" s="161" t="s">
        <v>367</v>
      </c>
    </row>
    <row r="16" spans="1:9" x14ac:dyDescent="0.25">
      <c r="A16" s="85" t="s">
        <v>295</v>
      </c>
      <c r="B16" s="161" t="s">
        <v>368</v>
      </c>
    </row>
    <row r="17" spans="1:2" ht="30" customHeight="1" x14ac:dyDescent="0.25">
      <c r="A17" s="69" t="s">
        <v>725</v>
      </c>
      <c r="B17" s="161"/>
    </row>
    <row r="18" spans="1:2" x14ac:dyDescent="0.25">
      <c r="A18" s="85" t="s">
        <v>299</v>
      </c>
      <c r="B18" s="162">
        <v>45107</v>
      </c>
    </row>
    <row r="19" spans="1:2" x14ac:dyDescent="0.25">
      <c r="A19" s="85" t="s">
        <v>301</v>
      </c>
      <c r="B19" s="162">
        <v>45014</v>
      </c>
    </row>
    <row r="20" spans="1:2" x14ac:dyDescent="0.25">
      <c r="A20" s="85" t="s">
        <v>303</v>
      </c>
      <c r="B20" s="161" t="s">
        <v>317</v>
      </c>
    </row>
    <row r="21" spans="1:2" x14ac:dyDescent="0.25">
      <c r="A21" s="85" t="s">
        <v>309</v>
      </c>
      <c r="B21" s="161" t="s">
        <v>318</v>
      </c>
    </row>
    <row r="23" spans="1:2" x14ac:dyDescent="0.25">
      <c r="B23" s="103" t="str">
        <f>HYPERLINK("#'Factor List'!A1","Back to Factor List")</f>
        <v>Back to Factor List</v>
      </c>
    </row>
    <row r="24" spans="1:2" x14ac:dyDescent="0.25">
      <c r="B24" s="103" t="s">
        <v>15</v>
      </c>
    </row>
    <row r="26" spans="1:2" ht="13" x14ac:dyDescent="0.25">
      <c r="A26" s="98" t="s">
        <v>408</v>
      </c>
      <c r="B26" s="98" t="s">
        <v>368</v>
      </c>
    </row>
    <row r="27" spans="1:2" x14ac:dyDescent="0.25">
      <c r="A27" s="99">
        <v>17</v>
      </c>
      <c r="B27" s="100">
        <v>18.170000000000002</v>
      </c>
    </row>
    <row r="28" spans="1:2" x14ac:dyDescent="0.25">
      <c r="A28" s="99">
        <v>18</v>
      </c>
      <c r="B28" s="100">
        <v>18.2</v>
      </c>
    </row>
    <row r="29" spans="1:2" x14ac:dyDescent="0.25">
      <c r="A29" s="99">
        <v>19</v>
      </c>
      <c r="B29" s="100">
        <v>18.22</v>
      </c>
    </row>
    <row r="30" spans="1:2" x14ac:dyDescent="0.25">
      <c r="A30" s="99">
        <v>20</v>
      </c>
      <c r="B30" s="100">
        <v>18.22</v>
      </c>
    </row>
    <row r="31" spans="1:2" x14ac:dyDescent="0.25">
      <c r="A31" s="99">
        <v>21</v>
      </c>
      <c r="B31" s="100">
        <v>18.22</v>
      </c>
    </row>
    <row r="32" spans="1:2" x14ac:dyDescent="0.25">
      <c r="A32" s="99">
        <v>22</v>
      </c>
      <c r="B32" s="100">
        <v>18.21</v>
      </c>
    </row>
    <row r="33" spans="1:2" x14ac:dyDescent="0.25">
      <c r="A33" s="99">
        <v>23</v>
      </c>
      <c r="B33" s="100">
        <v>18.21</v>
      </c>
    </row>
    <row r="34" spans="1:2" x14ac:dyDescent="0.25">
      <c r="A34" s="99">
        <v>24</v>
      </c>
      <c r="B34" s="100">
        <v>18.2</v>
      </c>
    </row>
    <row r="35" spans="1:2" x14ac:dyDescent="0.25">
      <c r="A35" s="99">
        <v>25</v>
      </c>
      <c r="B35" s="100">
        <v>18.2</v>
      </c>
    </row>
    <row r="36" spans="1:2" x14ac:dyDescent="0.25">
      <c r="A36" s="99">
        <v>26</v>
      </c>
      <c r="B36" s="100">
        <v>18.190000000000001</v>
      </c>
    </row>
    <row r="37" spans="1:2" x14ac:dyDescent="0.25">
      <c r="A37" s="99">
        <v>27</v>
      </c>
      <c r="B37" s="100">
        <v>18.190000000000001</v>
      </c>
    </row>
    <row r="38" spans="1:2" x14ac:dyDescent="0.25">
      <c r="A38" s="99">
        <v>28</v>
      </c>
      <c r="B38" s="100">
        <v>18.18</v>
      </c>
    </row>
    <row r="39" spans="1:2" x14ac:dyDescent="0.25">
      <c r="A39" s="99">
        <v>29</v>
      </c>
      <c r="B39" s="100">
        <v>18.170000000000002</v>
      </c>
    </row>
    <row r="40" spans="1:2" x14ac:dyDescent="0.25">
      <c r="A40" s="99">
        <v>30</v>
      </c>
      <c r="B40" s="100">
        <v>18.16</v>
      </c>
    </row>
    <row r="41" spans="1:2" x14ac:dyDescent="0.25">
      <c r="A41" s="99">
        <v>31</v>
      </c>
      <c r="B41" s="100">
        <v>18.16</v>
      </c>
    </row>
    <row r="42" spans="1:2" x14ac:dyDescent="0.25">
      <c r="A42" s="99">
        <v>32</v>
      </c>
      <c r="B42" s="100">
        <v>18.149999999999999</v>
      </c>
    </row>
    <row r="43" spans="1:2" x14ac:dyDescent="0.25">
      <c r="A43" s="99">
        <v>33</v>
      </c>
      <c r="B43" s="100">
        <v>18.14</v>
      </c>
    </row>
    <row r="44" spans="1:2" x14ac:dyDescent="0.25">
      <c r="A44" s="99">
        <v>34</v>
      </c>
      <c r="B44" s="100">
        <v>18.13</v>
      </c>
    </row>
    <row r="45" spans="1:2" x14ac:dyDescent="0.25">
      <c r="A45" s="99">
        <v>35</v>
      </c>
      <c r="B45" s="100">
        <v>18.12</v>
      </c>
    </row>
    <row r="46" spans="1:2" x14ac:dyDescent="0.25">
      <c r="A46" s="99">
        <v>36</v>
      </c>
      <c r="B46" s="100">
        <v>18.11</v>
      </c>
    </row>
    <row r="47" spans="1:2" x14ac:dyDescent="0.25">
      <c r="A47" s="99">
        <v>37</v>
      </c>
      <c r="B47" s="100">
        <v>18.09</v>
      </c>
    </row>
    <row r="48" spans="1:2" x14ac:dyDescent="0.25">
      <c r="A48" s="99">
        <v>38</v>
      </c>
      <c r="B48" s="100">
        <v>18.079999999999998</v>
      </c>
    </row>
    <row r="49" spans="1:2" x14ac:dyDescent="0.25">
      <c r="A49" s="99">
        <v>39</v>
      </c>
      <c r="B49" s="100">
        <v>18.07</v>
      </c>
    </row>
    <row r="50" spans="1:2" x14ac:dyDescent="0.25">
      <c r="A50" s="99">
        <v>40</v>
      </c>
      <c r="B50" s="100">
        <v>18.059999999999999</v>
      </c>
    </row>
    <row r="51" spans="1:2" x14ac:dyDescent="0.25">
      <c r="A51" s="99">
        <v>41</v>
      </c>
      <c r="B51" s="100">
        <v>18.04</v>
      </c>
    </row>
    <row r="52" spans="1:2" x14ac:dyDescent="0.25">
      <c r="A52" s="99">
        <v>42</v>
      </c>
      <c r="B52" s="100">
        <v>18.03</v>
      </c>
    </row>
    <row r="53" spans="1:2" x14ac:dyDescent="0.25">
      <c r="A53" s="99">
        <v>43</v>
      </c>
      <c r="B53" s="100">
        <v>18.010000000000002</v>
      </c>
    </row>
    <row r="54" spans="1:2" x14ac:dyDescent="0.25">
      <c r="A54" s="99">
        <v>44</v>
      </c>
      <c r="B54" s="100">
        <v>18</v>
      </c>
    </row>
    <row r="55" spans="1:2" x14ac:dyDescent="0.25">
      <c r="A55" s="99">
        <v>45</v>
      </c>
      <c r="B55" s="100">
        <v>17.98</v>
      </c>
    </row>
    <row r="56" spans="1:2" x14ac:dyDescent="0.25">
      <c r="A56" s="99">
        <v>46</v>
      </c>
      <c r="B56" s="100">
        <v>18.100000000000001</v>
      </c>
    </row>
    <row r="57" spans="1:2" x14ac:dyDescent="0.25">
      <c r="A57" s="99">
        <v>47</v>
      </c>
      <c r="B57" s="100">
        <v>18.239999999999998</v>
      </c>
    </row>
    <row r="58" spans="1:2" x14ac:dyDescent="0.25">
      <c r="A58" s="99">
        <v>48</v>
      </c>
      <c r="B58" s="100">
        <v>18.36</v>
      </c>
    </row>
    <row r="59" spans="1:2" x14ac:dyDescent="0.25">
      <c r="A59" s="99">
        <v>49</v>
      </c>
      <c r="B59" s="100">
        <v>18.489999999999998</v>
      </c>
    </row>
    <row r="60" spans="1:2" x14ac:dyDescent="0.25">
      <c r="A60" s="99">
        <v>50</v>
      </c>
      <c r="B60" s="100">
        <v>18.48</v>
      </c>
    </row>
    <row r="61" spans="1:2" x14ac:dyDescent="0.25">
      <c r="A61" s="99">
        <v>51</v>
      </c>
      <c r="B61" s="100">
        <v>18.47</v>
      </c>
    </row>
    <row r="62" spans="1:2" x14ac:dyDescent="0.25">
      <c r="A62" s="99">
        <v>52</v>
      </c>
      <c r="B62" s="100">
        <v>18.45</v>
      </c>
    </row>
    <row r="63" spans="1:2" x14ac:dyDescent="0.25">
      <c r="A63" s="99">
        <v>53</v>
      </c>
      <c r="B63" s="100">
        <v>18.440000000000001</v>
      </c>
    </row>
    <row r="64" spans="1:2" x14ac:dyDescent="0.25">
      <c r="A64" s="99">
        <v>54</v>
      </c>
      <c r="B64" s="100">
        <v>18.420000000000002</v>
      </c>
    </row>
    <row r="65" spans="1:2" x14ac:dyDescent="0.25">
      <c r="A65" s="99">
        <v>55</v>
      </c>
      <c r="B65" s="100">
        <v>18.399999999999999</v>
      </c>
    </row>
    <row r="66" spans="1:2" x14ac:dyDescent="0.25">
      <c r="A66" s="99">
        <v>56</v>
      </c>
      <c r="B66" s="100">
        <v>18.39</v>
      </c>
    </row>
    <row r="67" spans="1:2" x14ac:dyDescent="0.25">
      <c r="A67" s="99">
        <v>57</v>
      </c>
      <c r="B67" s="100">
        <v>18.38</v>
      </c>
    </row>
    <row r="68" spans="1:2" x14ac:dyDescent="0.25">
      <c r="A68" s="99">
        <v>58</v>
      </c>
      <c r="B68" s="100">
        <v>18.37</v>
      </c>
    </row>
    <row r="69" spans="1:2" x14ac:dyDescent="0.25">
      <c r="A69" s="99">
        <v>59</v>
      </c>
      <c r="B69" s="100">
        <v>18.37</v>
      </c>
    </row>
    <row r="70" spans="1:2" x14ac:dyDescent="0.25">
      <c r="A70" s="99">
        <v>60</v>
      </c>
      <c r="B70" s="100">
        <v>18.37</v>
      </c>
    </row>
    <row r="71" spans="1:2" x14ac:dyDescent="0.25">
      <c r="A71" s="99">
        <v>61</v>
      </c>
      <c r="B71" s="100">
        <v>18.38</v>
      </c>
    </row>
    <row r="72" spans="1:2" x14ac:dyDescent="0.25">
      <c r="A72" s="99">
        <v>62</v>
      </c>
      <c r="B72" s="100">
        <v>18.399999999999999</v>
      </c>
    </row>
    <row r="73" spans="1:2" x14ac:dyDescent="0.25">
      <c r="A73" s="99">
        <v>63</v>
      </c>
      <c r="B73" s="100">
        <v>18.600000000000001</v>
      </c>
    </row>
    <row r="74" spans="1:2" x14ac:dyDescent="0.25">
      <c r="A74" s="99">
        <v>64</v>
      </c>
      <c r="B74" s="100">
        <v>18.829999999999998</v>
      </c>
    </row>
    <row r="75" spans="1:2" x14ac:dyDescent="0.25">
      <c r="A75" s="99">
        <v>65</v>
      </c>
      <c r="B75" s="100">
        <v>19.07</v>
      </c>
    </row>
    <row r="76" spans="1:2" x14ac:dyDescent="0.25">
      <c r="A76" s="99">
        <v>66</v>
      </c>
      <c r="B76" s="100">
        <v>18.97</v>
      </c>
    </row>
    <row r="77" spans="1:2" x14ac:dyDescent="0.25">
      <c r="A77" s="99">
        <v>67</v>
      </c>
      <c r="B77" s="100">
        <v>18.32</v>
      </c>
    </row>
  </sheetData>
  <sheetProtection algorithmName="SHA-512" hashValue="PY4FDys+tEcCdYlOc2B0TY8aMr5c5CSNWrMzqjCGo2ggvItJawHik3ZcES0WrSY/5YyANbkUT4uK/7wJ4aorGQ==" saltValue="LOBYxmwyGlrnVgz68304pg==" spinCount="100000" sheet="1" objects="1" scenarios="1"/>
  <conditionalFormatting sqref="A6:A21">
    <cfRule type="expression" dxfId="983" priority="7" stopIfTrue="1">
      <formula>MOD(ROW(),2)=0</formula>
    </cfRule>
    <cfRule type="expression" dxfId="982" priority="8" stopIfTrue="1">
      <formula>MOD(ROW(),2)&lt;&gt;0</formula>
    </cfRule>
  </conditionalFormatting>
  <conditionalFormatting sqref="A26:A77">
    <cfRule type="expression" dxfId="981" priority="1" stopIfTrue="1">
      <formula>MOD(ROW(),2)=0</formula>
    </cfRule>
    <cfRule type="expression" dxfId="980" priority="2" stopIfTrue="1">
      <formula>MOD(ROW(),2)&lt;&gt;0</formula>
    </cfRule>
  </conditionalFormatting>
  <conditionalFormatting sqref="B6:B21">
    <cfRule type="expression" dxfId="979" priority="19" stopIfTrue="1">
      <formula>MOD(ROW(),2)=0</formula>
    </cfRule>
    <cfRule type="expression" dxfId="978" priority="20" stopIfTrue="1">
      <formula>MOD(ROW(),2)&lt;&gt;0</formula>
    </cfRule>
  </conditionalFormatting>
  <conditionalFormatting sqref="B17:B21">
    <cfRule type="expression" dxfId="977" priority="5" stopIfTrue="1">
      <formula>MOD(ROW(),2)=0</formula>
    </cfRule>
    <cfRule type="expression" dxfId="976" priority="6" stopIfTrue="1">
      <formula>MOD(ROW(),2)&lt;&gt;0</formula>
    </cfRule>
  </conditionalFormatting>
  <conditionalFormatting sqref="B26:B77">
    <cfRule type="expression" dxfId="975" priority="3" stopIfTrue="1">
      <formula>MOD(ROW(),2)=0</formula>
    </cfRule>
    <cfRule type="expression" dxfId="974" priority="4" stopIfTrue="1">
      <formula>MOD(ROW(),2)&lt;&gt;0</formula>
    </cfRule>
  </conditionalFormatting>
  <hyperlinks>
    <hyperlink ref="B24" location="Assumptions!A1" display="Assumptions" xr:uid="{E1B88D8F-A184-40FB-A0CA-1E8ED2D90216}"/>
  </hyperlinks>
  <pageMargins left="0.74803149606299213" right="0.74803149606299213" top="0.59055118110236227" bottom="0.59055118110236227" header="0.51181102362204722" footer="0.51181102362204722"/>
  <pageSetup paperSize="9" scale="9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5D6FA-9389-43E8-AA98-7C10DCD35340}">
  <sheetPr codeName="Sheet119">
    <pageSetUpPr fitToPage="1"/>
  </sheetPr>
  <dimension ref="A1:I30"/>
  <sheetViews>
    <sheetView showGridLines="0" zoomScale="85" zoomScaleNormal="85" workbookViewId="0">
      <selection activeCell="A4" sqref="A4"/>
    </sheetView>
  </sheetViews>
  <sheetFormatPr defaultColWidth="10" defaultRowHeight="12.5" x14ac:dyDescent="0.25"/>
  <cols>
    <col min="1" max="1" width="31.90625" style="25" customWidth="1"/>
    <col min="2" max="2" width="36.90625" style="25" customWidth="1"/>
    <col min="3" max="3" width="10.08984375" style="25" customWidth="1"/>
    <col min="4" max="4" width="10" style="25" customWidth="1"/>
    <col min="5" max="16384" width="10" style="25"/>
  </cols>
  <sheetData>
    <row r="1" spans="1:9" ht="20" x14ac:dyDescent="0.4">
      <c r="A1" s="36" t="s">
        <v>0</v>
      </c>
      <c r="B1" s="37"/>
      <c r="C1" s="37"/>
      <c r="D1" s="37"/>
      <c r="E1" s="37"/>
      <c r="F1" s="37"/>
      <c r="G1" s="37"/>
      <c r="H1" s="37"/>
      <c r="I1" s="37"/>
    </row>
    <row r="2" spans="1:9" ht="15.5" x14ac:dyDescent="0.35">
      <c r="A2" s="38" t="str">
        <f>IF(ti="&gt; Enter workbook title here","Enter workbook title in Cover sheet",ti)</f>
        <v>NHSPS_NI - Consolidated Factor Spreadsheet</v>
      </c>
      <c r="B2" s="39"/>
      <c r="C2" s="39"/>
      <c r="D2" s="39"/>
      <c r="E2" s="39"/>
      <c r="F2" s="39"/>
      <c r="G2" s="39"/>
      <c r="H2" s="39"/>
      <c r="I2" s="39"/>
    </row>
    <row r="3" spans="1:9" ht="15.5" x14ac:dyDescent="0.35">
      <c r="A3" s="40" t="str">
        <f>TABLE_FACTOR_TYPE_1&amp;" - x-"&amp;TABLE_SERIES_NUMBER_1</f>
        <v>TV In (non-club) - x-215</v>
      </c>
      <c r="B3" s="39"/>
      <c r="C3" s="39"/>
      <c r="D3" s="39"/>
      <c r="E3" s="39"/>
      <c r="F3" s="39"/>
      <c r="G3" s="39"/>
      <c r="H3" s="39"/>
      <c r="I3" s="39"/>
    </row>
    <row r="4" spans="1:9" x14ac:dyDescent="0.25">
      <c r="A4" s="41"/>
    </row>
    <row r="6" spans="1:9" ht="13" x14ac:dyDescent="0.3">
      <c r="A6" s="83" t="s">
        <v>276</v>
      </c>
      <c r="B6" s="161" t="s">
        <v>277</v>
      </c>
    </row>
    <row r="7" spans="1:9" x14ac:dyDescent="0.25">
      <c r="A7" s="85" t="s">
        <v>278</v>
      </c>
      <c r="B7" s="161" t="s">
        <v>310</v>
      </c>
    </row>
    <row r="8" spans="1:9" x14ac:dyDescent="0.25">
      <c r="A8" s="85" t="s">
        <v>280</v>
      </c>
      <c r="B8" s="161" t="s">
        <v>74</v>
      </c>
    </row>
    <row r="9" spans="1:9" x14ac:dyDescent="0.25">
      <c r="A9" s="85" t="s">
        <v>282</v>
      </c>
      <c r="B9" s="161" t="s">
        <v>364</v>
      </c>
    </row>
    <row r="10" spans="1:9" x14ac:dyDescent="0.25">
      <c r="A10" s="85" t="s">
        <v>6</v>
      </c>
      <c r="B10" s="161" t="s">
        <v>369</v>
      </c>
    </row>
    <row r="11" spans="1:9" x14ac:dyDescent="0.25">
      <c r="A11" s="85" t="s">
        <v>285</v>
      </c>
      <c r="B11" s="161" t="s">
        <v>359</v>
      </c>
    </row>
    <row r="12" spans="1:9" x14ac:dyDescent="0.25">
      <c r="A12" s="85" t="s">
        <v>287</v>
      </c>
      <c r="B12" s="161" t="s">
        <v>366</v>
      </c>
    </row>
    <row r="13" spans="1:9" x14ac:dyDescent="0.25">
      <c r="A13" s="85" t="s">
        <v>289</v>
      </c>
      <c r="B13" s="161">
        <v>0</v>
      </c>
    </row>
    <row r="14" spans="1:9" x14ac:dyDescent="0.25">
      <c r="A14" s="85" t="s">
        <v>291</v>
      </c>
      <c r="B14" s="161">
        <v>215</v>
      </c>
    </row>
    <row r="15" spans="1:9" x14ac:dyDescent="0.25">
      <c r="A15" s="85" t="s">
        <v>293</v>
      </c>
      <c r="B15" s="161" t="s">
        <v>370</v>
      </c>
    </row>
    <row r="16" spans="1:9" x14ac:dyDescent="0.25">
      <c r="A16" s="85" t="s">
        <v>295</v>
      </c>
      <c r="B16" s="161" t="s">
        <v>371</v>
      </c>
    </row>
    <row r="17" spans="1:2" x14ac:dyDescent="0.25">
      <c r="A17" s="85" t="s">
        <v>725</v>
      </c>
      <c r="B17" s="161"/>
    </row>
    <row r="18" spans="1:2" x14ac:dyDescent="0.25">
      <c r="A18" s="85" t="s">
        <v>299</v>
      </c>
      <c r="B18" s="162">
        <v>45107</v>
      </c>
    </row>
    <row r="19" spans="1:2" x14ac:dyDescent="0.25">
      <c r="A19" s="85" t="s">
        <v>301</v>
      </c>
      <c r="B19" s="162">
        <v>45015</v>
      </c>
    </row>
    <row r="20" spans="1:2" x14ac:dyDescent="0.25">
      <c r="A20" s="85" t="s">
        <v>303</v>
      </c>
      <c r="B20" s="161" t="s">
        <v>317</v>
      </c>
    </row>
    <row r="21" spans="1:2" x14ac:dyDescent="0.25">
      <c r="A21" s="85" t="s">
        <v>309</v>
      </c>
      <c r="B21" s="161" t="s">
        <v>318</v>
      </c>
    </row>
    <row r="22" spans="1:2" x14ac:dyDescent="0.25">
      <c r="B22" s="103"/>
    </row>
    <row r="23" spans="1:2" x14ac:dyDescent="0.25">
      <c r="B23" s="103" t="str">
        <f>HYPERLINK("#'Factor List'!A1","Back to Factor List")</f>
        <v>Back to Factor List</v>
      </c>
    </row>
    <row r="24" spans="1:2" x14ac:dyDescent="0.25">
      <c r="B24" s="103" t="s">
        <v>15</v>
      </c>
    </row>
    <row r="26" spans="1:2" ht="26" x14ac:dyDescent="0.25">
      <c r="A26" s="101" t="s">
        <v>742</v>
      </c>
      <c r="B26" s="101" t="s">
        <v>743</v>
      </c>
    </row>
    <row r="27" spans="1:2" x14ac:dyDescent="0.25">
      <c r="A27" s="102" t="s">
        <v>744</v>
      </c>
      <c r="B27" s="154">
        <v>18</v>
      </c>
    </row>
    <row r="28" spans="1:2" x14ac:dyDescent="0.25">
      <c r="A28" s="102" t="s">
        <v>745</v>
      </c>
      <c r="B28" s="154">
        <v>18</v>
      </c>
    </row>
    <row r="29" spans="1:2" x14ac:dyDescent="0.25">
      <c r="A29" s="102" t="s">
        <v>746</v>
      </c>
      <c r="B29" s="154">
        <v>18</v>
      </c>
    </row>
    <row r="30" spans="1:2" x14ac:dyDescent="0.25">
      <c r="A30" s="102" t="s">
        <v>747</v>
      </c>
      <c r="B30" s="154">
        <v>19</v>
      </c>
    </row>
  </sheetData>
  <sheetProtection algorithmName="SHA-512" hashValue="l/79gm71z018TmPacChjHM8OUwL7PuiZdbxOZEKgQd4S85p8sZfIqZ7OBoGyMTqXuuZSwbIG7RSwpAvNOflknw==" saltValue="SiCHAb+3BSb/5ODAhsgYwg==" spinCount="100000" sheet="1" objects="1" scenarios="1"/>
  <conditionalFormatting sqref="A6:A21">
    <cfRule type="expression" dxfId="973" priority="5" stopIfTrue="1">
      <formula>MOD(ROW(),2)=0</formula>
    </cfRule>
    <cfRule type="expression" dxfId="972" priority="6" stopIfTrue="1">
      <formula>MOD(ROW(),2)&lt;&gt;0</formula>
    </cfRule>
  </conditionalFormatting>
  <conditionalFormatting sqref="A26:A30">
    <cfRule type="expression" dxfId="971" priority="1" stopIfTrue="1">
      <formula>MOD(ROW(),2)=0</formula>
    </cfRule>
    <cfRule type="expression" dxfId="970" priority="2" stopIfTrue="1">
      <formula>MOD(ROW(),2)&lt;&gt;0</formula>
    </cfRule>
  </conditionalFormatting>
  <conditionalFormatting sqref="B6:B21">
    <cfRule type="expression" dxfId="969" priority="13" stopIfTrue="1">
      <formula>MOD(ROW(),2)=0</formula>
    </cfRule>
    <cfRule type="expression" dxfId="968" priority="14" stopIfTrue="1">
      <formula>MOD(ROW(),2)&lt;&gt;0</formula>
    </cfRule>
  </conditionalFormatting>
  <conditionalFormatting sqref="B17:B21">
    <cfRule type="expression" dxfId="967" priority="7" stopIfTrue="1">
      <formula>MOD(ROW(),2)=0</formula>
    </cfRule>
    <cfRule type="expression" dxfId="966" priority="8" stopIfTrue="1">
      <formula>MOD(ROW(),2)&lt;&gt;0</formula>
    </cfRule>
  </conditionalFormatting>
  <conditionalFormatting sqref="B26:B30">
    <cfRule type="expression" dxfId="965" priority="3" stopIfTrue="1">
      <formula>MOD(ROW(),2)=0</formula>
    </cfRule>
    <cfRule type="expression" dxfId="964" priority="4" stopIfTrue="1">
      <formula>MOD(ROW(),2)&lt;&gt;0</formula>
    </cfRule>
  </conditionalFormatting>
  <hyperlinks>
    <hyperlink ref="B24" location="Assumptions!A1" display="Assumptions" xr:uid="{ACC20C77-FA32-4097-8AD5-70FACF8D1564}"/>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539EA-1260-40A9-9C54-FDB6BBAF3404}">
  <sheetPr codeName="Sheet120">
    <pageSetUpPr fitToPage="1"/>
  </sheetPr>
  <dimension ref="A1:I30"/>
  <sheetViews>
    <sheetView showGridLines="0" tabSelected="1" zoomScale="85" zoomScaleNormal="85" workbookViewId="0">
      <selection activeCell="G23" sqref="G23"/>
    </sheetView>
  </sheetViews>
  <sheetFormatPr defaultColWidth="10" defaultRowHeight="12.5" x14ac:dyDescent="0.25"/>
  <cols>
    <col min="1" max="1" width="31.90625" style="25" customWidth="1"/>
    <col min="2" max="2" width="36.90625" style="25" customWidth="1"/>
    <col min="3" max="3" width="10.08984375" style="25" customWidth="1"/>
    <col min="4" max="4" width="10" style="25" customWidth="1"/>
    <col min="5" max="16384" width="10" style="25"/>
  </cols>
  <sheetData>
    <row r="1" spans="1:9" ht="20" x14ac:dyDescent="0.4">
      <c r="A1" s="36" t="s">
        <v>0</v>
      </c>
      <c r="B1" s="37"/>
      <c r="C1" s="37"/>
      <c r="D1" s="37"/>
      <c r="E1" s="37"/>
      <c r="F1" s="37"/>
      <c r="G1" s="37"/>
      <c r="H1" s="37"/>
      <c r="I1" s="37"/>
    </row>
    <row r="2" spans="1:9" ht="15.5" x14ac:dyDescent="0.35">
      <c r="A2" s="38" t="str">
        <f>IF(t="&gt; Enter workbook title here","Enter workbook title in Cover sheet",t)</f>
        <v>NHSPS_NI - Consolidated Factor Spreadsheet</v>
      </c>
      <c r="B2" s="39"/>
      <c r="C2" s="39"/>
      <c r="D2" s="39"/>
      <c r="E2" s="39"/>
      <c r="F2" s="39"/>
      <c r="G2" s="39"/>
      <c r="H2" s="39"/>
      <c r="I2" s="39"/>
    </row>
    <row r="3" spans="1:9" ht="15.5" x14ac:dyDescent="0.35">
      <c r="A3" s="40" t="str">
        <f>TABLE_FACTOR_TYPE&amp;" - x-"&amp;TABLE_SERIES_NUMBER</f>
        <v>TV In (non-club) - x-217</v>
      </c>
      <c r="B3" s="39"/>
      <c r="C3" s="39"/>
      <c r="D3" s="39"/>
      <c r="E3" s="39"/>
      <c r="F3" s="39"/>
      <c r="G3" s="39"/>
      <c r="H3" s="39"/>
      <c r="I3" s="39"/>
    </row>
    <row r="4" spans="1:9" x14ac:dyDescent="0.25">
      <c r="A4" s="41"/>
    </row>
    <row r="6" spans="1:9" ht="13" x14ac:dyDescent="0.3">
      <c r="A6" s="83" t="s">
        <v>276</v>
      </c>
      <c r="B6" s="84" t="s">
        <v>277</v>
      </c>
    </row>
    <row r="7" spans="1:9" x14ac:dyDescent="0.25">
      <c r="A7" s="85" t="s">
        <v>278</v>
      </c>
      <c r="B7" s="86" t="s">
        <v>310</v>
      </c>
    </row>
    <row r="8" spans="1:9" x14ac:dyDescent="0.25">
      <c r="A8" s="85" t="s">
        <v>280</v>
      </c>
      <c r="B8" s="86" t="s">
        <v>805</v>
      </c>
    </row>
    <row r="9" spans="1:9" x14ac:dyDescent="0.25">
      <c r="A9" s="85" t="s">
        <v>282</v>
      </c>
      <c r="B9" s="86" t="s">
        <v>364</v>
      </c>
    </row>
    <row r="10" spans="1:9" x14ac:dyDescent="0.25">
      <c r="A10" s="85" t="s">
        <v>6</v>
      </c>
      <c r="B10" s="86" t="s">
        <v>806</v>
      </c>
    </row>
    <row r="11" spans="1:9" x14ac:dyDescent="0.25">
      <c r="A11" s="85" t="s">
        <v>285</v>
      </c>
      <c r="B11" s="86" t="s">
        <v>359</v>
      </c>
    </row>
    <row r="12" spans="1:9" x14ac:dyDescent="0.25">
      <c r="A12" s="85" t="s">
        <v>287</v>
      </c>
      <c r="B12" s="86" t="s">
        <v>366</v>
      </c>
    </row>
    <row r="13" spans="1:9" x14ac:dyDescent="0.25">
      <c r="A13" s="85" t="s">
        <v>289</v>
      </c>
      <c r="B13" s="86">
        <v>0</v>
      </c>
    </row>
    <row r="14" spans="1:9" x14ac:dyDescent="0.25">
      <c r="A14" s="85" t="s">
        <v>291</v>
      </c>
      <c r="B14" s="86">
        <v>217</v>
      </c>
    </row>
    <row r="15" spans="1:9" x14ac:dyDescent="0.25">
      <c r="A15" s="85" t="s">
        <v>293</v>
      </c>
      <c r="B15" s="86">
        <v>217</v>
      </c>
    </row>
    <row r="16" spans="1:9" x14ac:dyDescent="0.25">
      <c r="A16" s="85" t="s">
        <v>295</v>
      </c>
      <c r="B16" s="86" t="s">
        <v>807</v>
      </c>
    </row>
    <row r="17" spans="1:2" x14ac:dyDescent="0.25">
      <c r="A17" s="85" t="s">
        <v>725</v>
      </c>
      <c r="B17" s="86"/>
    </row>
    <row r="18" spans="1:2" x14ac:dyDescent="0.25">
      <c r="A18" s="85" t="s">
        <v>299</v>
      </c>
      <c r="B18" s="168">
        <v>45107</v>
      </c>
    </row>
    <row r="19" spans="1:2" x14ac:dyDescent="0.25">
      <c r="A19" s="85" t="s">
        <v>301</v>
      </c>
      <c r="B19" s="169">
        <v>45015</v>
      </c>
    </row>
    <row r="20" spans="1:2" x14ac:dyDescent="0.25">
      <c r="A20" s="85" t="s">
        <v>303</v>
      </c>
      <c r="B20" s="86" t="s">
        <v>317</v>
      </c>
    </row>
    <row r="21" spans="1:2" x14ac:dyDescent="0.25">
      <c r="A21" s="85" t="s">
        <v>309</v>
      </c>
      <c r="B21" s="86" t="s">
        <v>318</v>
      </c>
    </row>
    <row r="22" spans="1:2" x14ac:dyDescent="0.25">
      <c r="B22" s="103"/>
    </row>
    <row r="23" spans="1:2" x14ac:dyDescent="0.25">
      <c r="B23" s="103" t="str">
        <f>HYPERLINK("#'Factor List'!A1","Back to Factor List")</f>
        <v>Back to Factor List</v>
      </c>
    </row>
    <row r="24" spans="1:2" x14ac:dyDescent="0.25">
      <c r="B24" s="103" t="s">
        <v>15</v>
      </c>
    </row>
    <row r="26" spans="1:2" ht="26" x14ac:dyDescent="0.25">
      <c r="A26" s="101" t="s">
        <v>742</v>
      </c>
      <c r="B26" s="101" t="s">
        <v>743</v>
      </c>
    </row>
    <row r="27" spans="1:2" x14ac:dyDescent="0.25">
      <c r="A27" s="102" t="s">
        <v>744</v>
      </c>
      <c r="B27" s="154">
        <v>8</v>
      </c>
    </row>
    <row r="28" spans="1:2" x14ac:dyDescent="0.25">
      <c r="A28" s="102" t="s">
        <v>745</v>
      </c>
      <c r="B28" s="154">
        <v>9</v>
      </c>
    </row>
    <row r="29" spans="1:2" x14ac:dyDescent="0.25">
      <c r="A29" s="102" t="s">
        <v>746</v>
      </c>
      <c r="B29" s="154">
        <v>10</v>
      </c>
    </row>
    <row r="30" spans="1:2" x14ac:dyDescent="0.25">
      <c r="A30" s="102" t="s">
        <v>747</v>
      </c>
      <c r="B30" s="154">
        <v>12</v>
      </c>
    </row>
  </sheetData>
  <conditionalFormatting sqref="A6:A21">
    <cfRule type="expression" dxfId="963" priority="5" stopIfTrue="1">
      <formula>MOD(ROW(),2)=0</formula>
    </cfRule>
    <cfRule type="expression" dxfId="962" priority="6" stopIfTrue="1">
      <formula>MOD(ROW(),2)&lt;&gt;0</formula>
    </cfRule>
  </conditionalFormatting>
  <conditionalFormatting sqref="A26:A30">
    <cfRule type="expression" dxfId="961" priority="1" stopIfTrue="1">
      <formula>MOD(ROW(),2)=0</formula>
    </cfRule>
    <cfRule type="expression" dxfId="960" priority="2" stopIfTrue="1">
      <formula>MOD(ROW(),2)&lt;&gt;0</formula>
    </cfRule>
  </conditionalFormatting>
  <conditionalFormatting sqref="B6:B21">
    <cfRule type="expression" dxfId="959" priority="7" stopIfTrue="1">
      <formula>MOD(ROW(),2)=0</formula>
    </cfRule>
    <cfRule type="expression" dxfId="958" priority="8" stopIfTrue="1">
      <formula>MOD(ROW(),2)&lt;&gt;0</formula>
    </cfRule>
  </conditionalFormatting>
  <conditionalFormatting sqref="B26:B30">
    <cfRule type="expression" dxfId="957" priority="3" stopIfTrue="1">
      <formula>MOD(ROW(),2)=0</formula>
    </cfRule>
    <cfRule type="expression" dxfId="956" priority="4" stopIfTrue="1">
      <formula>MOD(ROW(),2)&lt;&gt;0</formula>
    </cfRule>
  </conditionalFormatting>
  <hyperlinks>
    <hyperlink ref="B24" location="Assumptions!A1" display="Assumptions" xr:uid="{883709E6-12FA-4564-8280-EF626565ABB7}"/>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0"/>
  <dimension ref="A1:I77"/>
  <sheetViews>
    <sheetView showGridLines="0" zoomScale="85" zoomScaleNormal="85" workbookViewId="0">
      <selection activeCell="A4" sqref="A4"/>
    </sheetView>
  </sheetViews>
  <sheetFormatPr defaultColWidth="10" defaultRowHeight="12.5" x14ac:dyDescent="0.25"/>
  <cols>
    <col min="1" max="1" width="31.90625" style="25" customWidth="1"/>
    <col min="2" max="7" width="22.90625" style="25" customWidth="1"/>
    <col min="8"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Pensioner CE - x-301</v>
      </c>
      <c r="B3" s="39"/>
      <c r="C3" s="39"/>
      <c r="D3" s="39"/>
      <c r="E3" s="39"/>
      <c r="F3" s="39"/>
      <c r="G3" s="39"/>
      <c r="H3" s="39"/>
      <c r="I3" s="39"/>
    </row>
    <row r="4" spans="1:9" x14ac:dyDescent="0.25">
      <c r="A4" s="41"/>
    </row>
    <row r="6" spans="1:9" ht="13" x14ac:dyDescent="0.3">
      <c r="A6" s="163" t="s">
        <v>276</v>
      </c>
      <c r="B6" s="107" t="s">
        <v>277</v>
      </c>
      <c r="C6" s="107"/>
      <c r="D6" s="107"/>
      <c r="E6" s="107"/>
      <c r="F6" s="107"/>
      <c r="G6" s="107"/>
    </row>
    <row r="7" spans="1:9" x14ac:dyDescent="0.25">
      <c r="A7" s="69" t="s">
        <v>278</v>
      </c>
      <c r="B7" s="107" t="s">
        <v>310</v>
      </c>
      <c r="C7" s="107"/>
      <c r="D7" s="107"/>
      <c r="E7" s="107"/>
      <c r="F7" s="107"/>
      <c r="G7" s="107"/>
    </row>
    <row r="8" spans="1:9" x14ac:dyDescent="0.25">
      <c r="A8" s="69" t="s">
        <v>280</v>
      </c>
      <c r="B8" s="107" t="s">
        <v>75</v>
      </c>
      <c r="C8" s="107"/>
      <c r="D8" s="107"/>
      <c r="E8" s="107"/>
      <c r="F8" s="107"/>
      <c r="G8" s="107"/>
    </row>
    <row r="9" spans="1:9" x14ac:dyDescent="0.25">
      <c r="A9" s="69" t="s">
        <v>282</v>
      </c>
      <c r="B9" s="107" t="s">
        <v>372</v>
      </c>
      <c r="C9" s="107"/>
      <c r="D9" s="107"/>
      <c r="E9" s="107"/>
      <c r="F9" s="107"/>
      <c r="G9" s="107"/>
    </row>
    <row r="10" spans="1:9" ht="12.65" customHeight="1" x14ac:dyDescent="0.25">
      <c r="A10" s="69" t="s">
        <v>6</v>
      </c>
      <c r="B10" s="107" t="s">
        <v>373</v>
      </c>
      <c r="C10" s="107"/>
      <c r="D10" s="107"/>
      <c r="E10" s="107"/>
      <c r="F10" s="107"/>
      <c r="G10" s="107"/>
    </row>
    <row r="11" spans="1:9" x14ac:dyDescent="0.25">
      <c r="A11" s="69" t="s">
        <v>285</v>
      </c>
      <c r="B11" s="107" t="s">
        <v>359</v>
      </c>
      <c r="C11" s="107"/>
      <c r="D11" s="107"/>
      <c r="E11" s="107"/>
      <c r="F11" s="107"/>
      <c r="G11" s="107"/>
    </row>
    <row r="12" spans="1:9" ht="12.65" customHeight="1" x14ac:dyDescent="0.25">
      <c r="A12" s="69" t="s">
        <v>287</v>
      </c>
      <c r="B12" s="107" t="s">
        <v>374</v>
      </c>
      <c r="C12" s="107"/>
      <c r="D12" s="107"/>
      <c r="E12" s="107"/>
      <c r="F12" s="107"/>
      <c r="G12" s="107"/>
    </row>
    <row r="13" spans="1:9" x14ac:dyDescent="0.25">
      <c r="A13" s="69" t="s">
        <v>289</v>
      </c>
      <c r="B13" s="107">
        <v>1</v>
      </c>
      <c r="C13" s="107"/>
      <c r="D13" s="107"/>
      <c r="E13" s="107"/>
      <c r="F13" s="107"/>
      <c r="G13" s="107"/>
    </row>
    <row r="14" spans="1:9" x14ac:dyDescent="0.25">
      <c r="A14" s="69" t="s">
        <v>291</v>
      </c>
      <c r="B14" s="107">
        <v>301</v>
      </c>
      <c r="C14" s="107"/>
      <c r="D14" s="107"/>
      <c r="E14" s="107"/>
      <c r="F14" s="107"/>
      <c r="G14" s="107"/>
    </row>
    <row r="15" spans="1:9" x14ac:dyDescent="0.25">
      <c r="A15" s="69" t="s">
        <v>293</v>
      </c>
      <c r="B15" s="107" t="s">
        <v>375</v>
      </c>
      <c r="C15" s="107"/>
      <c r="D15" s="107"/>
      <c r="E15" s="107"/>
      <c r="F15" s="107"/>
      <c r="G15" s="107"/>
    </row>
    <row r="16" spans="1:9" x14ac:dyDescent="0.25">
      <c r="A16" s="69" t="s">
        <v>295</v>
      </c>
      <c r="B16" s="107" t="s">
        <v>376</v>
      </c>
      <c r="C16" s="107"/>
      <c r="D16" s="107"/>
      <c r="E16" s="107"/>
      <c r="F16" s="107"/>
      <c r="G16" s="107"/>
    </row>
    <row r="17" spans="1:7" ht="12.65" customHeight="1" x14ac:dyDescent="0.25">
      <c r="A17" s="69" t="s">
        <v>725</v>
      </c>
      <c r="B17" s="107"/>
      <c r="C17" s="107"/>
      <c r="D17" s="107"/>
      <c r="E17" s="107"/>
      <c r="F17" s="107"/>
      <c r="G17" s="107"/>
    </row>
    <row r="18" spans="1:7" x14ac:dyDescent="0.25">
      <c r="A18" s="69" t="s">
        <v>299</v>
      </c>
      <c r="B18" s="164" t="s">
        <v>727</v>
      </c>
      <c r="C18" s="107"/>
      <c r="D18" s="107"/>
      <c r="E18" s="107"/>
      <c r="F18" s="107"/>
      <c r="G18" s="107"/>
    </row>
    <row r="19" spans="1:7" x14ac:dyDescent="0.25">
      <c r="A19" s="69" t="s">
        <v>301</v>
      </c>
      <c r="B19" s="164">
        <v>45014</v>
      </c>
      <c r="C19" s="107"/>
      <c r="D19" s="107"/>
      <c r="E19" s="107"/>
      <c r="F19" s="107"/>
      <c r="G19" s="107"/>
    </row>
    <row r="20" spans="1:7" x14ac:dyDescent="0.25">
      <c r="A20" s="69" t="s">
        <v>303</v>
      </c>
      <c r="B20" s="107" t="s">
        <v>317</v>
      </c>
      <c r="C20" s="107"/>
      <c r="D20" s="107"/>
      <c r="E20" s="107"/>
      <c r="F20" s="107"/>
      <c r="G20" s="107"/>
    </row>
    <row r="21" spans="1:7" x14ac:dyDescent="0.25">
      <c r="A21" s="69" t="s">
        <v>309</v>
      </c>
      <c r="B21" s="107" t="s">
        <v>318</v>
      </c>
      <c r="C21" s="107"/>
      <c r="D21" s="107"/>
      <c r="E21" s="107"/>
      <c r="F21" s="107"/>
      <c r="G21" s="107"/>
    </row>
    <row r="23" spans="1:7" x14ac:dyDescent="0.25">
      <c r="B23" s="103" t="str">
        <f>HYPERLINK("#'Factor List'!A1","Back to Factor List")</f>
        <v>Back to Factor List</v>
      </c>
    </row>
    <row r="24" spans="1:7" x14ac:dyDescent="0.25">
      <c r="B24" s="103" t="s">
        <v>15</v>
      </c>
    </row>
    <row r="26" spans="1:7" ht="39" x14ac:dyDescent="0.25">
      <c r="A26" s="98" t="s">
        <v>408</v>
      </c>
      <c r="B26" s="98" t="s">
        <v>748</v>
      </c>
      <c r="C26" s="98" t="s">
        <v>749</v>
      </c>
      <c r="D26" s="98" t="s">
        <v>750</v>
      </c>
      <c r="E26" s="98" t="s">
        <v>751</v>
      </c>
      <c r="F26" s="98" t="s">
        <v>752</v>
      </c>
      <c r="G26" s="98" t="s">
        <v>753</v>
      </c>
    </row>
    <row r="27" spans="1:7" x14ac:dyDescent="0.25">
      <c r="A27" s="99">
        <v>50</v>
      </c>
      <c r="B27" s="100">
        <v>27.95</v>
      </c>
      <c r="C27" s="100">
        <v>1.63</v>
      </c>
      <c r="D27" s="100"/>
      <c r="E27" s="100"/>
      <c r="F27" s="100">
        <v>0</v>
      </c>
      <c r="G27" s="100">
        <v>0</v>
      </c>
    </row>
    <row r="28" spans="1:7" x14ac:dyDescent="0.25">
      <c r="A28" s="99">
        <v>51</v>
      </c>
      <c r="B28" s="100">
        <v>27.41</v>
      </c>
      <c r="C28" s="100">
        <v>1.64</v>
      </c>
      <c r="D28" s="100"/>
      <c r="E28" s="100"/>
      <c r="F28" s="100">
        <v>0</v>
      </c>
      <c r="G28" s="100">
        <v>0</v>
      </c>
    </row>
    <row r="29" spans="1:7" x14ac:dyDescent="0.25">
      <c r="A29" s="99">
        <v>52</v>
      </c>
      <c r="B29" s="100">
        <v>26.85</v>
      </c>
      <c r="C29" s="100">
        <v>1.66</v>
      </c>
      <c r="D29" s="100"/>
      <c r="E29" s="100"/>
      <c r="F29" s="100">
        <v>0</v>
      </c>
      <c r="G29" s="100">
        <v>0</v>
      </c>
    </row>
    <row r="30" spans="1:7" x14ac:dyDescent="0.25">
      <c r="A30" s="99">
        <v>53</v>
      </c>
      <c r="B30" s="100">
        <v>26.29</v>
      </c>
      <c r="C30" s="100">
        <v>1.67</v>
      </c>
      <c r="D30" s="100"/>
      <c r="E30" s="100"/>
      <c r="F30" s="100">
        <v>0</v>
      </c>
      <c r="G30" s="100">
        <v>0</v>
      </c>
    </row>
    <row r="31" spans="1:7" x14ac:dyDescent="0.25">
      <c r="A31" s="99">
        <v>54</v>
      </c>
      <c r="B31" s="100">
        <v>25.72</v>
      </c>
      <c r="C31" s="100">
        <v>1.69</v>
      </c>
      <c r="D31" s="100"/>
      <c r="E31" s="100"/>
      <c r="F31" s="100">
        <v>0</v>
      </c>
      <c r="G31" s="100">
        <v>0</v>
      </c>
    </row>
    <row r="32" spans="1:7" x14ac:dyDescent="0.25">
      <c r="A32" s="99">
        <v>55</v>
      </c>
      <c r="B32" s="100">
        <v>25.15</v>
      </c>
      <c r="C32" s="100">
        <v>1.7</v>
      </c>
      <c r="D32" s="100"/>
      <c r="E32" s="100"/>
      <c r="F32" s="100">
        <v>0</v>
      </c>
      <c r="G32" s="100">
        <v>0</v>
      </c>
    </row>
    <row r="33" spans="1:7" x14ac:dyDescent="0.25">
      <c r="A33" s="99">
        <v>56</v>
      </c>
      <c r="B33" s="100">
        <v>24.56</v>
      </c>
      <c r="C33" s="100">
        <v>1.71</v>
      </c>
      <c r="D33" s="100"/>
      <c r="E33" s="100"/>
      <c r="F33" s="100">
        <v>0</v>
      </c>
      <c r="G33" s="100">
        <v>0</v>
      </c>
    </row>
    <row r="34" spans="1:7" x14ac:dyDescent="0.25">
      <c r="A34" s="99">
        <v>57</v>
      </c>
      <c r="B34" s="100">
        <v>23.97</v>
      </c>
      <c r="C34" s="100">
        <v>1.73</v>
      </c>
      <c r="D34" s="100"/>
      <c r="E34" s="100"/>
      <c r="F34" s="100">
        <v>0</v>
      </c>
      <c r="G34" s="100">
        <v>0</v>
      </c>
    </row>
    <row r="35" spans="1:7" x14ac:dyDescent="0.25">
      <c r="A35" s="99">
        <v>58</v>
      </c>
      <c r="B35" s="100">
        <v>23.37</v>
      </c>
      <c r="C35" s="100">
        <v>1.74</v>
      </c>
      <c r="D35" s="100"/>
      <c r="E35" s="100"/>
      <c r="F35" s="100">
        <v>0</v>
      </c>
      <c r="G35" s="100">
        <v>0</v>
      </c>
    </row>
    <row r="36" spans="1:7" x14ac:dyDescent="0.25">
      <c r="A36" s="99">
        <v>59</v>
      </c>
      <c r="B36" s="100">
        <v>22.77</v>
      </c>
      <c r="C36" s="100">
        <v>1.75</v>
      </c>
      <c r="D36" s="100"/>
      <c r="E36" s="100"/>
      <c r="F36" s="100">
        <v>0</v>
      </c>
      <c r="G36" s="100">
        <v>0</v>
      </c>
    </row>
    <row r="37" spans="1:7" x14ac:dyDescent="0.25">
      <c r="A37" s="99">
        <v>60</v>
      </c>
      <c r="B37" s="100">
        <v>22.15</v>
      </c>
      <c r="C37" s="100">
        <v>1.76</v>
      </c>
      <c r="D37" s="100"/>
      <c r="E37" s="100"/>
      <c r="F37" s="100">
        <v>0</v>
      </c>
      <c r="G37" s="100">
        <v>0</v>
      </c>
    </row>
    <row r="38" spans="1:7" x14ac:dyDescent="0.25">
      <c r="A38" s="99">
        <v>61</v>
      </c>
      <c r="B38" s="100">
        <v>21.53</v>
      </c>
      <c r="C38" s="100">
        <v>1.77</v>
      </c>
      <c r="D38" s="100"/>
      <c r="E38" s="100"/>
      <c r="F38" s="100">
        <v>0</v>
      </c>
      <c r="G38" s="100">
        <v>0</v>
      </c>
    </row>
    <row r="39" spans="1:7" x14ac:dyDescent="0.25">
      <c r="A39" s="99">
        <v>62</v>
      </c>
      <c r="B39" s="100">
        <v>20.91</v>
      </c>
      <c r="C39" s="100">
        <v>1.78</v>
      </c>
      <c r="D39" s="100"/>
      <c r="E39" s="100"/>
      <c r="F39" s="100">
        <v>0</v>
      </c>
      <c r="G39" s="100">
        <v>0</v>
      </c>
    </row>
    <row r="40" spans="1:7" x14ac:dyDescent="0.25">
      <c r="A40" s="99">
        <v>63</v>
      </c>
      <c r="B40" s="100">
        <v>20.28</v>
      </c>
      <c r="C40" s="100">
        <v>1.78</v>
      </c>
      <c r="D40" s="100"/>
      <c r="E40" s="100"/>
      <c r="F40" s="100">
        <v>0</v>
      </c>
      <c r="G40" s="100">
        <v>0</v>
      </c>
    </row>
    <row r="41" spans="1:7" x14ac:dyDescent="0.25">
      <c r="A41" s="99">
        <v>64</v>
      </c>
      <c r="B41" s="100">
        <v>19.649999999999999</v>
      </c>
      <c r="C41" s="100">
        <v>1.79</v>
      </c>
      <c r="D41" s="100"/>
      <c r="E41" s="100"/>
      <c r="F41" s="100">
        <v>0</v>
      </c>
      <c r="G41" s="100">
        <v>0</v>
      </c>
    </row>
    <row r="42" spans="1:7" x14ac:dyDescent="0.25">
      <c r="A42" s="99">
        <v>65</v>
      </c>
      <c r="B42" s="100">
        <v>19.010000000000002</v>
      </c>
      <c r="C42" s="100">
        <v>1.79</v>
      </c>
      <c r="D42" s="100"/>
      <c r="E42" s="100"/>
      <c r="F42" s="100">
        <v>0</v>
      </c>
      <c r="G42" s="100">
        <v>0</v>
      </c>
    </row>
    <row r="43" spans="1:7" x14ac:dyDescent="0.25">
      <c r="A43" s="99">
        <v>66</v>
      </c>
      <c r="B43" s="100">
        <v>18.36</v>
      </c>
      <c r="C43" s="100">
        <v>1.79</v>
      </c>
      <c r="D43" s="100"/>
      <c r="E43" s="100"/>
      <c r="F43" s="100">
        <v>0</v>
      </c>
      <c r="G43" s="100">
        <v>0</v>
      </c>
    </row>
    <row r="44" spans="1:7" x14ac:dyDescent="0.25">
      <c r="A44" s="99">
        <v>67</v>
      </c>
      <c r="B44" s="100">
        <v>17.72</v>
      </c>
      <c r="C44" s="100">
        <v>1.79</v>
      </c>
      <c r="D44" s="100"/>
      <c r="E44" s="100"/>
      <c r="F44" s="100">
        <v>0</v>
      </c>
      <c r="G44" s="100">
        <v>0</v>
      </c>
    </row>
    <row r="45" spans="1:7" x14ac:dyDescent="0.25">
      <c r="A45" s="99">
        <v>68</v>
      </c>
      <c r="B45" s="100">
        <v>17.059999999999999</v>
      </c>
      <c r="C45" s="100">
        <v>1.79</v>
      </c>
      <c r="D45" s="100"/>
      <c r="E45" s="100"/>
      <c r="F45" s="100">
        <v>0</v>
      </c>
      <c r="G45" s="100">
        <v>0</v>
      </c>
    </row>
    <row r="46" spans="1:7" x14ac:dyDescent="0.25">
      <c r="A46" s="99">
        <v>69</v>
      </c>
      <c r="B46" s="100">
        <v>16.41</v>
      </c>
      <c r="C46" s="100">
        <v>1.72</v>
      </c>
      <c r="D46" s="100">
        <v>3.35</v>
      </c>
      <c r="E46" s="100">
        <v>2.99</v>
      </c>
      <c r="F46" s="100">
        <v>0</v>
      </c>
      <c r="G46" s="100">
        <v>0</v>
      </c>
    </row>
    <row r="47" spans="1:7" x14ac:dyDescent="0.25">
      <c r="A47" s="99">
        <v>70</v>
      </c>
      <c r="B47" s="100">
        <v>15.75</v>
      </c>
      <c r="C47" s="100">
        <v>1.66</v>
      </c>
      <c r="D47" s="100">
        <v>3.12</v>
      </c>
      <c r="E47" s="100">
        <v>2.77</v>
      </c>
      <c r="F47" s="100">
        <v>0</v>
      </c>
      <c r="G47" s="100">
        <v>0</v>
      </c>
    </row>
    <row r="48" spans="1:7" x14ac:dyDescent="0.25">
      <c r="A48" s="99">
        <v>71</v>
      </c>
      <c r="B48" s="100">
        <v>15.09</v>
      </c>
      <c r="C48" s="100">
        <v>1.65</v>
      </c>
      <c r="D48" s="100">
        <v>2.91</v>
      </c>
      <c r="E48" s="100">
        <v>2.57</v>
      </c>
      <c r="F48" s="100">
        <v>0</v>
      </c>
      <c r="G48" s="100">
        <v>0</v>
      </c>
    </row>
    <row r="49" spans="1:7" x14ac:dyDescent="0.25">
      <c r="A49" s="99">
        <v>72</v>
      </c>
      <c r="B49" s="100">
        <v>14.43</v>
      </c>
      <c r="C49" s="100">
        <v>1.65</v>
      </c>
      <c r="D49" s="100">
        <v>2.7</v>
      </c>
      <c r="E49" s="100">
        <v>2.37</v>
      </c>
      <c r="F49" s="100">
        <v>0</v>
      </c>
      <c r="G49" s="100">
        <v>0</v>
      </c>
    </row>
    <row r="50" spans="1:7" x14ac:dyDescent="0.25">
      <c r="A50" s="99">
        <v>73</v>
      </c>
      <c r="B50" s="100">
        <v>13.78</v>
      </c>
      <c r="C50" s="100">
        <v>1.64</v>
      </c>
      <c r="D50" s="100">
        <v>2.5</v>
      </c>
      <c r="E50" s="100">
        <v>2.1800000000000002</v>
      </c>
      <c r="F50" s="100">
        <v>0</v>
      </c>
      <c r="G50" s="100">
        <v>0</v>
      </c>
    </row>
    <row r="51" spans="1:7" x14ac:dyDescent="0.25">
      <c r="A51" s="99">
        <v>74</v>
      </c>
      <c r="B51" s="100">
        <v>13.12</v>
      </c>
      <c r="C51" s="100">
        <v>1.52</v>
      </c>
      <c r="D51" s="100">
        <v>2.2999999999999998</v>
      </c>
      <c r="E51" s="100">
        <v>2</v>
      </c>
      <c r="F51" s="100">
        <v>0</v>
      </c>
      <c r="G51" s="100">
        <v>0</v>
      </c>
    </row>
    <row r="52" spans="1:7" x14ac:dyDescent="0.25">
      <c r="A52" s="99">
        <v>75</v>
      </c>
      <c r="B52" s="100">
        <v>12.47</v>
      </c>
      <c r="C52" s="100">
        <v>1.4</v>
      </c>
      <c r="D52" s="100">
        <v>2.1</v>
      </c>
      <c r="E52" s="100">
        <v>1.82</v>
      </c>
      <c r="F52" s="100">
        <v>0</v>
      </c>
      <c r="G52" s="100">
        <v>0</v>
      </c>
    </row>
    <row r="53" spans="1:7" x14ac:dyDescent="0.25">
      <c r="A53" s="99">
        <v>76</v>
      </c>
      <c r="B53" s="100">
        <v>11.82</v>
      </c>
      <c r="C53" s="100">
        <v>1.39</v>
      </c>
      <c r="D53" s="100">
        <v>1.93</v>
      </c>
      <c r="E53" s="100">
        <v>1.65</v>
      </c>
      <c r="F53" s="100">
        <v>0</v>
      </c>
      <c r="G53" s="100">
        <v>0</v>
      </c>
    </row>
    <row r="54" spans="1:7" x14ac:dyDescent="0.25">
      <c r="A54" s="99">
        <v>77</v>
      </c>
      <c r="B54" s="100">
        <v>11.18</v>
      </c>
      <c r="C54" s="100">
        <v>1.37</v>
      </c>
      <c r="D54" s="100">
        <v>1.76</v>
      </c>
      <c r="E54" s="100">
        <v>1.5</v>
      </c>
      <c r="F54" s="100">
        <v>0</v>
      </c>
      <c r="G54" s="100">
        <v>0</v>
      </c>
    </row>
    <row r="55" spans="1:7" x14ac:dyDescent="0.25">
      <c r="A55" s="99">
        <v>78</v>
      </c>
      <c r="B55" s="100">
        <v>10.54</v>
      </c>
      <c r="C55" s="100">
        <v>1.35</v>
      </c>
      <c r="D55" s="100">
        <v>1.6</v>
      </c>
      <c r="E55" s="100">
        <v>1.35</v>
      </c>
      <c r="F55" s="100">
        <v>0</v>
      </c>
      <c r="G55" s="100">
        <v>0</v>
      </c>
    </row>
    <row r="56" spans="1:7" x14ac:dyDescent="0.25">
      <c r="A56" s="99">
        <v>79</v>
      </c>
      <c r="B56" s="100">
        <v>9.92</v>
      </c>
      <c r="C56" s="100">
        <v>1.2</v>
      </c>
      <c r="D56" s="100">
        <v>1.44</v>
      </c>
      <c r="E56" s="100">
        <v>1.21</v>
      </c>
      <c r="F56" s="100">
        <v>0</v>
      </c>
      <c r="G56" s="100">
        <v>0</v>
      </c>
    </row>
    <row r="57" spans="1:7" x14ac:dyDescent="0.25">
      <c r="A57" s="99">
        <v>80</v>
      </c>
      <c r="B57" s="100">
        <v>9.31</v>
      </c>
      <c r="C57" s="100">
        <v>1.06</v>
      </c>
      <c r="D57" s="100">
        <v>1.28</v>
      </c>
      <c r="E57" s="100">
        <v>1.08</v>
      </c>
      <c r="F57" s="100">
        <v>0</v>
      </c>
      <c r="G57" s="100">
        <v>0</v>
      </c>
    </row>
    <row r="58" spans="1:7" x14ac:dyDescent="0.25">
      <c r="A58" s="99">
        <v>81</v>
      </c>
      <c r="B58" s="100">
        <v>8.7200000000000006</v>
      </c>
      <c r="C58" s="100">
        <v>1.03</v>
      </c>
      <c r="D58" s="100">
        <v>1.1499999999999999</v>
      </c>
      <c r="E58" s="100">
        <v>0.96</v>
      </c>
      <c r="F58" s="100">
        <v>0</v>
      </c>
      <c r="G58" s="100">
        <v>0</v>
      </c>
    </row>
    <row r="59" spans="1:7" x14ac:dyDescent="0.25">
      <c r="A59" s="99">
        <v>82</v>
      </c>
      <c r="B59" s="100">
        <v>8.14</v>
      </c>
      <c r="C59" s="100">
        <v>1.01</v>
      </c>
      <c r="D59" s="100">
        <v>1.03</v>
      </c>
      <c r="E59" s="100">
        <v>0.85</v>
      </c>
      <c r="F59" s="100">
        <v>0</v>
      </c>
      <c r="G59" s="100">
        <v>0</v>
      </c>
    </row>
    <row r="60" spans="1:7" x14ac:dyDescent="0.25">
      <c r="A60" s="99">
        <v>83</v>
      </c>
      <c r="B60" s="100">
        <v>7.59</v>
      </c>
      <c r="C60" s="100">
        <v>0.98</v>
      </c>
      <c r="D60" s="100">
        <v>0.93</v>
      </c>
      <c r="E60" s="100">
        <v>0.75</v>
      </c>
      <c r="F60" s="100">
        <v>0</v>
      </c>
      <c r="G60" s="100">
        <v>0</v>
      </c>
    </row>
    <row r="61" spans="1:7" x14ac:dyDescent="0.25">
      <c r="A61" s="99">
        <v>84</v>
      </c>
      <c r="B61" s="100">
        <v>7.05</v>
      </c>
      <c r="C61" s="100">
        <v>0.84</v>
      </c>
      <c r="D61" s="100">
        <v>0.81</v>
      </c>
      <c r="E61" s="100">
        <v>0.66</v>
      </c>
      <c r="F61" s="100">
        <v>0</v>
      </c>
      <c r="G61" s="100">
        <v>0</v>
      </c>
    </row>
    <row r="62" spans="1:7" x14ac:dyDescent="0.25">
      <c r="A62" s="99">
        <v>85</v>
      </c>
      <c r="B62" s="100">
        <v>6.54</v>
      </c>
      <c r="C62" s="100">
        <v>0.69</v>
      </c>
      <c r="D62" s="100">
        <v>0.7</v>
      </c>
      <c r="E62" s="100">
        <v>0.57999999999999996</v>
      </c>
      <c r="F62" s="100">
        <v>0</v>
      </c>
      <c r="G62" s="100">
        <v>0</v>
      </c>
    </row>
    <row r="63" spans="1:7" x14ac:dyDescent="0.25">
      <c r="A63" s="99">
        <v>86</v>
      </c>
      <c r="B63" s="100">
        <v>6.06</v>
      </c>
      <c r="C63" s="100">
        <v>0.67</v>
      </c>
      <c r="D63" s="100">
        <v>0.62</v>
      </c>
      <c r="E63" s="100">
        <v>0.5</v>
      </c>
      <c r="F63" s="100">
        <v>0</v>
      </c>
      <c r="G63" s="100">
        <v>0</v>
      </c>
    </row>
    <row r="64" spans="1:7" x14ac:dyDescent="0.25">
      <c r="A64" s="99">
        <v>87</v>
      </c>
      <c r="B64" s="100">
        <v>5.6</v>
      </c>
      <c r="C64" s="100">
        <v>0.64</v>
      </c>
      <c r="D64" s="100">
        <v>0.55000000000000004</v>
      </c>
      <c r="E64" s="100">
        <v>0.44</v>
      </c>
      <c r="F64" s="100">
        <v>0</v>
      </c>
      <c r="G64" s="100">
        <v>0</v>
      </c>
    </row>
    <row r="65" spans="1:7" x14ac:dyDescent="0.25">
      <c r="A65" s="99">
        <v>88</v>
      </c>
      <c r="B65" s="100">
        <v>5.17</v>
      </c>
      <c r="C65" s="100">
        <v>0.61</v>
      </c>
      <c r="D65" s="100">
        <v>0.48</v>
      </c>
      <c r="E65" s="100">
        <v>0.38</v>
      </c>
      <c r="F65" s="100">
        <v>0</v>
      </c>
      <c r="G65" s="100">
        <v>0</v>
      </c>
    </row>
    <row r="66" spans="1:7" x14ac:dyDescent="0.25">
      <c r="A66" s="99">
        <v>89</v>
      </c>
      <c r="B66" s="100">
        <v>4.7699999999999996</v>
      </c>
      <c r="C66" s="100">
        <v>0.49</v>
      </c>
      <c r="D66" s="100">
        <v>0.41</v>
      </c>
      <c r="E66" s="100">
        <v>0.33</v>
      </c>
      <c r="F66" s="100">
        <v>0</v>
      </c>
      <c r="G66" s="100">
        <v>0</v>
      </c>
    </row>
    <row r="67" spans="1:7" x14ac:dyDescent="0.25">
      <c r="A67" s="99">
        <v>90</v>
      </c>
      <c r="B67" s="100">
        <v>4.3899999999999997</v>
      </c>
      <c r="C67" s="100">
        <v>0.37</v>
      </c>
      <c r="D67" s="100">
        <v>0.34</v>
      </c>
      <c r="E67" s="100">
        <v>0.28000000000000003</v>
      </c>
      <c r="F67" s="100">
        <v>0</v>
      </c>
      <c r="G67" s="100">
        <v>0</v>
      </c>
    </row>
    <row r="68" spans="1:7" x14ac:dyDescent="0.25">
      <c r="A68" s="99">
        <v>91</v>
      </c>
      <c r="B68" s="100">
        <v>4.05</v>
      </c>
      <c r="C68" s="100">
        <v>0.35</v>
      </c>
      <c r="D68" s="100">
        <v>0.3</v>
      </c>
      <c r="E68" s="100">
        <v>0.24</v>
      </c>
      <c r="F68" s="100">
        <v>0</v>
      </c>
      <c r="G68" s="100">
        <v>0</v>
      </c>
    </row>
    <row r="69" spans="1:7" x14ac:dyDescent="0.25">
      <c r="A69" s="99">
        <v>92</v>
      </c>
      <c r="B69" s="100">
        <v>3.73</v>
      </c>
      <c r="C69" s="100">
        <v>0.33</v>
      </c>
      <c r="D69" s="100">
        <v>0.26</v>
      </c>
      <c r="E69" s="100">
        <v>0.21</v>
      </c>
      <c r="F69" s="100">
        <v>0</v>
      </c>
      <c r="G69" s="100">
        <v>0</v>
      </c>
    </row>
    <row r="70" spans="1:7" x14ac:dyDescent="0.25">
      <c r="A70" s="99">
        <v>93</v>
      </c>
      <c r="B70" s="100">
        <v>3.45</v>
      </c>
      <c r="C70" s="100">
        <v>0.31</v>
      </c>
      <c r="D70" s="100">
        <v>0.23</v>
      </c>
      <c r="E70" s="100">
        <v>0.18</v>
      </c>
      <c r="F70" s="100">
        <v>0</v>
      </c>
      <c r="G70" s="100">
        <v>0</v>
      </c>
    </row>
    <row r="71" spans="1:7" x14ac:dyDescent="0.25">
      <c r="A71" s="99">
        <v>94</v>
      </c>
      <c r="B71" s="100">
        <v>3.19</v>
      </c>
      <c r="C71" s="100">
        <v>0.28999999999999998</v>
      </c>
      <c r="D71" s="100">
        <v>0.2</v>
      </c>
      <c r="E71" s="100">
        <v>0.16</v>
      </c>
      <c r="F71" s="100">
        <v>0</v>
      </c>
      <c r="G71" s="100">
        <v>0</v>
      </c>
    </row>
    <row r="72" spans="1:7" x14ac:dyDescent="0.25">
      <c r="A72" s="99">
        <v>95</v>
      </c>
      <c r="B72" s="100">
        <v>2.95</v>
      </c>
      <c r="C72" s="100">
        <v>0.27</v>
      </c>
      <c r="D72" s="100">
        <v>0.18</v>
      </c>
      <c r="E72" s="100">
        <v>0.14000000000000001</v>
      </c>
      <c r="F72" s="100">
        <v>0</v>
      </c>
      <c r="G72" s="100">
        <v>0</v>
      </c>
    </row>
    <row r="73" spans="1:7" x14ac:dyDescent="0.25">
      <c r="A73" s="99">
        <v>96</v>
      </c>
      <c r="B73" s="100">
        <v>2.74</v>
      </c>
      <c r="C73" s="100">
        <v>0.26</v>
      </c>
      <c r="D73" s="100">
        <v>0.16</v>
      </c>
      <c r="E73" s="100">
        <v>0.12</v>
      </c>
      <c r="F73" s="100">
        <v>0</v>
      </c>
      <c r="G73" s="100">
        <v>0</v>
      </c>
    </row>
    <row r="74" spans="1:7" x14ac:dyDescent="0.25">
      <c r="A74" s="99">
        <v>97</v>
      </c>
      <c r="B74" s="100">
        <v>2.56</v>
      </c>
      <c r="C74" s="100">
        <v>0.24</v>
      </c>
      <c r="D74" s="100">
        <v>0.14000000000000001</v>
      </c>
      <c r="E74" s="100">
        <v>0.1</v>
      </c>
      <c r="F74" s="100">
        <v>0</v>
      </c>
      <c r="G74" s="100">
        <v>0</v>
      </c>
    </row>
    <row r="75" spans="1:7" x14ac:dyDescent="0.25">
      <c r="A75" s="99">
        <v>98</v>
      </c>
      <c r="B75" s="100">
        <v>2.4</v>
      </c>
      <c r="C75" s="100">
        <v>0.23</v>
      </c>
      <c r="D75" s="100">
        <v>0.12</v>
      </c>
      <c r="E75" s="100">
        <v>0.09</v>
      </c>
      <c r="F75" s="100">
        <v>0</v>
      </c>
      <c r="G75" s="100">
        <v>0</v>
      </c>
    </row>
    <row r="76" spans="1:7" x14ac:dyDescent="0.25">
      <c r="A76" s="99">
        <v>99</v>
      </c>
      <c r="B76" s="100">
        <v>2.27</v>
      </c>
      <c r="C76" s="100">
        <v>0.22</v>
      </c>
      <c r="D76" s="100">
        <v>0.11</v>
      </c>
      <c r="E76" s="100">
        <v>0.08</v>
      </c>
      <c r="F76" s="100">
        <v>0</v>
      </c>
      <c r="G76" s="100">
        <v>0</v>
      </c>
    </row>
    <row r="77" spans="1:7" x14ac:dyDescent="0.25">
      <c r="A77" s="99">
        <v>100</v>
      </c>
      <c r="B77" s="100">
        <v>2.17</v>
      </c>
      <c r="C77" s="100">
        <v>0.2</v>
      </c>
      <c r="D77" s="100">
        <v>0.1</v>
      </c>
      <c r="E77" s="100">
        <v>0.08</v>
      </c>
      <c r="F77" s="100">
        <v>0</v>
      </c>
      <c r="G77" s="100">
        <v>0</v>
      </c>
    </row>
  </sheetData>
  <sheetProtection algorithmName="SHA-512" hashValue="2PBa8RzghPPsdQ+JrPMXbmcnEvt8gBpfENn9MFQqAxsBqk9bwGoSGoDR3R9dakR1ZsMtV1D1iBIvfnCDgh4lDw==" saltValue="1Nd8a9dG8H7wypa7KzOepQ==" spinCount="100000" sheet="1" objects="1" scenarios="1"/>
  <conditionalFormatting sqref="A6:A21">
    <cfRule type="expression" dxfId="955" priority="15" stopIfTrue="1">
      <formula>MOD(ROW(),2)=0</formula>
    </cfRule>
    <cfRule type="expression" dxfId="954" priority="16" stopIfTrue="1">
      <formula>MOD(ROW(),2)&lt;&gt;0</formula>
    </cfRule>
  </conditionalFormatting>
  <conditionalFormatting sqref="A26:A77">
    <cfRule type="expression" dxfId="953" priority="3" stopIfTrue="1">
      <formula>MOD(ROW(),2)=0</formula>
    </cfRule>
    <cfRule type="expression" dxfId="952" priority="4" stopIfTrue="1">
      <formula>MOD(ROW(),2)&lt;&gt;0</formula>
    </cfRule>
  </conditionalFormatting>
  <conditionalFormatting sqref="B9">
    <cfRule type="expression" dxfId="951" priority="9" stopIfTrue="1">
      <formula>MOD(ROW(),2)=0</formula>
    </cfRule>
    <cfRule type="expression" dxfId="950" priority="10" stopIfTrue="1">
      <formula>MOD(ROW(),2)&lt;&gt;0</formula>
    </cfRule>
  </conditionalFormatting>
  <conditionalFormatting sqref="B6:G21">
    <cfRule type="expression" dxfId="949" priority="23" stopIfTrue="1">
      <formula>MOD(ROW(),2)=0</formula>
    </cfRule>
    <cfRule type="expression" dxfId="948" priority="24" stopIfTrue="1">
      <formula>MOD(ROW(),2)&lt;&gt;0</formula>
    </cfRule>
  </conditionalFormatting>
  <conditionalFormatting sqref="B17:G21">
    <cfRule type="expression" dxfId="947" priority="1" stopIfTrue="1">
      <formula>MOD(ROW(),2)=0</formula>
    </cfRule>
    <cfRule type="expression" dxfId="946" priority="2" stopIfTrue="1">
      <formula>MOD(ROW(),2)&lt;&gt;0</formula>
    </cfRule>
  </conditionalFormatting>
  <conditionalFormatting sqref="B26:G77">
    <cfRule type="expression" dxfId="945" priority="5" stopIfTrue="1">
      <formula>MOD(ROW(),2)=0</formula>
    </cfRule>
    <cfRule type="expression" dxfId="944" priority="6" stopIfTrue="1">
      <formula>MOD(ROW(),2)&lt;&gt;0</formula>
    </cfRule>
  </conditionalFormatting>
  <hyperlinks>
    <hyperlink ref="B24" location="Assumptions!A1" display="Assumptions" xr:uid="{9B19C21D-2623-4639-BFD7-5B499A9CFB3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1"/>
  <dimension ref="A1:I102"/>
  <sheetViews>
    <sheetView showGridLines="0" zoomScale="85" zoomScaleNormal="85" workbookViewId="0">
      <selection activeCell="A4" sqref="A4"/>
    </sheetView>
  </sheetViews>
  <sheetFormatPr defaultColWidth="10" defaultRowHeight="12.5" x14ac:dyDescent="0.25"/>
  <cols>
    <col min="1" max="1" width="31.90625" style="25" customWidth="1"/>
    <col min="2" max="7" width="22.90625" style="25" customWidth="1"/>
    <col min="8"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Pensioner CE - x-302</v>
      </c>
      <c r="B3" s="39"/>
      <c r="C3" s="39"/>
      <c r="D3" s="39"/>
      <c r="E3" s="39"/>
      <c r="F3" s="39"/>
      <c r="G3" s="39"/>
      <c r="H3" s="39"/>
      <c r="I3" s="39"/>
    </row>
    <row r="4" spans="1:9" x14ac:dyDescent="0.25">
      <c r="A4" s="41"/>
    </row>
    <row r="6" spans="1:9" ht="13" x14ac:dyDescent="0.3">
      <c r="A6" s="163" t="s">
        <v>276</v>
      </c>
      <c r="B6" s="107" t="s">
        <v>277</v>
      </c>
      <c r="C6" s="107"/>
      <c r="D6" s="107"/>
      <c r="E6" s="107"/>
      <c r="F6" s="107"/>
      <c r="G6" s="107"/>
    </row>
    <row r="7" spans="1:9" x14ac:dyDescent="0.25">
      <c r="A7" s="69" t="s">
        <v>278</v>
      </c>
      <c r="B7" s="107" t="s">
        <v>310</v>
      </c>
      <c r="C7" s="107"/>
      <c r="D7" s="107"/>
      <c r="E7" s="107"/>
      <c r="F7" s="107"/>
      <c r="G7" s="107"/>
    </row>
    <row r="8" spans="1:9" x14ac:dyDescent="0.25">
      <c r="A8" s="69" t="s">
        <v>280</v>
      </c>
      <c r="B8" s="107" t="s">
        <v>75</v>
      </c>
      <c r="C8" s="107"/>
      <c r="D8" s="107"/>
      <c r="E8" s="107"/>
      <c r="F8" s="107"/>
      <c r="G8" s="107"/>
    </row>
    <row r="9" spans="1:9" x14ac:dyDescent="0.25">
      <c r="A9" s="69" t="s">
        <v>282</v>
      </c>
      <c r="B9" s="107" t="s">
        <v>372</v>
      </c>
      <c r="C9" s="107"/>
      <c r="D9" s="107"/>
      <c r="E9" s="107"/>
      <c r="F9" s="107"/>
      <c r="G9" s="107"/>
    </row>
    <row r="10" spans="1:9" ht="12.65" customHeight="1" x14ac:dyDescent="0.25">
      <c r="A10" s="69" t="s">
        <v>6</v>
      </c>
      <c r="B10" s="107" t="s">
        <v>377</v>
      </c>
      <c r="C10" s="107"/>
      <c r="D10" s="107"/>
      <c r="E10" s="107"/>
      <c r="F10" s="107"/>
      <c r="G10" s="107"/>
    </row>
    <row r="11" spans="1:9" x14ac:dyDescent="0.25">
      <c r="A11" s="69" t="s">
        <v>285</v>
      </c>
      <c r="B11" s="107" t="s">
        <v>359</v>
      </c>
      <c r="C11" s="107"/>
      <c r="D11" s="107"/>
      <c r="E11" s="107"/>
      <c r="F11" s="107"/>
      <c r="G11" s="107"/>
    </row>
    <row r="12" spans="1:9" ht="12.65" customHeight="1" x14ac:dyDescent="0.25">
      <c r="A12" s="69" t="s">
        <v>287</v>
      </c>
      <c r="B12" s="107" t="s">
        <v>374</v>
      </c>
      <c r="C12" s="107"/>
      <c r="D12" s="107"/>
      <c r="E12" s="107"/>
      <c r="F12" s="107"/>
      <c r="G12" s="107"/>
    </row>
    <row r="13" spans="1:9" x14ac:dyDescent="0.25">
      <c r="A13" s="69" t="s">
        <v>289</v>
      </c>
      <c r="B13" s="107">
        <v>1</v>
      </c>
      <c r="C13" s="107"/>
      <c r="D13" s="107"/>
      <c r="E13" s="107"/>
      <c r="F13" s="107"/>
      <c r="G13" s="107"/>
    </row>
    <row r="14" spans="1:9" x14ac:dyDescent="0.25">
      <c r="A14" s="69" t="s">
        <v>291</v>
      </c>
      <c r="B14" s="107">
        <v>302</v>
      </c>
      <c r="C14" s="107"/>
      <c r="D14" s="107"/>
      <c r="E14" s="107"/>
      <c r="F14" s="107"/>
      <c r="G14" s="107"/>
    </row>
    <row r="15" spans="1:9" x14ac:dyDescent="0.25">
      <c r="A15" s="69" t="s">
        <v>293</v>
      </c>
      <c r="B15" s="107" t="s">
        <v>378</v>
      </c>
      <c r="C15" s="107"/>
      <c r="D15" s="107"/>
      <c r="E15" s="107"/>
      <c r="F15" s="107"/>
      <c r="G15" s="107"/>
    </row>
    <row r="16" spans="1:9" x14ac:dyDescent="0.25">
      <c r="A16" s="69" t="s">
        <v>295</v>
      </c>
      <c r="B16" s="107" t="s">
        <v>379</v>
      </c>
      <c r="C16" s="107"/>
      <c r="D16" s="107"/>
      <c r="E16" s="107"/>
      <c r="F16" s="107"/>
      <c r="G16" s="107"/>
    </row>
    <row r="17" spans="1:7" ht="12.65" customHeight="1" x14ac:dyDescent="0.25">
      <c r="A17" s="69" t="s">
        <v>725</v>
      </c>
      <c r="B17" s="107"/>
      <c r="C17" s="107"/>
      <c r="D17" s="107"/>
      <c r="E17" s="107"/>
      <c r="F17" s="107"/>
      <c r="G17" s="107"/>
    </row>
    <row r="18" spans="1:7" x14ac:dyDescent="0.25">
      <c r="A18" s="69" t="s">
        <v>299</v>
      </c>
      <c r="B18" s="164" t="s">
        <v>727</v>
      </c>
      <c r="C18" s="107"/>
      <c r="D18" s="107"/>
      <c r="E18" s="107"/>
      <c r="F18" s="107"/>
      <c r="G18" s="107"/>
    </row>
    <row r="19" spans="1:7" x14ac:dyDescent="0.25">
      <c r="A19" s="69" t="s">
        <v>301</v>
      </c>
      <c r="B19" s="164">
        <v>45014</v>
      </c>
      <c r="C19" s="107"/>
      <c r="D19" s="107"/>
      <c r="E19" s="107"/>
      <c r="F19" s="107"/>
      <c r="G19" s="107"/>
    </row>
    <row r="20" spans="1:7" x14ac:dyDescent="0.25">
      <c r="A20" s="69" t="s">
        <v>303</v>
      </c>
      <c r="B20" s="107" t="s">
        <v>317</v>
      </c>
      <c r="C20" s="107"/>
      <c r="D20" s="107"/>
      <c r="E20" s="107"/>
      <c r="F20" s="107"/>
      <c r="G20" s="107"/>
    </row>
    <row r="21" spans="1:7" x14ac:dyDescent="0.25">
      <c r="A21" s="69" t="s">
        <v>309</v>
      </c>
      <c r="B21" s="107" t="s">
        <v>318</v>
      </c>
      <c r="C21" s="107"/>
      <c r="D21" s="107"/>
      <c r="E21" s="107"/>
      <c r="F21" s="107"/>
      <c r="G21" s="107"/>
    </row>
    <row r="23" spans="1:7" x14ac:dyDescent="0.25">
      <c r="B23" s="103" t="str">
        <f>HYPERLINK("#'Factor List'!A1","Back to Factor List")</f>
        <v>Back to Factor List</v>
      </c>
    </row>
    <row r="24" spans="1:7" x14ac:dyDescent="0.25">
      <c r="B24" s="103" t="s">
        <v>15</v>
      </c>
    </row>
    <row r="26" spans="1:7" ht="39" x14ac:dyDescent="0.25">
      <c r="A26" s="98" t="s">
        <v>408</v>
      </c>
      <c r="B26" s="98" t="s">
        <v>748</v>
      </c>
      <c r="C26" s="98" t="s">
        <v>749</v>
      </c>
      <c r="D26" s="98" t="s">
        <v>750</v>
      </c>
      <c r="E26" s="98" t="s">
        <v>751</v>
      </c>
      <c r="F26" s="98" t="s">
        <v>752</v>
      </c>
      <c r="G26" s="98" t="s">
        <v>753</v>
      </c>
    </row>
    <row r="27" spans="1:7" x14ac:dyDescent="0.25">
      <c r="A27" s="99">
        <v>20</v>
      </c>
      <c r="B27" s="100">
        <v>30.6</v>
      </c>
      <c r="C27" s="100">
        <v>6.59</v>
      </c>
      <c r="D27" s="100"/>
      <c r="E27" s="100"/>
      <c r="F27" s="100">
        <v>0</v>
      </c>
      <c r="G27" s="100">
        <v>0</v>
      </c>
    </row>
    <row r="28" spans="1:7" x14ac:dyDescent="0.25">
      <c r="A28" s="99">
        <v>21</v>
      </c>
      <c r="B28" s="100">
        <v>30.36</v>
      </c>
      <c r="C28" s="100">
        <v>6.54</v>
      </c>
      <c r="D28" s="100"/>
      <c r="E28" s="100"/>
      <c r="F28" s="100">
        <v>0</v>
      </c>
      <c r="G28" s="100">
        <v>0</v>
      </c>
    </row>
    <row r="29" spans="1:7" x14ac:dyDescent="0.25">
      <c r="A29" s="99">
        <v>22</v>
      </c>
      <c r="B29" s="100">
        <v>30.13</v>
      </c>
      <c r="C29" s="100">
        <v>6.48</v>
      </c>
      <c r="D29" s="100"/>
      <c r="E29" s="100"/>
      <c r="F29" s="100">
        <v>0</v>
      </c>
      <c r="G29" s="100">
        <v>0</v>
      </c>
    </row>
    <row r="30" spans="1:7" x14ac:dyDescent="0.25">
      <c r="A30" s="99">
        <v>23</v>
      </c>
      <c r="B30" s="100">
        <v>29.91</v>
      </c>
      <c r="C30" s="100">
        <v>6.41</v>
      </c>
      <c r="D30" s="100"/>
      <c r="E30" s="100"/>
      <c r="F30" s="100">
        <v>0</v>
      </c>
      <c r="G30" s="100">
        <v>0</v>
      </c>
    </row>
    <row r="31" spans="1:7" x14ac:dyDescent="0.25">
      <c r="A31" s="99">
        <v>24</v>
      </c>
      <c r="B31" s="100">
        <v>29.67</v>
      </c>
      <c r="C31" s="100">
        <v>6.35</v>
      </c>
      <c r="D31" s="100"/>
      <c r="E31" s="100"/>
      <c r="F31" s="100">
        <v>0</v>
      </c>
      <c r="G31" s="100">
        <v>0</v>
      </c>
    </row>
    <row r="32" spans="1:7" x14ac:dyDescent="0.25">
      <c r="A32" s="99">
        <v>25</v>
      </c>
      <c r="B32" s="100">
        <v>29.44</v>
      </c>
      <c r="C32" s="100">
        <v>6.28</v>
      </c>
      <c r="D32" s="100"/>
      <c r="E32" s="100"/>
      <c r="F32" s="100">
        <v>0</v>
      </c>
      <c r="G32" s="100">
        <v>0</v>
      </c>
    </row>
    <row r="33" spans="1:7" x14ac:dyDescent="0.25">
      <c r="A33" s="99">
        <v>26</v>
      </c>
      <c r="B33" s="100">
        <v>29.2</v>
      </c>
      <c r="C33" s="100">
        <v>6.22</v>
      </c>
      <c r="D33" s="100"/>
      <c r="E33" s="100"/>
      <c r="F33" s="100">
        <v>0</v>
      </c>
      <c r="G33" s="100">
        <v>0</v>
      </c>
    </row>
    <row r="34" spans="1:7" x14ac:dyDescent="0.25">
      <c r="A34" s="99">
        <v>27</v>
      </c>
      <c r="B34" s="100">
        <v>28.96</v>
      </c>
      <c r="C34" s="100">
        <v>6.14</v>
      </c>
      <c r="D34" s="100"/>
      <c r="E34" s="100"/>
      <c r="F34" s="100">
        <v>0</v>
      </c>
      <c r="G34" s="100">
        <v>0</v>
      </c>
    </row>
    <row r="35" spans="1:7" x14ac:dyDescent="0.25">
      <c r="A35" s="99">
        <v>28</v>
      </c>
      <c r="B35" s="100">
        <v>28.73</v>
      </c>
      <c r="C35" s="100">
        <v>6.07</v>
      </c>
      <c r="D35" s="100"/>
      <c r="E35" s="100"/>
      <c r="F35" s="100">
        <v>0</v>
      </c>
      <c r="G35" s="100">
        <v>0</v>
      </c>
    </row>
    <row r="36" spans="1:7" x14ac:dyDescent="0.25">
      <c r="A36" s="99">
        <v>29</v>
      </c>
      <c r="B36" s="100">
        <v>28.5</v>
      </c>
      <c r="C36" s="100">
        <v>5.99</v>
      </c>
      <c r="D36" s="100"/>
      <c r="E36" s="100"/>
      <c r="F36" s="100">
        <v>0</v>
      </c>
      <c r="G36" s="100">
        <v>0</v>
      </c>
    </row>
    <row r="37" spans="1:7" x14ac:dyDescent="0.25">
      <c r="A37" s="99">
        <v>30</v>
      </c>
      <c r="B37" s="100">
        <v>28.27</v>
      </c>
      <c r="C37" s="100">
        <v>5.9</v>
      </c>
      <c r="D37" s="100"/>
      <c r="E37" s="100"/>
      <c r="F37" s="100">
        <v>0</v>
      </c>
      <c r="G37" s="100">
        <v>0</v>
      </c>
    </row>
    <row r="38" spans="1:7" x14ac:dyDescent="0.25">
      <c r="A38" s="99">
        <v>31</v>
      </c>
      <c r="B38" s="100">
        <v>28.05</v>
      </c>
      <c r="C38" s="100">
        <v>5.81</v>
      </c>
      <c r="D38" s="100"/>
      <c r="E38" s="100"/>
      <c r="F38" s="100">
        <v>0</v>
      </c>
      <c r="G38" s="100">
        <v>0</v>
      </c>
    </row>
    <row r="39" spans="1:7" x14ac:dyDescent="0.25">
      <c r="A39" s="99">
        <v>32</v>
      </c>
      <c r="B39" s="100">
        <v>27.82</v>
      </c>
      <c r="C39" s="100">
        <v>5.71</v>
      </c>
      <c r="D39" s="100"/>
      <c r="E39" s="100"/>
      <c r="F39" s="100">
        <v>0</v>
      </c>
      <c r="G39" s="100">
        <v>0</v>
      </c>
    </row>
    <row r="40" spans="1:7" x14ac:dyDescent="0.25">
      <c r="A40" s="99">
        <v>33</v>
      </c>
      <c r="B40" s="100">
        <v>27.6</v>
      </c>
      <c r="C40" s="100">
        <v>5.61</v>
      </c>
      <c r="D40" s="100"/>
      <c r="E40" s="100"/>
      <c r="F40" s="100">
        <v>0</v>
      </c>
      <c r="G40" s="100">
        <v>0</v>
      </c>
    </row>
    <row r="41" spans="1:7" x14ac:dyDescent="0.25">
      <c r="A41" s="99">
        <v>34</v>
      </c>
      <c r="B41" s="100">
        <v>27.37</v>
      </c>
      <c r="C41" s="100">
        <v>5.51</v>
      </c>
      <c r="D41" s="100"/>
      <c r="E41" s="100"/>
      <c r="F41" s="100">
        <v>0</v>
      </c>
      <c r="G41" s="100">
        <v>0</v>
      </c>
    </row>
    <row r="42" spans="1:7" x14ac:dyDescent="0.25">
      <c r="A42" s="99">
        <v>35</v>
      </c>
      <c r="B42" s="100">
        <v>27.14</v>
      </c>
      <c r="C42" s="100">
        <v>5.4</v>
      </c>
      <c r="D42" s="100"/>
      <c r="E42" s="100"/>
      <c r="F42" s="100">
        <v>0</v>
      </c>
      <c r="G42" s="100">
        <v>0</v>
      </c>
    </row>
    <row r="43" spans="1:7" x14ac:dyDescent="0.25">
      <c r="A43" s="99">
        <v>36</v>
      </c>
      <c r="B43" s="100">
        <v>26.91</v>
      </c>
      <c r="C43" s="100">
        <v>5.3</v>
      </c>
      <c r="D43" s="100"/>
      <c r="E43" s="100"/>
      <c r="F43" s="100">
        <v>0</v>
      </c>
      <c r="G43" s="100">
        <v>0</v>
      </c>
    </row>
    <row r="44" spans="1:7" x14ac:dyDescent="0.25">
      <c r="A44" s="99">
        <v>37</v>
      </c>
      <c r="B44" s="100">
        <v>26.68</v>
      </c>
      <c r="C44" s="100">
        <v>5.19</v>
      </c>
      <c r="D44" s="100"/>
      <c r="E44" s="100"/>
      <c r="F44" s="100">
        <v>0</v>
      </c>
      <c r="G44" s="100">
        <v>0</v>
      </c>
    </row>
    <row r="45" spans="1:7" x14ac:dyDescent="0.25">
      <c r="A45" s="99">
        <v>38</v>
      </c>
      <c r="B45" s="100">
        <v>26.43</v>
      </c>
      <c r="C45" s="100">
        <v>5.09</v>
      </c>
      <c r="D45" s="100"/>
      <c r="E45" s="100"/>
      <c r="F45" s="100">
        <v>0</v>
      </c>
      <c r="G45" s="100">
        <v>0</v>
      </c>
    </row>
    <row r="46" spans="1:7" x14ac:dyDescent="0.25">
      <c r="A46" s="99">
        <v>39</v>
      </c>
      <c r="B46" s="100">
        <v>26.18</v>
      </c>
      <c r="C46" s="100">
        <v>4.9800000000000004</v>
      </c>
      <c r="D46" s="100"/>
      <c r="E46" s="100"/>
      <c r="F46" s="100">
        <v>0</v>
      </c>
      <c r="G46" s="100">
        <v>0</v>
      </c>
    </row>
    <row r="47" spans="1:7" x14ac:dyDescent="0.25">
      <c r="A47" s="99">
        <v>40</v>
      </c>
      <c r="B47" s="100">
        <v>25.92</v>
      </c>
      <c r="C47" s="100">
        <v>4.88</v>
      </c>
      <c r="D47" s="100"/>
      <c r="E47" s="100"/>
      <c r="F47" s="100">
        <v>0</v>
      </c>
      <c r="G47" s="100">
        <v>0</v>
      </c>
    </row>
    <row r="48" spans="1:7" x14ac:dyDescent="0.25">
      <c r="A48" s="99">
        <v>41</v>
      </c>
      <c r="B48" s="100">
        <v>25.65</v>
      </c>
      <c r="C48" s="100">
        <v>4.78</v>
      </c>
      <c r="D48" s="100"/>
      <c r="E48" s="100"/>
      <c r="F48" s="100">
        <v>0</v>
      </c>
      <c r="G48" s="100">
        <v>0</v>
      </c>
    </row>
    <row r="49" spans="1:7" x14ac:dyDescent="0.25">
      <c r="A49" s="99">
        <v>42</v>
      </c>
      <c r="B49" s="100">
        <v>25.38</v>
      </c>
      <c r="C49" s="100">
        <v>4.67</v>
      </c>
      <c r="D49" s="100"/>
      <c r="E49" s="100"/>
      <c r="F49" s="100">
        <v>0</v>
      </c>
      <c r="G49" s="100">
        <v>0</v>
      </c>
    </row>
    <row r="50" spans="1:7" x14ac:dyDescent="0.25">
      <c r="A50" s="99">
        <v>43</v>
      </c>
      <c r="B50" s="100">
        <v>25.1</v>
      </c>
      <c r="C50" s="100">
        <v>4.57</v>
      </c>
      <c r="D50" s="100"/>
      <c r="E50" s="100"/>
      <c r="F50" s="100">
        <v>0</v>
      </c>
      <c r="G50" s="100">
        <v>0</v>
      </c>
    </row>
    <row r="51" spans="1:7" x14ac:dyDescent="0.25">
      <c r="A51" s="99">
        <v>44</v>
      </c>
      <c r="B51" s="100">
        <v>24.8</v>
      </c>
      <c r="C51" s="100">
        <v>4.47</v>
      </c>
      <c r="D51" s="100"/>
      <c r="E51" s="100"/>
      <c r="F51" s="100">
        <v>0</v>
      </c>
      <c r="G51" s="100">
        <v>0</v>
      </c>
    </row>
    <row r="52" spans="1:7" x14ac:dyDescent="0.25">
      <c r="A52" s="99">
        <v>45</v>
      </c>
      <c r="B52" s="100">
        <v>24.5</v>
      </c>
      <c r="C52" s="100">
        <v>4.3600000000000003</v>
      </c>
      <c r="D52" s="100"/>
      <c r="E52" s="100"/>
      <c r="F52" s="100">
        <v>0</v>
      </c>
      <c r="G52" s="100">
        <v>0</v>
      </c>
    </row>
    <row r="53" spans="1:7" x14ac:dyDescent="0.25">
      <c r="A53" s="99">
        <v>46</v>
      </c>
      <c r="B53" s="100">
        <v>24.2</v>
      </c>
      <c r="C53" s="100">
        <v>4.26</v>
      </c>
      <c r="D53" s="100"/>
      <c r="E53" s="100"/>
      <c r="F53" s="100">
        <v>0</v>
      </c>
      <c r="G53" s="100">
        <v>0</v>
      </c>
    </row>
    <row r="54" spans="1:7" x14ac:dyDescent="0.25">
      <c r="A54" s="99">
        <v>47</v>
      </c>
      <c r="B54" s="100">
        <v>23.88</v>
      </c>
      <c r="C54" s="100">
        <v>4.16</v>
      </c>
      <c r="D54" s="100"/>
      <c r="E54" s="100"/>
      <c r="F54" s="100">
        <v>0</v>
      </c>
      <c r="G54" s="100">
        <v>0</v>
      </c>
    </row>
    <row r="55" spans="1:7" x14ac:dyDescent="0.25">
      <c r="A55" s="99">
        <v>48</v>
      </c>
      <c r="B55" s="100">
        <v>23.55</v>
      </c>
      <c r="C55" s="100">
        <v>4.07</v>
      </c>
      <c r="D55" s="100"/>
      <c r="E55" s="100"/>
      <c r="F55" s="100">
        <v>0</v>
      </c>
      <c r="G55" s="100">
        <v>0</v>
      </c>
    </row>
    <row r="56" spans="1:7" x14ac:dyDescent="0.25">
      <c r="A56" s="99">
        <v>49</v>
      </c>
      <c r="B56" s="100">
        <v>23.21</v>
      </c>
      <c r="C56" s="100">
        <v>3.97</v>
      </c>
      <c r="D56" s="100"/>
      <c r="E56" s="100"/>
      <c r="F56" s="100">
        <v>0</v>
      </c>
      <c r="G56" s="100">
        <v>0</v>
      </c>
    </row>
    <row r="57" spans="1:7" x14ac:dyDescent="0.25">
      <c r="A57" s="99">
        <v>50</v>
      </c>
      <c r="B57" s="100">
        <v>22.86</v>
      </c>
      <c r="C57" s="100">
        <v>3.88</v>
      </c>
      <c r="D57" s="100"/>
      <c r="E57" s="100"/>
      <c r="F57" s="100">
        <v>0</v>
      </c>
      <c r="G57" s="100">
        <v>0</v>
      </c>
    </row>
    <row r="58" spans="1:7" x14ac:dyDescent="0.25">
      <c r="A58" s="99">
        <v>51</v>
      </c>
      <c r="B58" s="100">
        <v>22.49</v>
      </c>
      <c r="C58" s="100">
        <v>3.79</v>
      </c>
      <c r="D58" s="100"/>
      <c r="E58" s="100"/>
      <c r="F58" s="100">
        <v>0</v>
      </c>
      <c r="G58" s="100">
        <v>0</v>
      </c>
    </row>
    <row r="59" spans="1:7" x14ac:dyDescent="0.25">
      <c r="A59" s="99">
        <v>52</v>
      </c>
      <c r="B59" s="100">
        <v>22.11</v>
      </c>
      <c r="C59" s="100">
        <v>3.71</v>
      </c>
      <c r="D59" s="100"/>
      <c r="E59" s="100"/>
      <c r="F59" s="100">
        <v>0</v>
      </c>
      <c r="G59" s="100">
        <v>0</v>
      </c>
    </row>
    <row r="60" spans="1:7" x14ac:dyDescent="0.25">
      <c r="A60" s="99">
        <v>53</v>
      </c>
      <c r="B60" s="100">
        <v>21.71</v>
      </c>
      <c r="C60" s="100">
        <v>3.63</v>
      </c>
      <c r="D60" s="100"/>
      <c r="E60" s="100"/>
      <c r="F60" s="100">
        <v>0</v>
      </c>
      <c r="G60" s="100">
        <v>0</v>
      </c>
    </row>
    <row r="61" spans="1:7" x14ac:dyDescent="0.25">
      <c r="A61" s="99">
        <v>54</v>
      </c>
      <c r="B61" s="100">
        <v>21.3</v>
      </c>
      <c r="C61" s="100">
        <v>3.55</v>
      </c>
      <c r="D61" s="100"/>
      <c r="E61" s="100"/>
      <c r="F61" s="100">
        <v>0</v>
      </c>
      <c r="G61" s="100">
        <v>0</v>
      </c>
    </row>
    <row r="62" spans="1:7" x14ac:dyDescent="0.25">
      <c r="A62" s="99">
        <v>55</v>
      </c>
      <c r="B62" s="100">
        <v>20.87</v>
      </c>
      <c r="C62" s="100">
        <v>3.48</v>
      </c>
      <c r="D62" s="100"/>
      <c r="E62" s="100"/>
      <c r="F62" s="100">
        <v>0</v>
      </c>
      <c r="G62" s="100">
        <v>0</v>
      </c>
    </row>
    <row r="63" spans="1:7" x14ac:dyDescent="0.25">
      <c r="A63" s="99">
        <v>56</v>
      </c>
      <c r="B63" s="100">
        <v>20.43</v>
      </c>
      <c r="C63" s="100">
        <v>3.41</v>
      </c>
      <c r="D63" s="100"/>
      <c r="E63" s="100"/>
      <c r="F63" s="100">
        <v>0</v>
      </c>
      <c r="G63" s="100">
        <v>0</v>
      </c>
    </row>
    <row r="64" spans="1:7" x14ac:dyDescent="0.25">
      <c r="A64" s="99">
        <v>57</v>
      </c>
      <c r="B64" s="100">
        <v>19.98</v>
      </c>
      <c r="C64" s="100">
        <v>3.35</v>
      </c>
      <c r="D64" s="100"/>
      <c r="E64" s="100"/>
      <c r="F64" s="100">
        <v>0</v>
      </c>
      <c r="G64" s="100">
        <v>0</v>
      </c>
    </row>
    <row r="65" spans="1:7" x14ac:dyDescent="0.25">
      <c r="A65" s="99">
        <v>58</v>
      </c>
      <c r="B65" s="100">
        <v>19.510000000000002</v>
      </c>
      <c r="C65" s="100">
        <v>3.29</v>
      </c>
      <c r="D65" s="100"/>
      <c r="E65" s="100"/>
      <c r="F65" s="100">
        <v>0</v>
      </c>
      <c r="G65" s="100">
        <v>0</v>
      </c>
    </row>
    <row r="66" spans="1:7" x14ac:dyDescent="0.25">
      <c r="A66" s="99">
        <v>59</v>
      </c>
      <c r="B66" s="100">
        <v>19.04</v>
      </c>
      <c r="C66" s="100">
        <v>3.23</v>
      </c>
      <c r="D66" s="100"/>
      <c r="E66" s="100"/>
      <c r="F66" s="100">
        <v>0</v>
      </c>
      <c r="G66" s="100">
        <v>0</v>
      </c>
    </row>
    <row r="67" spans="1:7" x14ac:dyDescent="0.25">
      <c r="A67" s="99">
        <v>60</v>
      </c>
      <c r="B67" s="100">
        <v>18.54</v>
      </c>
      <c r="C67" s="100">
        <v>3.17</v>
      </c>
      <c r="D67" s="100"/>
      <c r="E67" s="100"/>
      <c r="F67" s="100">
        <v>0</v>
      </c>
      <c r="G67" s="100">
        <v>0</v>
      </c>
    </row>
    <row r="68" spans="1:7" x14ac:dyDescent="0.25">
      <c r="A68" s="99">
        <v>61</v>
      </c>
      <c r="B68" s="100">
        <v>18.03</v>
      </c>
      <c r="C68" s="100">
        <v>3.12</v>
      </c>
      <c r="D68" s="100"/>
      <c r="E68" s="100"/>
      <c r="F68" s="100">
        <v>0</v>
      </c>
      <c r="G68" s="100">
        <v>0</v>
      </c>
    </row>
    <row r="69" spans="1:7" x14ac:dyDescent="0.25">
      <c r="A69" s="99">
        <v>62</v>
      </c>
      <c r="B69" s="100">
        <v>17.510000000000002</v>
      </c>
      <c r="C69" s="100">
        <v>3.07</v>
      </c>
      <c r="D69" s="100"/>
      <c r="E69" s="100"/>
      <c r="F69" s="100">
        <v>0</v>
      </c>
      <c r="G69" s="100">
        <v>0</v>
      </c>
    </row>
    <row r="70" spans="1:7" x14ac:dyDescent="0.25">
      <c r="A70" s="99">
        <v>63</v>
      </c>
      <c r="B70" s="100">
        <v>16.98</v>
      </c>
      <c r="C70" s="100">
        <v>3.03</v>
      </c>
      <c r="D70" s="100"/>
      <c r="E70" s="100"/>
      <c r="F70" s="100">
        <v>0</v>
      </c>
      <c r="G70" s="100">
        <v>0</v>
      </c>
    </row>
    <row r="71" spans="1:7" x14ac:dyDescent="0.25">
      <c r="A71" s="99">
        <v>64</v>
      </c>
      <c r="B71" s="100">
        <v>16.43</v>
      </c>
      <c r="C71" s="100">
        <v>2.98</v>
      </c>
      <c r="D71" s="100"/>
      <c r="E71" s="100"/>
      <c r="F71" s="100">
        <v>0</v>
      </c>
      <c r="G71" s="100">
        <v>0</v>
      </c>
    </row>
    <row r="72" spans="1:7" x14ac:dyDescent="0.25">
      <c r="A72" s="99">
        <v>65</v>
      </c>
      <c r="B72" s="100">
        <v>15.88</v>
      </c>
      <c r="C72" s="100">
        <v>2.93</v>
      </c>
      <c r="D72" s="100"/>
      <c r="E72" s="100"/>
      <c r="F72" s="100">
        <v>0</v>
      </c>
      <c r="G72" s="100">
        <v>0</v>
      </c>
    </row>
    <row r="73" spans="1:7" x14ac:dyDescent="0.25">
      <c r="A73" s="99">
        <v>66</v>
      </c>
      <c r="B73" s="100">
        <v>15.31</v>
      </c>
      <c r="C73" s="100">
        <v>2.9</v>
      </c>
      <c r="D73" s="100"/>
      <c r="E73" s="100"/>
      <c r="F73" s="100">
        <v>0</v>
      </c>
      <c r="G73" s="100">
        <v>0</v>
      </c>
    </row>
    <row r="74" spans="1:7" x14ac:dyDescent="0.25">
      <c r="A74" s="99">
        <v>67</v>
      </c>
      <c r="B74" s="100">
        <v>14.73</v>
      </c>
      <c r="C74" s="100">
        <v>2.86</v>
      </c>
      <c r="D74" s="100"/>
      <c r="E74" s="100"/>
      <c r="F74" s="100">
        <v>0</v>
      </c>
      <c r="G74" s="100">
        <v>0</v>
      </c>
    </row>
    <row r="75" spans="1:7" x14ac:dyDescent="0.25">
      <c r="A75" s="99">
        <v>68</v>
      </c>
      <c r="B75" s="100">
        <v>14.14</v>
      </c>
      <c r="C75" s="100">
        <v>2.82</v>
      </c>
      <c r="D75" s="100"/>
      <c r="E75" s="100"/>
      <c r="F75" s="100">
        <v>0</v>
      </c>
      <c r="G75" s="100">
        <v>0</v>
      </c>
    </row>
    <row r="76" spans="1:7" x14ac:dyDescent="0.25">
      <c r="A76" s="99">
        <v>69</v>
      </c>
      <c r="B76" s="100">
        <v>13.55</v>
      </c>
      <c r="C76" s="100">
        <v>2.69</v>
      </c>
      <c r="D76" s="100">
        <v>2.5499999999999998</v>
      </c>
      <c r="E76" s="100">
        <v>2.2799999999999998</v>
      </c>
      <c r="F76" s="100">
        <v>0</v>
      </c>
      <c r="G76" s="100">
        <v>0</v>
      </c>
    </row>
    <row r="77" spans="1:7" x14ac:dyDescent="0.25">
      <c r="A77" s="99">
        <v>70</v>
      </c>
      <c r="B77" s="100">
        <v>12.95</v>
      </c>
      <c r="C77" s="100">
        <v>2.57</v>
      </c>
      <c r="D77" s="100">
        <v>2.36</v>
      </c>
      <c r="E77" s="100">
        <v>2.11</v>
      </c>
      <c r="F77" s="100">
        <v>0</v>
      </c>
      <c r="G77" s="100">
        <v>0</v>
      </c>
    </row>
    <row r="78" spans="1:7" x14ac:dyDescent="0.25">
      <c r="A78" s="99">
        <v>71</v>
      </c>
      <c r="B78" s="100">
        <v>12.35</v>
      </c>
      <c r="C78" s="100">
        <v>2.5299999999999998</v>
      </c>
      <c r="D78" s="100">
        <v>2.19</v>
      </c>
      <c r="E78" s="100">
        <v>1.94</v>
      </c>
      <c r="F78" s="100">
        <v>0</v>
      </c>
      <c r="G78" s="100">
        <v>0</v>
      </c>
    </row>
    <row r="79" spans="1:7" x14ac:dyDescent="0.25">
      <c r="A79" s="99">
        <v>72</v>
      </c>
      <c r="B79" s="100">
        <v>11.75</v>
      </c>
      <c r="C79" s="100">
        <v>2.5</v>
      </c>
      <c r="D79" s="100">
        <v>2.0299999999999998</v>
      </c>
      <c r="E79" s="100">
        <v>1.77</v>
      </c>
      <c r="F79" s="100">
        <v>0</v>
      </c>
      <c r="G79" s="100">
        <v>0</v>
      </c>
    </row>
    <row r="80" spans="1:7" x14ac:dyDescent="0.25">
      <c r="A80" s="99">
        <v>73</v>
      </c>
      <c r="B80" s="100">
        <v>11.16</v>
      </c>
      <c r="C80" s="100">
        <v>2.46</v>
      </c>
      <c r="D80" s="100">
        <v>1.87</v>
      </c>
      <c r="E80" s="100">
        <v>1.62</v>
      </c>
      <c r="F80" s="100">
        <v>0</v>
      </c>
      <c r="G80" s="100">
        <v>0</v>
      </c>
    </row>
    <row r="81" spans="1:7" x14ac:dyDescent="0.25">
      <c r="A81" s="99">
        <v>74</v>
      </c>
      <c r="B81" s="100">
        <v>10.57</v>
      </c>
      <c r="C81" s="100">
        <v>2.2599999999999998</v>
      </c>
      <c r="D81" s="100">
        <v>1.7</v>
      </c>
      <c r="E81" s="100">
        <v>1.47</v>
      </c>
      <c r="F81" s="100">
        <v>0</v>
      </c>
      <c r="G81" s="100">
        <v>0</v>
      </c>
    </row>
    <row r="82" spans="1:7" x14ac:dyDescent="0.25">
      <c r="A82" s="99">
        <v>75</v>
      </c>
      <c r="B82" s="100">
        <v>9.99</v>
      </c>
      <c r="C82" s="100">
        <v>2.0699999999999998</v>
      </c>
      <c r="D82" s="100">
        <v>1.53</v>
      </c>
      <c r="E82" s="100">
        <v>1.33</v>
      </c>
      <c r="F82" s="100">
        <v>0</v>
      </c>
      <c r="G82" s="100">
        <v>0</v>
      </c>
    </row>
    <row r="83" spans="1:7" x14ac:dyDescent="0.25">
      <c r="A83" s="99">
        <v>76</v>
      </c>
      <c r="B83" s="100">
        <v>9.41</v>
      </c>
      <c r="C83" s="100">
        <v>2.0299999999999998</v>
      </c>
      <c r="D83" s="100">
        <v>1.4</v>
      </c>
      <c r="E83" s="100">
        <v>1.2</v>
      </c>
      <c r="F83" s="100">
        <v>0</v>
      </c>
      <c r="G83" s="100">
        <v>0</v>
      </c>
    </row>
    <row r="84" spans="1:7" x14ac:dyDescent="0.25">
      <c r="A84" s="99">
        <v>77</v>
      </c>
      <c r="B84" s="100">
        <v>8.85</v>
      </c>
      <c r="C84" s="100">
        <v>1.98</v>
      </c>
      <c r="D84" s="100">
        <v>1.27</v>
      </c>
      <c r="E84" s="100">
        <v>1.07</v>
      </c>
      <c r="F84" s="100">
        <v>0</v>
      </c>
      <c r="G84" s="100">
        <v>0</v>
      </c>
    </row>
    <row r="85" spans="1:7" x14ac:dyDescent="0.25">
      <c r="A85" s="99">
        <v>78</v>
      </c>
      <c r="B85" s="100">
        <v>8.3000000000000007</v>
      </c>
      <c r="C85" s="100">
        <v>1.94</v>
      </c>
      <c r="D85" s="100">
        <v>1.1499999999999999</v>
      </c>
      <c r="E85" s="100">
        <v>0.96</v>
      </c>
      <c r="F85" s="100">
        <v>0</v>
      </c>
      <c r="G85" s="100">
        <v>0</v>
      </c>
    </row>
    <row r="86" spans="1:7" x14ac:dyDescent="0.25">
      <c r="A86" s="99">
        <v>79</v>
      </c>
      <c r="B86" s="100">
        <v>7.77</v>
      </c>
      <c r="C86" s="100">
        <v>1.71</v>
      </c>
      <c r="D86" s="100">
        <v>1.02</v>
      </c>
      <c r="E86" s="100">
        <v>0.85</v>
      </c>
      <c r="F86" s="100">
        <v>0</v>
      </c>
      <c r="G86" s="100">
        <v>0</v>
      </c>
    </row>
    <row r="87" spans="1:7" x14ac:dyDescent="0.25">
      <c r="A87" s="99">
        <v>80</v>
      </c>
      <c r="B87" s="100">
        <v>7.26</v>
      </c>
      <c r="C87" s="100">
        <v>1.48</v>
      </c>
      <c r="D87" s="100">
        <v>0.89</v>
      </c>
      <c r="E87" s="100">
        <v>0.76</v>
      </c>
      <c r="F87" s="100">
        <v>0</v>
      </c>
      <c r="G87" s="100">
        <v>0</v>
      </c>
    </row>
    <row r="88" spans="1:7" x14ac:dyDescent="0.25">
      <c r="A88" s="99">
        <v>81</v>
      </c>
      <c r="B88" s="100">
        <v>6.76</v>
      </c>
      <c r="C88" s="100">
        <v>1.43</v>
      </c>
      <c r="D88" s="100">
        <v>0.79</v>
      </c>
      <c r="E88" s="100">
        <v>0.67</v>
      </c>
      <c r="F88" s="100">
        <v>0</v>
      </c>
      <c r="G88" s="100">
        <v>0</v>
      </c>
    </row>
    <row r="89" spans="1:7" x14ac:dyDescent="0.25">
      <c r="A89" s="99">
        <v>82</v>
      </c>
      <c r="B89" s="100">
        <v>6.29</v>
      </c>
      <c r="C89" s="100">
        <v>1.38</v>
      </c>
      <c r="D89" s="100">
        <v>0.71</v>
      </c>
      <c r="E89" s="100">
        <v>0.59</v>
      </c>
      <c r="F89" s="100">
        <v>0</v>
      </c>
      <c r="G89" s="100">
        <v>0</v>
      </c>
    </row>
    <row r="90" spans="1:7" x14ac:dyDescent="0.25">
      <c r="A90" s="99">
        <v>83</v>
      </c>
      <c r="B90" s="100">
        <v>5.84</v>
      </c>
      <c r="C90" s="100">
        <v>1.33</v>
      </c>
      <c r="D90" s="100">
        <v>0.63</v>
      </c>
      <c r="E90" s="100">
        <v>0.51</v>
      </c>
      <c r="F90" s="100">
        <v>0</v>
      </c>
      <c r="G90" s="100">
        <v>0</v>
      </c>
    </row>
    <row r="91" spans="1:7" x14ac:dyDescent="0.25">
      <c r="A91" s="99">
        <v>84</v>
      </c>
      <c r="B91" s="100">
        <v>5.41</v>
      </c>
      <c r="C91" s="100">
        <v>1.1200000000000001</v>
      </c>
      <c r="D91" s="100">
        <v>0.54</v>
      </c>
      <c r="E91" s="100">
        <v>0.45</v>
      </c>
      <c r="F91" s="100">
        <v>0</v>
      </c>
      <c r="G91" s="100">
        <v>0</v>
      </c>
    </row>
    <row r="92" spans="1:7" x14ac:dyDescent="0.25">
      <c r="A92" s="99">
        <v>85</v>
      </c>
      <c r="B92" s="100">
        <v>5</v>
      </c>
      <c r="C92" s="100">
        <v>0.92</v>
      </c>
      <c r="D92" s="100">
        <v>0.45</v>
      </c>
      <c r="E92" s="100">
        <v>0.39</v>
      </c>
      <c r="F92" s="100">
        <v>0</v>
      </c>
      <c r="G92" s="100">
        <v>0</v>
      </c>
    </row>
    <row r="93" spans="1:7" x14ac:dyDescent="0.25">
      <c r="A93" s="99">
        <v>86</v>
      </c>
      <c r="B93" s="100">
        <v>4.6100000000000003</v>
      </c>
      <c r="C93" s="100">
        <v>0.88</v>
      </c>
      <c r="D93" s="100">
        <v>0.4</v>
      </c>
      <c r="E93" s="100">
        <v>0.34</v>
      </c>
      <c r="F93" s="100">
        <v>0</v>
      </c>
      <c r="G93" s="100">
        <v>0</v>
      </c>
    </row>
    <row r="94" spans="1:7" x14ac:dyDescent="0.25">
      <c r="A94" s="99">
        <v>87</v>
      </c>
      <c r="B94" s="100">
        <v>4.25</v>
      </c>
      <c r="C94" s="100">
        <v>0.83</v>
      </c>
      <c r="D94" s="100">
        <v>0.35</v>
      </c>
      <c r="E94" s="100">
        <v>0.28999999999999998</v>
      </c>
      <c r="F94" s="100">
        <v>0</v>
      </c>
      <c r="G94" s="100">
        <v>0</v>
      </c>
    </row>
    <row r="95" spans="1:7" x14ac:dyDescent="0.25">
      <c r="A95" s="99">
        <v>88</v>
      </c>
      <c r="B95" s="100">
        <v>3.91</v>
      </c>
      <c r="C95" s="100">
        <v>0.79</v>
      </c>
      <c r="D95" s="100">
        <v>0.31</v>
      </c>
      <c r="E95" s="100">
        <v>0.25</v>
      </c>
      <c r="F95" s="100">
        <v>0</v>
      </c>
      <c r="G95" s="100">
        <v>0</v>
      </c>
    </row>
    <row r="96" spans="1:7" x14ac:dyDescent="0.25">
      <c r="A96" s="99">
        <v>89</v>
      </c>
      <c r="B96" s="100">
        <v>3.59</v>
      </c>
      <c r="C96" s="100">
        <v>0.62</v>
      </c>
      <c r="D96" s="100">
        <v>0.25</v>
      </c>
      <c r="E96" s="100">
        <v>0.21</v>
      </c>
      <c r="F96" s="100">
        <v>0</v>
      </c>
      <c r="G96" s="100">
        <v>0</v>
      </c>
    </row>
    <row r="97" spans="1:7" x14ac:dyDescent="0.25">
      <c r="A97" s="99">
        <v>90</v>
      </c>
      <c r="B97" s="100">
        <v>3.3</v>
      </c>
      <c r="C97" s="100">
        <v>0.46</v>
      </c>
      <c r="D97" s="100">
        <v>0.2</v>
      </c>
      <c r="E97" s="100">
        <v>0.18</v>
      </c>
      <c r="F97" s="100">
        <v>0</v>
      </c>
      <c r="G97" s="100">
        <v>0</v>
      </c>
    </row>
    <row r="98" spans="1:7" x14ac:dyDescent="0.25">
      <c r="A98" s="99">
        <v>91</v>
      </c>
      <c r="B98" s="100">
        <v>3.02</v>
      </c>
      <c r="C98" s="100">
        <v>0.44</v>
      </c>
      <c r="D98" s="100">
        <v>0.18</v>
      </c>
      <c r="E98" s="100">
        <v>0.15</v>
      </c>
      <c r="F98" s="100">
        <v>0</v>
      </c>
      <c r="G98" s="100">
        <v>0</v>
      </c>
    </row>
    <row r="99" spans="1:7" x14ac:dyDescent="0.25">
      <c r="A99" s="99">
        <v>92</v>
      </c>
      <c r="B99" s="100">
        <v>2.77</v>
      </c>
      <c r="C99" s="100">
        <v>0.41</v>
      </c>
      <c r="D99" s="100">
        <v>0.15</v>
      </c>
      <c r="E99" s="100">
        <v>0.13</v>
      </c>
      <c r="F99" s="100">
        <v>0</v>
      </c>
      <c r="G99" s="100">
        <v>0</v>
      </c>
    </row>
    <row r="100" spans="1:7" x14ac:dyDescent="0.25">
      <c r="A100" s="99">
        <v>93</v>
      </c>
      <c r="B100" s="100">
        <v>2.54</v>
      </c>
      <c r="C100" s="100">
        <v>0.38</v>
      </c>
      <c r="D100" s="100">
        <v>0.13</v>
      </c>
      <c r="E100" s="100">
        <v>0.11</v>
      </c>
      <c r="F100" s="100">
        <v>0</v>
      </c>
      <c r="G100" s="100">
        <v>0</v>
      </c>
    </row>
    <row r="101" spans="1:7" x14ac:dyDescent="0.25">
      <c r="A101" s="99">
        <v>94</v>
      </c>
      <c r="B101" s="100">
        <v>2.34</v>
      </c>
      <c r="C101" s="100">
        <v>0.36</v>
      </c>
      <c r="D101" s="100">
        <v>0.11</v>
      </c>
      <c r="E101" s="100">
        <v>0.09</v>
      </c>
      <c r="F101" s="100">
        <v>0</v>
      </c>
      <c r="G101" s="100">
        <v>0</v>
      </c>
    </row>
    <row r="102" spans="1:7" x14ac:dyDescent="0.25">
      <c r="A102" s="99">
        <v>95</v>
      </c>
      <c r="B102" s="100">
        <v>2.15</v>
      </c>
      <c r="C102" s="100">
        <v>0.34</v>
      </c>
      <c r="D102" s="100">
        <v>0.1</v>
      </c>
      <c r="E102" s="100">
        <v>0.08</v>
      </c>
      <c r="F102" s="100">
        <v>0</v>
      </c>
      <c r="G102" s="100">
        <v>0</v>
      </c>
    </row>
  </sheetData>
  <sheetProtection algorithmName="SHA-512" hashValue="cCmO6ylz6qyQabS58myVC69ZLUkK0ZjhRJJKjDM4zQGRQgej67VOj/2HwCBhuCG4wDD8hVvTM3K06O0v7PaPHQ==" saltValue="V52AAFmN2EfSlrC7ThBhUA==" spinCount="100000" sheet="1" objects="1" scenarios="1"/>
  <conditionalFormatting sqref="A6:A21">
    <cfRule type="expression" dxfId="943" priority="15" stopIfTrue="1">
      <formula>MOD(ROW(),2)=0</formula>
    </cfRule>
    <cfRule type="expression" dxfId="942" priority="16" stopIfTrue="1">
      <formula>MOD(ROW(),2)&lt;&gt;0</formula>
    </cfRule>
  </conditionalFormatting>
  <conditionalFormatting sqref="A26:A102">
    <cfRule type="expression" dxfId="941" priority="3" stopIfTrue="1">
      <formula>MOD(ROW(),2)=0</formula>
    </cfRule>
    <cfRule type="expression" dxfId="940" priority="4" stopIfTrue="1">
      <formula>MOD(ROW(),2)&lt;&gt;0</formula>
    </cfRule>
  </conditionalFormatting>
  <conditionalFormatting sqref="B9">
    <cfRule type="expression" dxfId="939" priority="9" stopIfTrue="1">
      <formula>MOD(ROW(),2)=0</formula>
    </cfRule>
    <cfRule type="expression" dxfId="938" priority="10" stopIfTrue="1">
      <formula>MOD(ROW(),2)&lt;&gt;0</formula>
    </cfRule>
  </conditionalFormatting>
  <conditionalFormatting sqref="B6:G21">
    <cfRule type="expression" dxfId="937" priority="23" stopIfTrue="1">
      <formula>MOD(ROW(),2)=0</formula>
    </cfRule>
    <cfRule type="expression" dxfId="936" priority="24" stopIfTrue="1">
      <formula>MOD(ROW(),2)&lt;&gt;0</formula>
    </cfRule>
  </conditionalFormatting>
  <conditionalFormatting sqref="B17:G21">
    <cfRule type="expression" dxfId="935" priority="1" stopIfTrue="1">
      <formula>MOD(ROW(),2)=0</formula>
    </cfRule>
    <cfRule type="expression" dxfId="934" priority="2" stopIfTrue="1">
      <formula>MOD(ROW(),2)&lt;&gt;0</formula>
    </cfRule>
  </conditionalFormatting>
  <conditionalFormatting sqref="B26:G102">
    <cfRule type="expression" dxfId="933" priority="5" stopIfTrue="1">
      <formula>MOD(ROW(),2)=0</formula>
    </cfRule>
    <cfRule type="expression" dxfId="932" priority="6" stopIfTrue="1">
      <formula>MOD(ROW(),2)&lt;&gt;0</formula>
    </cfRule>
  </conditionalFormatting>
  <hyperlinks>
    <hyperlink ref="B24" location="Assumptions!A1" display="Assumptions" xr:uid="{47273C26-A868-478E-B125-F92AAB0BC14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2"/>
  <dimension ref="A1:I65"/>
  <sheetViews>
    <sheetView showGridLines="0" zoomScale="85" zoomScaleNormal="85" workbookViewId="0">
      <selection activeCell="A4" sqref="A4"/>
    </sheetView>
  </sheetViews>
  <sheetFormatPr defaultColWidth="10" defaultRowHeight="12.5" x14ac:dyDescent="0.25"/>
  <cols>
    <col min="1" max="1" width="31.90625" style="25" customWidth="1"/>
    <col min="2" max="3" width="26.90625" style="25" customWidth="1"/>
    <col min="4" max="4" width="10" style="25" customWidth="1"/>
    <col min="5"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Pensioner CE - x-303</v>
      </c>
      <c r="B3" s="39"/>
      <c r="C3" s="39"/>
      <c r="D3" s="39"/>
      <c r="E3" s="39"/>
      <c r="F3" s="39"/>
      <c r="G3" s="39"/>
      <c r="H3" s="39"/>
      <c r="I3" s="39"/>
    </row>
    <row r="4" spans="1:9" x14ac:dyDescent="0.25">
      <c r="A4" s="41"/>
    </row>
    <row r="6" spans="1:9" ht="13" x14ac:dyDescent="0.3">
      <c r="A6" s="163" t="s">
        <v>276</v>
      </c>
      <c r="B6" s="107" t="s">
        <v>277</v>
      </c>
      <c r="C6" s="107"/>
    </row>
    <row r="7" spans="1:9" x14ac:dyDescent="0.25">
      <c r="A7" s="69" t="s">
        <v>278</v>
      </c>
      <c r="B7" s="107" t="s">
        <v>310</v>
      </c>
      <c r="C7" s="107"/>
    </row>
    <row r="8" spans="1:9" x14ac:dyDescent="0.25">
      <c r="A8" s="69" t="s">
        <v>280</v>
      </c>
      <c r="B8" s="107" t="s">
        <v>75</v>
      </c>
      <c r="C8" s="107"/>
    </row>
    <row r="9" spans="1:9" x14ac:dyDescent="0.25">
      <c r="A9" s="69" t="s">
        <v>282</v>
      </c>
      <c r="B9" s="107" t="s">
        <v>372</v>
      </c>
      <c r="C9" s="107"/>
    </row>
    <row r="10" spans="1:9" ht="66" customHeight="1" x14ac:dyDescent="0.25">
      <c r="A10" s="69" t="s">
        <v>6</v>
      </c>
      <c r="B10" s="107" t="s">
        <v>380</v>
      </c>
      <c r="C10" s="107"/>
    </row>
    <row r="11" spans="1:9" x14ac:dyDescent="0.25">
      <c r="A11" s="69" t="s">
        <v>285</v>
      </c>
      <c r="B11" s="107" t="s">
        <v>359</v>
      </c>
      <c r="C11" s="107"/>
    </row>
    <row r="12" spans="1:9" ht="12.65" customHeight="1" x14ac:dyDescent="0.25">
      <c r="A12" s="69" t="s">
        <v>287</v>
      </c>
      <c r="B12" s="107" t="s">
        <v>366</v>
      </c>
      <c r="C12" s="107"/>
    </row>
    <row r="13" spans="1:9" x14ac:dyDescent="0.25">
      <c r="A13" s="69" t="s">
        <v>289</v>
      </c>
      <c r="B13" s="107">
        <v>1</v>
      </c>
      <c r="C13" s="107"/>
    </row>
    <row r="14" spans="1:9" x14ac:dyDescent="0.25">
      <c r="A14" s="69" t="s">
        <v>291</v>
      </c>
      <c r="B14" s="107">
        <v>303</v>
      </c>
      <c r="C14" s="107"/>
    </row>
    <row r="15" spans="1:9" x14ac:dyDescent="0.25">
      <c r="A15" s="69" t="s">
        <v>293</v>
      </c>
      <c r="B15" s="107" t="s">
        <v>381</v>
      </c>
      <c r="C15" s="107"/>
    </row>
    <row r="16" spans="1:9" x14ac:dyDescent="0.25">
      <c r="A16" s="69" t="s">
        <v>295</v>
      </c>
      <c r="B16" s="107" t="s">
        <v>382</v>
      </c>
      <c r="C16" s="107"/>
    </row>
    <row r="17" spans="1:3" ht="12.65" customHeight="1" x14ac:dyDescent="0.25">
      <c r="A17" s="69" t="s">
        <v>725</v>
      </c>
      <c r="B17" s="107"/>
      <c r="C17" s="107"/>
    </row>
    <row r="18" spans="1:3" x14ac:dyDescent="0.25">
      <c r="A18" s="69" t="s">
        <v>299</v>
      </c>
      <c r="B18" s="164" t="s">
        <v>727</v>
      </c>
      <c r="C18" s="107"/>
    </row>
    <row r="19" spans="1:3" x14ac:dyDescent="0.25">
      <c r="A19" s="69" t="s">
        <v>301</v>
      </c>
      <c r="B19" s="164">
        <v>45014</v>
      </c>
      <c r="C19" s="107"/>
    </row>
    <row r="20" spans="1:3" x14ac:dyDescent="0.25">
      <c r="A20" s="69" t="s">
        <v>303</v>
      </c>
      <c r="B20" s="107" t="s">
        <v>317</v>
      </c>
      <c r="C20" s="107"/>
    </row>
    <row r="21" spans="1:3" x14ac:dyDescent="0.25">
      <c r="A21" s="69" t="s">
        <v>309</v>
      </c>
      <c r="B21" s="107" t="s">
        <v>318</v>
      </c>
      <c r="C21" s="107"/>
    </row>
    <row r="23" spans="1:3" x14ac:dyDescent="0.25">
      <c r="B23" s="103" t="str">
        <f>HYPERLINK("#'Factor List'!A1","Back to Factor List")</f>
        <v>Back to Factor List</v>
      </c>
    </row>
    <row r="24" spans="1:3" x14ac:dyDescent="0.25">
      <c r="B24" s="103" t="s">
        <v>15</v>
      </c>
    </row>
    <row r="26" spans="1:3" ht="39" x14ac:dyDescent="0.25">
      <c r="A26" s="98" t="s">
        <v>408</v>
      </c>
      <c r="B26" s="98" t="s">
        <v>754</v>
      </c>
      <c r="C26" s="98" t="s">
        <v>755</v>
      </c>
    </row>
    <row r="27" spans="1:3" x14ac:dyDescent="0.25">
      <c r="A27" s="99">
        <v>50</v>
      </c>
      <c r="B27" s="100">
        <v>0.85</v>
      </c>
      <c r="C27" s="100">
        <v>23.63</v>
      </c>
    </row>
    <row r="28" spans="1:3" x14ac:dyDescent="0.25">
      <c r="A28" s="99">
        <v>51</v>
      </c>
      <c r="B28" s="100">
        <v>0.88</v>
      </c>
      <c r="C28" s="100">
        <v>24.02</v>
      </c>
    </row>
    <row r="29" spans="1:3" x14ac:dyDescent="0.25">
      <c r="A29" s="99">
        <v>52</v>
      </c>
      <c r="B29" s="100">
        <v>0.91</v>
      </c>
      <c r="C29" s="100">
        <v>24.41</v>
      </c>
    </row>
    <row r="30" spans="1:3" x14ac:dyDescent="0.25">
      <c r="A30" s="99">
        <v>53</v>
      </c>
      <c r="B30" s="100">
        <v>0.95</v>
      </c>
      <c r="C30" s="100">
        <v>24.81</v>
      </c>
    </row>
    <row r="31" spans="1:3" x14ac:dyDescent="0.25">
      <c r="A31" s="99">
        <v>54</v>
      </c>
      <c r="B31" s="100">
        <v>0.98</v>
      </c>
      <c r="C31" s="100">
        <v>25.23</v>
      </c>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5" customHeight="1" x14ac:dyDescent="0.25">
      <c r="A44"/>
      <c r="B44"/>
    </row>
    <row r="45" spans="1:2" x14ac:dyDescent="0.25">
      <c r="A45"/>
      <c r="B45"/>
    </row>
    <row r="46" spans="1:2" ht="27.65"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Z6JLPZ0lgG4fIiH72AK74D8KAiTteg+TRlk44FGUmmk3qgSf/WISfW7449+kE49GXZbAkTiTs95iglrqtO6DMA==" saltValue="1E8kdjc0qohVbw5ON3e3Ug==" spinCount="100000" sheet="1" objects="1" scenarios="1"/>
  <conditionalFormatting sqref="A6:A21">
    <cfRule type="expression" dxfId="931" priority="19" stopIfTrue="1">
      <formula>MOD(ROW(),2)=0</formula>
    </cfRule>
    <cfRule type="expression" dxfId="930" priority="20" stopIfTrue="1">
      <formula>MOD(ROW(),2)&lt;&gt;0</formula>
    </cfRule>
  </conditionalFormatting>
  <conditionalFormatting sqref="A26:A31">
    <cfRule type="expression" dxfId="929" priority="7" stopIfTrue="1">
      <formula>MOD(ROW(),2)=0</formula>
    </cfRule>
    <cfRule type="expression" dxfId="928" priority="8" stopIfTrue="1">
      <formula>MOD(ROW(),2)&lt;&gt;0</formula>
    </cfRule>
  </conditionalFormatting>
  <conditionalFormatting sqref="B9">
    <cfRule type="expression" dxfId="927" priority="13" stopIfTrue="1">
      <formula>MOD(ROW(),2)=0</formula>
    </cfRule>
    <cfRule type="expression" dxfId="926" priority="14" stopIfTrue="1">
      <formula>MOD(ROW(),2)&lt;&gt;0</formula>
    </cfRule>
  </conditionalFormatting>
  <conditionalFormatting sqref="B17:B19">
    <cfRule type="expression" dxfId="925" priority="11" stopIfTrue="1">
      <formula>MOD(ROW(),2)=0</formula>
    </cfRule>
    <cfRule type="expression" dxfId="924" priority="12" stopIfTrue="1">
      <formula>MOD(ROW(),2)&lt;&gt;0</formula>
    </cfRule>
  </conditionalFormatting>
  <conditionalFormatting sqref="B6:C21">
    <cfRule type="expression" dxfId="923" priority="27" stopIfTrue="1">
      <formula>MOD(ROW(),2)=0</formula>
    </cfRule>
    <cfRule type="expression" dxfId="922" priority="28" stopIfTrue="1">
      <formula>MOD(ROW(),2)&lt;&gt;0</formula>
    </cfRule>
  </conditionalFormatting>
  <conditionalFormatting sqref="B20:C21">
    <cfRule type="expression" dxfId="921" priority="17" stopIfTrue="1">
      <formula>MOD(ROW(),2)=0</formula>
    </cfRule>
    <cfRule type="expression" dxfId="920" priority="18" stopIfTrue="1">
      <formula>MOD(ROW(),2)&lt;&gt;0</formula>
    </cfRule>
  </conditionalFormatting>
  <conditionalFormatting sqref="B26:C31">
    <cfRule type="expression" dxfId="919" priority="9" stopIfTrue="1">
      <formula>MOD(ROW(),2)=0</formula>
    </cfRule>
    <cfRule type="expression" dxfId="918" priority="10" stopIfTrue="1">
      <formula>MOD(ROW(),2)&lt;&gt;0</formula>
    </cfRule>
  </conditionalFormatting>
  <conditionalFormatting sqref="C16:C19">
    <cfRule type="expression" dxfId="917" priority="1" stopIfTrue="1">
      <formula>MOD(ROW(),2)=0</formula>
    </cfRule>
    <cfRule type="expression" dxfId="916" priority="2" stopIfTrue="1">
      <formula>MOD(ROW(),2)&lt;&gt;0</formula>
    </cfRule>
  </conditionalFormatting>
  <hyperlinks>
    <hyperlink ref="B24" location="Assumptions!A1" display="Assumptions" xr:uid="{44DAB3EA-94C9-4AF1-8928-21E2D92EC23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3"/>
  <dimension ref="A1:I72"/>
  <sheetViews>
    <sheetView showGridLines="0" zoomScale="85" zoomScaleNormal="85" workbookViewId="0">
      <selection activeCell="A4" sqref="A4"/>
    </sheetView>
  </sheetViews>
  <sheetFormatPr defaultColWidth="10" defaultRowHeight="12.5" x14ac:dyDescent="0.25"/>
  <cols>
    <col min="1" max="1" width="31.90625" style="25" customWidth="1"/>
    <col min="2" max="5" width="22.90625" style="25" customWidth="1"/>
    <col min="6"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Pensioner CE - x-304</v>
      </c>
      <c r="B3" s="39"/>
      <c r="C3" s="39"/>
      <c r="D3" s="39"/>
      <c r="E3" s="39"/>
      <c r="F3" s="39"/>
      <c r="G3" s="39"/>
      <c r="H3" s="39"/>
      <c r="I3" s="39"/>
    </row>
    <row r="4" spans="1:9" x14ac:dyDescent="0.25">
      <c r="A4" s="41"/>
    </row>
    <row r="6" spans="1:9" ht="13" x14ac:dyDescent="0.3">
      <c r="A6" s="163" t="s">
        <v>276</v>
      </c>
      <c r="B6" s="107" t="s">
        <v>277</v>
      </c>
      <c r="C6" s="107"/>
      <c r="D6" s="107"/>
      <c r="E6" s="107"/>
    </row>
    <row r="7" spans="1:9" x14ac:dyDescent="0.25">
      <c r="A7" s="69" t="s">
        <v>278</v>
      </c>
      <c r="B7" s="107" t="s">
        <v>310</v>
      </c>
      <c r="C7" s="107"/>
      <c r="D7" s="107"/>
      <c r="E7" s="107"/>
    </row>
    <row r="8" spans="1:9" x14ac:dyDescent="0.25">
      <c r="A8" s="69" t="s">
        <v>280</v>
      </c>
      <c r="B8" s="107" t="s">
        <v>74</v>
      </c>
      <c r="C8" s="107"/>
      <c r="D8" s="107"/>
      <c r="E8" s="107"/>
    </row>
    <row r="9" spans="1:9" x14ac:dyDescent="0.25">
      <c r="A9" s="69" t="s">
        <v>282</v>
      </c>
      <c r="B9" s="107" t="s">
        <v>372</v>
      </c>
      <c r="C9" s="107"/>
      <c r="D9" s="107"/>
      <c r="E9" s="107"/>
    </row>
    <row r="10" spans="1:9" ht="12.65" customHeight="1" x14ac:dyDescent="0.25">
      <c r="A10" s="69" t="s">
        <v>6</v>
      </c>
      <c r="B10" s="107" t="s">
        <v>383</v>
      </c>
      <c r="C10" s="107"/>
      <c r="D10" s="107"/>
      <c r="E10" s="107"/>
    </row>
    <row r="11" spans="1:9" x14ac:dyDescent="0.25">
      <c r="A11" s="69" t="s">
        <v>285</v>
      </c>
      <c r="B11" s="107" t="s">
        <v>359</v>
      </c>
      <c r="C11" s="107"/>
      <c r="D11" s="107"/>
      <c r="E11" s="107"/>
    </row>
    <row r="12" spans="1:9" ht="12.65" customHeight="1" x14ac:dyDescent="0.25">
      <c r="A12" s="69" t="s">
        <v>287</v>
      </c>
      <c r="B12" s="107" t="s">
        <v>374</v>
      </c>
      <c r="C12" s="107"/>
      <c r="D12" s="107"/>
      <c r="E12" s="107"/>
    </row>
    <row r="13" spans="1:9" x14ac:dyDescent="0.25">
      <c r="A13" s="69" t="s">
        <v>289</v>
      </c>
      <c r="B13" s="107">
        <v>0</v>
      </c>
      <c r="C13" s="107"/>
      <c r="D13" s="107"/>
      <c r="E13" s="107"/>
    </row>
    <row r="14" spans="1:9" x14ac:dyDescent="0.25">
      <c r="A14" s="69" t="s">
        <v>291</v>
      </c>
      <c r="B14" s="107">
        <v>304</v>
      </c>
      <c r="C14" s="107"/>
      <c r="D14" s="107"/>
      <c r="E14" s="107"/>
    </row>
    <row r="15" spans="1:9" x14ac:dyDescent="0.25">
      <c r="A15" s="69" t="s">
        <v>293</v>
      </c>
      <c r="B15" s="107" t="s">
        <v>384</v>
      </c>
      <c r="C15" s="107"/>
      <c r="D15" s="107"/>
      <c r="E15" s="107"/>
    </row>
    <row r="16" spans="1:9" x14ac:dyDescent="0.25">
      <c r="A16" s="69" t="s">
        <v>295</v>
      </c>
      <c r="B16" s="107" t="s">
        <v>376</v>
      </c>
      <c r="C16" s="107"/>
      <c r="D16" s="107"/>
      <c r="E16" s="107"/>
    </row>
    <row r="17" spans="1:5" ht="12.65" customHeight="1" x14ac:dyDescent="0.25">
      <c r="A17" s="69" t="s">
        <v>725</v>
      </c>
      <c r="B17" s="107"/>
      <c r="C17" s="107"/>
      <c r="D17" s="107"/>
      <c r="E17" s="107"/>
    </row>
    <row r="18" spans="1:5" x14ac:dyDescent="0.25">
      <c r="A18" s="69" t="s">
        <v>299</v>
      </c>
      <c r="B18" s="164" t="s">
        <v>727</v>
      </c>
      <c r="C18" s="107"/>
      <c r="D18" s="107"/>
      <c r="E18" s="107"/>
    </row>
    <row r="19" spans="1:5" x14ac:dyDescent="0.25">
      <c r="A19" s="69" t="s">
        <v>301</v>
      </c>
      <c r="B19" s="164">
        <v>45014</v>
      </c>
      <c r="C19" s="107"/>
      <c r="D19" s="107"/>
      <c r="E19" s="107"/>
    </row>
    <row r="20" spans="1:5" x14ac:dyDescent="0.25">
      <c r="A20" s="69" t="s">
        <v>303</v>
      </c>
      <c r="B20" s="107" t="s">
        <v>317</v>
      </c>
      <c r="C20" s="107"/>
      <c r="D20" s="107"/>
      <c r="E20" s="107"/>
    </row>
    <row r="21" spans="1:5" x14ac:dyDescent="0.25">
      <c r="A21" s="69" t="s">
        <v>309</v>
      </c>
      <c r="B21" s="107" t="s">
        <v>318</v>
      </c>
      <c r="C21" s="107"/>
      <c r="D21" s="107"/>
      <c r="E21" s="107"/>
    </row>
    <row r="23" spans="1:5" x14ac:dyDescent="0.25">
      <c r="B23" s="103" t="str">
        <f>HYPERLINK("#'Factor List'!A1","Back to Factor List")</f>
        <v>Back to Factor List</v>
      </c>
    </row>
    <row r="24" spans="1:5" x14ac:dyDescent="0.25">
      <c r="B24" s="103" t="s">
        <v>15</v>
      </c>
    </row>
    <row r="26" spans="1:5" ht="39" x14ac:dyDescent="0.25">
      <c r="A26" s="98" t="s">
        <v>408</v>
      </c>
      <c r="B26" s="98" t="s">
        <v>748</v>
      </c>
      <c r="C26" s="98" t="s">
        <v>749</v>
      </c>
      <c r="D26" s="98" t="s">
        <v>750</v>
      </c>
      <c r="E26" s="98" t="s">
        <v>751</v>
      </c>
    </row>
    <row r="27" spans="1:5" x14ac:dyDescent="0.25">
      <c r="A27" s="99">
        <v>55</v>
      </c>
      <c r="B27" s="100">
        <v>25.17</v>
      </c>
      <c r="C27" s="100">
        <v>1.7</v>
      </c>
      <c r="D27" s="100"/>
      <c r="E27" s="100"/>
    </row>
    <row r="28" spans="1:5" x14ac:dyDescent="0.25">
      <c r="A28" s="99">
        <v>56</v>
      </c>
      <c r="B28" s="100">
        <v>24.58</v>
      </c>
      <c r="C28" s="100">
        <v>1.71</v>
      </c>
      <c r="D28" s="100"/>
      <c r="E28" s="100"/>
    </row>
    <row r="29" spans="1:5" x14ac:dyDescent="0.25">
      <c r="A29" s="99">
        <v>57</v>
      </c>
      <c r="B29" s="100">
        <v>23.99</v>
      </c>
      <c r="C29" s="100">
        <v>1.73</v>
      </c>
      <c r="D29" s="100"/>
      <c r="E29" s="100"/>
    </row>
    <row r="30" spans="1:5" x14ac:dyDescent="0.25">
      <c r="A30" s="99">
        <v>58</v>
      </c>
      <c r="B30" s="100">
        <v>23.4</v>
      </c>
      <c r="C30" s="100">
        <v>1.74</v>
      </c>
      <c r="D30" s="100"/>
      <c r="E30" s="100"/>
    </row>
    <row r="31" spans="1:5" x14ac:dyDescent="0.25">
      <c r="A31" s="99">
        <v>59</v>
      </c>
      <c r="B31" s="100">
        <v>22.8</v>
      </c>
      <c r="C31" s="100">
        <v>1.75</v>
      </c>
      <c r="D31" s="100"/>
      <c r="E31" s="100"/>
    </row>
    <row r="32" spans="1:5" x14ac:dyDescent="0.25">
      <c r="A32" s="99">
        <v>60</v>
      </c>
      <c r="B32" s="100">
        <v>22.19</v>
      </c>
      <c r="C32" s="100">
        <v>1.76</v>
      </c>
      <c r="D32" s="100"/>
      <c r="E32" s="100"/>
    </row>
    <row r="33" spans="1:5" x14ac:dyDescent="0.25">
      <c r="A33" s="99">
        <v>61</v>
      </c>
      <c r="B33" s="100">
        <v>21.57</v>
      </c>
      <c r="C33" s="100">
        <v>1.77</v>
      </c>
      <c r="D33" s="100"/>
      <c r="E33" s="100"/>
    </row>
    <row r="34" spans="1:5" x14ac:dyDescent="0.25">
      <c r="A34" s="99">
        <v>62</v>
      </c>
      <c r="B34" s="100">
        <v>20.96</v>
      </c>
      <c r="C34" s="100">
        <v>1.78</v>
      </c>
      <c r="D34" s="100"/>
      <c r="E34" s="100"/>
    </row>
    <row r="35" spans="1:5" x14ac:dyDescent="0.25">
      <c r="A35" s="99">
        <v>63</v>
      </c>
      <c r="B35" s="100">
        <v>20.329999999999998</v>
      </c>
      <c r="C35" s="100">
        <v>1.78</v>
      </c>
      <c r="D35" s="100"/>
      <c r="E35" s="100"/>
    </row>
    <row r="36" spans="1:5" x14ac:dyDescent="0.25">
      <c r="A36" s="99">
        <v>64</v>
      </c>
      <c r="B36" s="100">
        <v>19.7</v>
      </c>
      <c r="C36" s="100">
        <v>1.79</v>
      </c>
      <c r="D36" s="100"/>
      <c r="E36" s="100"/>
    </row>
    <row r="37" spans="1:5" x14ac:dyDescent="0.25">
      <c r="A37" s="99">
        <v>65</v>
      </c>
      <c r="B37" s="100">
        <v>19.07</v>
      </c>
      <c r="C37" s="100">
        <v>1.79</v>
      </c>
      <c r="D37" s="100"/>
      <c r="E37" s="100"/>
    </row>
    <row r="38" spans="1:5" x14ac:dyDescent="0.25">
      <c r="A38" s="99">
        <v>66</v>
      </c>
      <c r="B38" s="100">
        <v>18.43</v>
      </c>
      <c r="C38" s="100">
        <v>1.79</v>
      </c>
      <c r="D38" s="100"/>
      <c r="E38" s="100"/>
    </row>
    <row r="39" spans="1:5" x14ac:dyDescent="0.25">
      <c r="A39" s="99">
        <v>67</v>
      </c>
      <c r="B39" s="100">
        <v>17.79</v>
      </c>
      <c r="C39" s="100">
        <v>1.79</v>
      </c>
      <c r="D39" s="100"/>
      <c r="E39" s="100"/>
    </row>
    <row r="40" spans="1:5" x14ac:dyDescent="0.25">
      <c r="A40" s="99">
        <v>68</v>
      </c>
      <c r="B40" s="100">
        <v>17.13</v>
      </c>
      <c r="C40" s="100">
        <v>1.79</v>
      </c>
      <c r="D40" s="100"/>
      <c r="E40" s="100"/>
    </row>
    <row r="41" spans="1:5" x14ac:dyDescent="0.25">
      <c r="A41" s="99">
        <v>69</v>
      </c>
      <c r="B41" s="100">
        <v>16.45</v>
      </c>
      <c r="C41" s="100">
        <v>1.72</v>
      </c>
      <c r="D41" s="100">
        <v>3.35</v>
      </c>
      <c r="E41" s="100">
        <v>2.99</v>
      </c>
    </row>
    <row r="42" spans="1:5" x14ac:dyDescent="0.25">
      <c r="A42" s="99">
        <v>70</v>
      </c>
      <c r="B42" s="100">
        <v>15.78</v>
      </c>
      <c r="C42" s="100">
        <v>1.66</v>
      </c>
      <c r="D42" s="100">
        <v>3.12</v>
      </c>
      <c r="E42" s="100">
        <v>2.77</v>
      </c>
    </row>
    <row r="43" spans="1:5" x14ac:dyDescent="0.25">
      <c r="A43" s="99">
        <v>71</v>
      </c>
      <c r="B43" s="100">
        <v>15.1</v>
      </c>
      <c r="C43" s="100">
        <v>1.65</v>
      </c>
      <c r="D43" s="100">
        <v>2.91</v>
      </c>
      <c r="E43" s="100">
        <v>2.57</v>
      </c>
    </row>
    <row r="44" spans="1:5" x14ac:dyDescent="0.25">
      <c r="A44" s="99">
        <v>72</v>
      </c>
      <c r="B44" s="100">
        <v>14.44</v>
      </c>
      <c r="C44" s="100">
        <v>1.65</v>
      </c>
      <c r="D44" s="100">
        <v>2.7</v>
      </c>
      <c r="E44" s="100">
        <v>2.37</v>
      </c>
    </row>
    <row r="45" spans="1:5" x14ac:dyDescent="0.25">
      <c r="A45" s="99">
        <v>73</v>
      </c>
      <c r="B45" s="100">
        <v>13.78</v>
      </c>
      <c r="C45" s="100">
        <v>1.64</v>
      </c>
      <c r="D45" s="100">
        <v>2.5</v>
      </c>
      <c r="E45" s="100">
        <v>2.1800000000000002</v>
      </c>
    </row>
    <row r="46" spans="1:5" x14ac:dyDescent="0.25">
      <c r="A46" s="99">
        <v>74</v>
      </c>
      <c r="B46" s="100">
        <v>13.12</v>
      </c>
      <c r="C46" s="100">
        <v>1.52</v>
      </c>
      <c r="D46" s="100">
        <v>2.2999999999999998</v>
      </c>
      <c r="E46" s="100">
        <v>2</v>
      </c>
    </row>
    <row r="47" spans="1:5" x14ac:dyDescent="0.25">
      <c r="A47" s="99">
        <v>75</v>
      </c>
      <c r="B47" s="100">
        <v>12.47</v>
      </c>
      <c r="C47" s="100">
        <v>1.4</v>
      </c>
      <c r="D47" s="100">
        <v>2.1</v>
      </c>
      <c r="E47" s="100">
        <v>1.82</v>
      </c>
    </row>
    <row r="48" spans="1:5" x14ac:dyDescent="0.25">
      <c r="A48" s="99">
        <v>76</v>
      </c>
      <c r="B48" s="100">
        <v>11.82</v>
      </c>
      <c r="C48" s="100">
        <v>1.39</v>
      </c>
      <c r="D48" s="100">
        <v>1.93</v>
      </c>
      <c r="E48" s="100">
        <v>1.65</v>
      </c>
    </row>
    <row r="49" spans="1:5" x14ac:dyDescent="0.25">
      <c r="A49" s="99">
        <v>77</v>
      </c>
      <c r="B49" s="100">
        <v>11.18</v>
      </c>
      <c r="C49" s="100">
        <v>1.37</v>
      </c>
      <c r="D49" s="100">
        <v>1.76</v>
      </c>
      <c r="E49" s="100">
        <v>1.5</v>
      </c>
    </row>
    <row r="50" spans="1:5" x14ac:dyDescent="0.25">
      <c r="A50" s="99">
        <v>78</v>
      </c>
      <c r="B50" s="100">
        <v>10.54</v>
      </c>
      <c r="C50" s="100">
        <v>1.35</v>
      </c>
      <c r="D50" s="100">
        <v>1.6</v>
      </c>
      <c r="E50" s="100">
        <v>1.35</v>
      </c>
    </row>
    <row r="51" spans="1:5" x14ac:dyDescent="0.25">
      <c r="A51" s="99">
        <v>79</v>
      </c>
      <c r="B51" s="100">
        <v>9.92</v>
      </c>
      <c r="C51" s="100">
        <v>1.2</v>
      </c>
      <c r="D51" s="100">
        <v>1.44</v>
      </c>
      <c r="E51" s="100">
        <v>1.21</v>
      </c>
    </row>
    <row r="52" spans="1:5" x14ac:dyDescent="0.25">
      <c r="A52" s="99">
        <v>80</v>
      </c>
      <c r="B52" s="100">
        <v>9.31</v>
      </c>
      <c r="C52" s="100">
        <v>1.06</v>
      </c>
      <c r="D52" s="100">
        <v>1.28</v>
      </c>
      <c r="E52" s="100">
        <v>1.08</v>
      </c>
    </row>
    <row r="53" spans="1:5" x14ac:dyDescent="0.25">
      <c r="A53" s="99">
        <v>81</v>
      </c>
      <c r="B53" s="100">
        <v>8.7200000000000006</v>
      </c>
      <c r="C53" s="100">
        <v>1.03</v>
      </c>
      <c r="D53" s="100">
        <v>1.1499999999999999</v>
      </c>
      <c r="E53" s="100">
        <v>0.96</v>
      </c>
    </row>
    <row r="54" spans="1:5" x14ac:dyDescent="0.25">
      <c r="A54" s="99">
        <v>82</v>
      </c>
      <c r="B54" s="100">
        <v>8.14</v>
      </c>
      <c r="C54" s="100">
        <v>1.01</v>
      </c>
      <c r="D54" s="100">
        <v>1.03</v>
      </c>
      <c r="E54" s="100">
        <v>0.85</v>
      </c>
    </row>
    <row r="55" spans="1:5" x14ac:dyDescent="0.25">
      <c r="A55" s="99">
        <v>83</v>
      </c>
      <c r="B55" s="100">
        <v>7.59</v>
      </c>
      <c r="C55" s="100">
        <v>0.98</v>
      </c>
      <c r="D55" s="100">
        <v>0.93</v>
      </c>
      <c r="E55" s="100">
        <v>0.75</v>
      </c>
    </row>
    <row r="56" spans="1:5" x14ac:dyDescent="0.25">
      <c r="A56" s="99">
        <v>84</v>
      </c>
      <c r="B56" s="100">
        <v>7.05</v>
      </c>
      <c r="C56" s="100">
        <v>0.84</v>
      </c>
      <c r="D56" s="100">
        <v>0.81</v>
      </c>
      <c r="E56" s="100">
        <v>0.66</v>
      </c>
    </row>
    <row r="57" spans="1:5" x14ac:dyDescent="0.25">
      <c r="A57" s="99">
        <v>85</v>
      </c>
      <c r="B57" s="100">
        <v>6.54</v>
      </c>
      <c r="C57" s="100">
        <v>0.69</v>
      </c>
      <c r="D57" s="100">
        <v>0.7</v>
      </c>
      <c r="E57" s="100">
        <v>0.57999999999999996</v>
      </c>
    </row>
    <row r="58" spans="1:5" x14ac:dyDescent="0.25">
      <c r="A58" s="99">
        <v>86</v>
      </c>
      <c r="B58" s="100">
        <v>6.06</v>
      </c>
      <c r="C58" s="100">
        <v>0.67</v>
      </c>
      <c r="D58" s="100">
        <v>0.62</v>
      </c>
      <c r="E58" s="100">
        <v>0.5</v>
      </c>
    </row>
    <row r="59" spans="1:5" x14ac:dyDescent="0.25">
      <c r="A59" s="99">
        <v>87</v>
      </c>
      <c r="B59" s="100">
        <v>5.6</v>
      </c>
      <c r="C59" s="100">
        <v>0.64</v>
      </c>
      <c r="D59" s="100">
        <v>0.55000000000000004</v>
      </c>
      <c r="E59" s="100">
        <v>0.44</v>
      </c>
    </row>
    <row r="60" spans="1:5" x14ac:dyDescent="0.25">
      <c r="A60" s="99">
        <v>88</v>
      </c>
      <c r="B60" s="100">
        <v>5.17</v>
      </c>
      <c r="C60" s="100">
        <v>0.61</v>
      </c>
      <c r="D60" s="100">
        <v>0.48</v>
      </c>
      <c r="E60" s="100">
        <v>0.38</v>
      </c>
    </row>
    <row r="61" spans="1:5" x14ac:dyDescent="0.25">
      <c r="A61" s="99">
        <v>89</v>
      </c>
      <c r="B61" s="100">
        <v>4.7699999999999996</v>
      </c>
      <c r="C61" s="100">
        <v>0.49</v>
      </c>
      <c r="D61" s="100">
        <v>0.41</v>
      </c>
      <c r="E61" s="100">
        <v>0.33</v>
      </c>
    </row>
    <row r="62" spans="1:5" x14ac:dyDescent="0.25">
      <c r="A62" s="99">
        <v>90</v>
      </c>
      <c r="B62" s="100">
        <v>4.3899999999999997</v>
      </c>
      <c r="C62" s="100">
        <v>0.37</v>
      </c>
      <c r="D62" s="100">
        <v>0.34</v>
      </c>
      <c r="E62" s="100">
        <v>0.28000000000000003</v>
      </c>
    </row>
    <row r="63" spans="1:5" x14ac:dyDescent="0.25">
      <c r="A63" s="99">
        <v>91</v>
      </c>
      <c r="B63" s="100">
        <v>4.05</v>
      </c>
      <c r="C63" s="100">
        <v>0.35</v>
      </c>
      <c r="D63" s="100">
        <v>0.3</v>
      </c>
      <c r="E63" s="100">
        <v>0.24</v>
      </c>
    </row>
    <row r="64" spans="1:5" x14ac:dyDescent="0.25">
      <c r="A64" s="99">
        <v>92</v>
      </c>
      <c r="B64" s="100">
        <v>3.73</v>
      </c>
      <c r="C64" s="100">
        <v>0.33</v>
      </c>
      <c r="D64" s="100">
        <v>0.26</v>
      </c>
      <c r="E64" s="100">
        <v>0.21</v>
      </c>
    </row>
    <row r="65" spans="1:5" x14ac:dyDescent="0.25">
      <c r="A65" s="99">
        <v>93</v>
      </c>
      <c r="B65" s="100">
        <v>3.45</v>
      </c>
      <c r="C65" s="100">
        <v>0.31</v>
      </c>
      <c r="D65" s="100">
        <v>0.23</v>
      </c>
      <c r="E65" s="100">
        <v>0.18</v>
      </c>
    </row>
    <row r="66" spans="1:5" x14ac:dyDescent="0.25">
      <c r="A66" s="99">
        <v>94</v>
      </c>
      <c r="B66" s="100">
        <v>3.19</v>
      </c>
      <c r="C66" s="100">
        <v>0.28999999999999998</v>
      </c>
      <c r="D66" s="100">
        <v>0.2</v>
      </c>
      <c r="E66" s="100">
        <v>0.16</v>
      </c>
    </row>
    <row r="67" spans="1:5" x14ac:dyDescent="0.25">
      <c r="A67" s="99">
        <v>95</v>
      </c>
      <c r="B67" s="100">
        <v>2.95</v>
      </c>
      <c r="C67" s="100">
        <v>0.27</v>
      </c>
      <c r="D67" s="100">
        <v>0.18</v>
      </c>
      <c r="E67" s="100">
        <v>0.14000000000000001</v>
      </c>
    </row>
    <row r="68" spans="1:5" x14ac:dyDescent="0.25">
      <c r="A68" s="99">
        <v>96</v>
      </c>
      <c r="B68" s="100">
        <v>2.74</v>
      </c>
      <c r="C68" s="100">
        <v>0.26</v>
      </c>
      <c r="D68" s="100">
        <v>0.16</v>
      </c>
      <c r="E68" s="100">
        <v>0.12</v>
      </c>
    </row>
    <row r="69" spans="1:5" x14ac:dyDescent="0.25">
      <c r="A69" s="99">
        <v>97</v>
      </c>
      <c r="B69" s="100">
        <v>2.56</v>
      </c>
      <c r="C69" s="100">
        <v>0.24</v>
      </c>
      <c r="D69" s="100">
        <v>0.14000000000000001</v>
      </c>
      <c r="E69" s="100">
        <v>0.1</v>
      </c>
    </row>
    <row r="70" spans="1:5" x14ac:dyDescent="0.25">
      <c r="A70" s="99">
        <v>98</v>
      </c>
      <c r="B70" s="100">
        <v>2.4</v>
      </c>
      <c r="C70" s="100">
        <v>0.23</v>
      </c>
      <c r="D70" s="100">
        <v>0.12</v>
      </c>
      <c r="E70" s="100">
        <v>0.09</v>
      </c>
    </row>
    <row r="71" spans="1:5" x14ac:dyDescent="0.25">
      <c r="A71" s="99">
        <v>99</v>
      </c>
      <c r="B71" s="100">
        <v>2.27</v>
      </c>
      <c r="C71" s="100">
        <v>0.22</v>
      </c>
      <c r="D71" s="100">
        <v>0.11</v>
      </c>
      <c r="E71" s="100">
        <v>0.08</v>
      </c>
    </row>
    <row r="72" spans="1:5" x14ac:dyDescent="0.25">
      <c r="A72" s="99">
        <v>100</v>
      </c>
      <c r="B72" s="100">
        <v>2.17</v>
      </c>
      <c r="C72" s="100">
        <v>0.2</v>
      </c>
      <c r="D72" s="100">
        <v>0.1</v>
      </c>
      <c r="E72" s="100">
        <v>0.08</v>
      </c>
    </row>
  </sheetData>
  <sheetProtection algorithmName="SHA-512" hashValue="AKxKmWYIJGksESPQSLI5CybuLkaaOj56Jnoekp5sucQKQ5nTTCal8r/Rwr9KXgQbU5Oh4dE+RSUJnNncn7xPzw==" saltValue="llQ1h0hv4uAZ1tgYz9+4eA==" spinCount="100000" sheet="1" objects="1" scenarios="1"/>
  <conditionalFormatting sqref="A6:A21">
    <cfRule type="expression" dxfId="915" priority="15" stopIfTrue="1">
      <formula>MOD(ROW(),2)=0</formula>
    </cfRule>
    <cfRule type="expression" dxfId="914" priority="16" stopIfTrue="1">
      <formula>MOD(ROW(),2)&lt;&gt;0</formula>
    </cfRule>
  </conditionalFormatting>
  <conditionalFormatting sqref="A26:A72">
    <cfRule type="expression" dxfId="913" priority="3" stopIfTrue="1">
      <formula>MOD(ROW(),2)=0</formula>
    </cfRule>
    <cfRule type="expression" dxfId="912" priority="4" stopIfTrue="1">
      <formula>MOD(ROW(),2)&lt;&gt;0</formula>
    </cfRule>
  </conditionalFormatting>
  <conditionalFormatting sqref="B9">
    <cfRule type="expression" dxfId="911" priority="9" stopIfTrue="1">
      <formula>MOD(ROW(),2)=0</formula>
    </cfRule>
    <cfRule type="expression" dxfId="910" priority="10" stopIfTrue="1">
      <formula>MOD(ROW(),2)&lt;&gt;0</formula>
    </cfRule>
  </conditionalFormatting>
  <conditionalFormatting sqref="B6:E21">
    <cfRule type="expression" dxfId="909" priority="23" stopIfTrue="1">
      <formula>MOD(ROW(),2)=0</formula>
    </cfRule>
    <cfRule type="expression" dxfId="908" priority="24" stopIfTrue="1">
      <formula>MOD(ROW(),2)&lt;&gt;0</formula>
    </cfRule>
  </conditionalFormatting>
  <conditionalFormatting sqref="B17:E21">
    <cfRule type="expression" dxfId="907" priority="1" stopIfTrue="1">
      <formula>MOD(ROW(),2)=0</formula>
    </cfRule>
    <cfRule type="expression" dxfId="906" priority="2" stopIfTrue="1">
      <formula>MOD(ROW(),2)&lt;&gt;0</formula>
    </cfRule>
  </conditionalFormatting>
  <conditionalFormatting sqref="B26:E72">
    <cfRule type="expression" dxfId="905" priority="5" stopIfTrue="1">
      <formula>MOD(ROW(),2)=0</formula>
    </cfRule>
    <cfRule type="expression" dxfId="904" priority="6" stopIfTrue="1">
      <formula>MOD(ROW(),2)&lt;&gt;0</formula>
    </cfRule>
  </conditionalFormatting>
  <hyperlinks>
    <hyperlink ref="B24" location="Assumptions!A1" display="Assumptions" xr:uid="{7EA0F4EA-1D5B-413F-BB13-A6F78866D20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4"/>
  <dimension ref="A1:I102"/>
  <sheetViews>
    <sheetView showGridLines="0" zoomScale="85" zoomScaleNormal="85" workbookViewId="0">
      <selection activeCell="A4" sqref="A4"/>
    </sheetView>
  </sheetViews>
  <sheetFormatPr defaultColWidth="10" defaultRowHeight="12.5" x14ac:dyDescent="0.25"/>
  <cols>
    <col min="1" max="1" width="31.90625" style="25" customWidth="1"/>
    <col min="2" max="5" width="22.90625" style="25" customWidth="1"/>
    <col min="6"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Pensioner CE - x-305</v>
      </c>
      <c r="B3" s="39"/>
      <c r="C3" s="39"/>
      <c r="D3" s="39"/>
      <c r="E3" s="39"/>
      <c r="F3" s="39"/>
      <c r="G3" s="39"/>
      <c r="H3" s="39"/>
      <c r="I3" s="39"/>
    </row>
    <row r="4" spans="1:9" x14ac:dyDescent="0.25">
      <c r="A4" s="41"/>
    </row>
    <row r="6" spans="1:9" ht="13" x14ac:dyDescent="0.3">
      <c r="A6" s="163" t="s">
        <v>276</v>
      </c>
      <c r="B6" s="107" t="s">
        <v>277</v>
      </c>
      <c r="C6" s="107"/>
      <c r="D6" s="107"/>
      <c r="E6" s="107"/>
    </row>
    <row r="7" spans="1:9" x14ac:dyDescent="0.25">
      <c r="A7" s="69" t="s">
        <v>278</v>
      </c>
      <c r="B7" s="107" t="s">
        <v>310</v>
      </c>
      <c r="C7" s="107"/>
      <c r="D7" s="107"/>
      <c r="E7" s="107"/>
    </row>
    <row r="8" spans="1:9" x14ac:dyDescent="0.25">
      <c r="A8" s="69" t="s">
        <v>280</v>
      </c>
      <c r="B8" s="107" t="s">
        <v>74</v>
      </c>
      <c r="C8" s="107"/>
      <c r="D8" s="107"/>
      <c r="E8" s="107"/>
    </row>
    <row r="9" spans="1:9" x14ac:dyDescent="0.25">
      <c r="A9" s="69" t="s">
        <v>282</v>
      </c>
      <c r="B9" s="107" t="s">
        <v>372</v>
      </c>
      <c r="C9" s="107"/>
      <c r="D9" s="107"/>
      <c r="E9" s="107"/>
    </row>
    <row r="10" spans="1:9" ht="12.65" customHeight="1" x14ac:dyDescent="0.25">
      <c r="A10" s="69" t="s">
        <v>6</v>
      </c>
      <c r="B10" s="107" t="s">
        <v>385</v>
      </c>
      <c r="C10" s="107"/>
      <c r="D10" s="107"/>
      <c r="E10" s="107"/>
    </row>
    <row r="11" spans="1:9" x14ac:dyDescent="0.25">
      <c r="A11" s="69" t="s">
        <v>285</v>
      </c>
      <c r="B11" s="107" t="s">
        <v>359</v>
      </c>
      <c r="C11" s="107"/>
      <c r="D11" s="107"/>
      <c r="E11" s="107"/>
    </row>
    <row r="12" spans="1:9" ht="12.65" customHeight="1" x14ac:dyDescent="0.25">
      <c r="A12" s="69" t="s">
        <v>287</v>
      </c>
      <c r="B12" s="107" t="s">
        <v>374</v>
      </c>
      <c r="C12" s="107"/>
      <c r="D12" s="107"/>
      <c r="E12" s="107"/>
    </row>
    <row r="13" spans="1:9" x14ac:dyDescent="0.25">
      <c r="A13" s="69" t="s">
        <v>289</v>
      </c>
      <c r="B13" s="107">
        <v>0</v>
      </c>
      <c r="C13" s="107"/>
      <c r="D13" s="107"/>
      <c r="E13" s="107"/>
    </row>
    <row r="14" spans="1:9" x14ac:dyDescent="0.25">
      <c r="A14" s="69" t="s">
        <v>291</v>
      </c>
      <c r="B14" s="107">
        <v>305</v>
      </c>
      <c r="C14" s="107"/>
      <c r="D14" s="107"/>
      <c r="E14" s="107"/>
    </row>
    <row r="15" spans="1:9" x14ac:dyDescent="0.25">
      <c r="A15" s="69" t="s">
        <v>293</v>
      </c>
      <c r="B15" s="107" t="s">
        <v>386</v>
      </c>
      <c r="C15" s="107"/>
      <c r="D15" s="107"/>
      <c r="E15" s="107"/>
    </row>
    <row r="16" spans="1:9" x14ac:dyDescent="0.25">
      <c r="A16" s="69" t="s">
        <v>295</v>
      </c>
      <c r="B16" s="107" t="s">
        <v>379</v>
      </c>
      <c r="C16" s="107"/>
      <c r="D16" s="107"/>
      <c r="E16" s="107"/>
    </row>
    <row r="17" spans="1:5" ht="12.65" customHeight="1" x14ac:dyDescent="0.25">
      <c r="A17" s="69" t="s">
        <v>725</v>
      </c>
      <c r="B17" s="107"/>
      <c r="C17" s="107"/>
      <c r="D17" s="107"/>
      <c r="E17" s="107"/>
    </row>
    <row r="18" spans="1:5" x14ac:dyDescent="0.25">
      <c r="A18" s="69" t="s">
        <v>299</v>
      </c>
      <c r="B18" s="164" t="s">
        <v>727</v>
      </c>
      <c r="C18" s="107"/>
      <c r="D18" s="107"/>
      <c r="E18" s="107"/>
    </row>
    <row r="19" spans="1:5" x14ac:dyDescent="0.25">
      <c r="A19" s="69" t="s">
        <v>301</v>
      </c>
      <c r="B19" s="164">
        <v>45014</v>
      </c>
      <c r="C19" s="107"/>
      <c r="D19" s="107"/>
      <c r="E19" s="107"/>
    </row>
    <row r="20" spans="1:5" x14ac:dyDescent="0.25">
      <c r="A20" s="69" t="s">
        <v>303</v>
      </c>
      <c r="B20" s="107" t="s">
        <v>317</v>
      </c>
      <c r="C20" s="107"/>
      <c r="D20" s="107"/>
      <c r="E20" s="107"/>
    </row>
    <row r="21" spans="1:5" x14ac:dyDescent="0.25">
      <c r="A21" s="69" t="s">
        <v>309</v>
      </c>
      <c r="B21" s="107" t="s">
        <v>318</v>
      </c>
      <c r="C21" s="107"/>
      <c r="D21" s="107"/>
      <c r="E21" s="107"/>
    </row>
    <row r="23" spans="1:5" x14ac:dyDescent="0.25">
      <c r="B23" s="103" t="str">
        <f>HYPERLINK("#'Factor List'!A1","Back to Factor List")</f>
        <v>Back to Factor List</v>
      </c>
    </row>
    <row r="24" spans="1:5" x14ac:dyDescent="0.25">
      <c r="B24" s="103" t="s">
        <v>15</v>
      </c>
    </row>
    <row r="26" spans="1:5" ht="39" x14ac:dyDescent="0.25">
      <c r="A26" s="98" t="s">
        <v>408</v>
      </c>
      <c r="B26" s="98" t="s">
        <v>748</v>
      </c>
      <c r="C26" s="98" t="s">
        <v>749</v>
      </c>
      <c r="D26" s="98" t="s">
        <v>750</v>
      </c>
      <c r="E26" s="98" t="s">
        <v>751</v>
      </c>
    </row>
    <row r="27" spans="1:5" x14ac:dyDescent="0.25">
      <c r="A27" s="99">
        <v>20</v>
      </c>
      <c r="B27" s="100">
        <v>30.6</v>
      </c>
      <c r="C27" s="100">
        <v>6.59</v>
      </c>
      <c r="D27" s="100"/>
      <c r="E27" s="100"/>
    </row>
    <row r="28" spans="1:5" x14ac:dyDescent="0.25">
      <c r="A28" s="99">
        <v>21</v>
      </c>
      <c r="B28" s="100">
        <v>30.36</v>
      </c>
      <c r="C28" s="100">
        <v>6.54</v>
      </c>
      <c r="D28" s="100"/>
      <c r="E28" s="100"/>
    </row>
    <row r="29" spans="1:5" x14ac:dyDescent="0.25">
      <c r="A29" s="99">
        <v>22</v>
      </c>
      <c r="B29" s="100">
        <v>30.13</v>
      </c>
      <c r="C29" s="100">
        <v>6.48</v>
      </c>
      <c r="D29" s="100"/>
      <c r="E29" s="100"/>
    </row>
    <row r="30" spans="1:5" x14ac:dyDescent="0.25">
      <c r="A30" s="99">
        <v>23</v>
      </c>
      <c r="B30" s="100">
        <v>29.91</v>
      </c>
      <c r="C30" s="100">
        <v>6.41</v>
      </c>
      <c r="D30" s="100"/>
      <c r="E30" s="100"/>
    </row>
    <row r="31" spans="1:5" x14ac:dyDescent="0.25">
      <c r="A31" s="99">
        <v>24</v>
      </c>
      <c r="B31" s="100">
        <v>29.67</v>
      </c>
      <c r="C31" s="100">
        <v>6.35</v>
      </c>
      <c r="D31" s="100"/>
      <c r="E31" s="100"/>
    </row>
    <row r="32" spans="1:5" x14ac:dyDescent="0.25">
      <c r="A32" s="99">
        <v>25</v>
      </c>
      <c r="B32" s="100">
        <v>29.44</v>
      </c>
      <c r="C32" s="100">
        <v>6.28</v>
      </c>
      <c r="D32" s="100"/>
      <c r="E32" s="100"/>
    </row>
    <row r="33" spans="1:5" x14ac:dyDescent="0.25">
      <c r="A33" s="99">
        <v>26</v>
      </c>
      <c r="B33" s="100">
        <v>29.2</v>
      </c>
      <c r="C33" s="100">
        <v>6.22</v>
      </c>
      <c r="D33" s="100"/>
      <c r="E33" s="100"/>
    </row>
    <row r="34" spans="1:5" x14ac:dyDescent="0.25">
      <c r="A34" s="99">
        <v>27</v>
      </c>
      <c r="B34" s="100">
        <v>28.96</v>
      </c>
      <c r="C34" s="100">
        <v>6.14</v>
      </c>
      <c r="D34" s="100"/>
      <c r="E34" s="100"/>
    </row>
    <row r="35" spans="1:5" x14ac:dyDescent="0.25">
      <c r="A35" s="99">
        <v>28</v>
      </c>
      <c r="B35" s="100">
        <v>28.73</v>
      </c>
      <c r="C35" s="100">
        <v>6.07</v>
      </c>
      <c r="D35" s="100"/>
      <c r="E35" s="100"/>
    </row>
    <row r="36" spans="1:5" x14ac:dyDescent="0.25">
      <c r="A36" s="99">
        <v>29</v>
      </c>
      <c r="B36" s="100">
        <v>28.5</v>
      </c>
      <c r="C36" s="100">
        <v>5.99</v>
      </c>
      <c r="D36" s="100"/>
      <c r="E36" s="100"/>
    </row>
    <row r="37" spans="1:5" x14ac:dyDescent="0.25">
      <c r="A37" s="99">
        <v>30</v>
      </c>
      <c r="B37" s="100">
        <v>28.27</v>
      </c>
      <c r="C37" s="100">
        <v>5.9</v>
      </c>
      <c r="D37" s="100"/>
      <c r="E37" s="100"/>
    </row>
    <row r="38" spans="1:5" x14ac:dyDescent="0.25">
      <c r="A38" s="99">
        <v>31</v>
      </c>
      <c r="B38" s="100">
        <v>28.05</v>
      </c>
      <c r="C38" s="100">
        <v>5.81</v>
      </c>
      <c r="D38" s="100"/>
      <c r="E38" s="100"/>
    </row>
    <row r="39" spans="1:5" x14ac:dyDescent="0.25">
      <c r="A39" s="99">
        <v>32</v>
      </c>
      <c r="B39" s="100">
        <v>27.82</v>
      </c>
      <c r="C39" s="100">
        <v>5.71</v>
      </c>
      <c r="D39" s="100"/>
      <c r="E39" s="100"/>
    </row>
    <row r="40" spans="1:5" x14ac:dyDescent="0.25">
      <c r="A40" s="99">
        <v>33</v>
      </c>
      <c r="B40" s="100">
        <v>27.6</v>
      </c>
      <c r="C40" s="100">
        <v>5.61</v>
      </c>
      <c r="D40" s="100"/>
      <c r="E40" s="100"/>
    </row>
    <row r="41" spans="1:5" x14ac:dyDescent="0.25">
      <c r="A41" s="99">
        <v>34</v>
      </c>
      <c r="B41" s="100">
        <v>27.37</v>
      </c>
      <c r="C41" s="100">
        <v>5.51</v>
      </c>
      <c r="D41" s="100"/>
      <c r="E41" s="100"/>
    </row>
    <row r="42" spans="1:5" x14ac:dyDescent="0.25">
      <c r="A42" s="99">
        <v>35</v>
      </c>
      <c r="B42" s="100">
        <v>27.14</v>
      </c>
      <c r="C42" s="100">
        <v>5.4</v>
      </c>
      <c r="D42" s="100"/>
      <c r="E42" s="100"/>
    </row>
    <row r="43" spans="1:5" x14ac:dyDescent="0.25">
      <c r="A43" s="99">
        <v>36</v>
      </c>
      <c r="B43" s="100">
        <v>26.91</v>
      </c>
      <c r="C43" s="100">
        <v>5.3</v>
      </c>
      <c r="D43" s="100"/>
      <c r="E43" s="100"/>
    </row>
    <row r="44" spans="1:5" x14ac:dyDescent="0.25">
      <c r="A44" s="99">
        <v>37</v>
      </c>
      <c r="B44" s="100">
        <v>26.68</v>
      </c>
      <c r="C44" s="100">
        <v>5.19</v>
      </c>
      <c r="D44" s="100"/>
      <c r="E44" s="100"/>
    </row>
    <row r="45" spans="1:5" x14ac:dyDescent="0.25">
      <c r="A45" s="99">
        <v>38</v>
      </c>
      <c r="B45" s="100">
        <v>26.43</v>
      </c>
      <c r="C45" s="100">
        <v>5.09</v>
      </c>
      <c r="D45" s="100"/>
      <c r="E45" s="100"/>
    </row>
    <row r="46" spans="1:5" x14ac:dyDescent="0.25">
      <c r="A46" s="99">
        <v>39</v>
      </c>
      <c r="B46" s="100">
        <v>26.18</v>
      </c>
      <c r="C46" s="100">
        <v>4.9800000000000004</v>
      </c>
      <c r="D46" s="100"/>
      <c r="E46" s="100"/>
    </row>
    <row r="47" spans="1:5" x14ac:dyDescent="0.25">
      <c r="A47" s="99">
        <v>40</v>
      </c>
      <c r="B47" s="100">
        <v>25.92</v>
      </c>
      <c r="C47" s="100">
        <v>4.88</v>
      </c>
      <c r="D47" s="100"/>
      <c r="E47" s="100"/>
    </row>
    <row r="48" spans="1:5" x14ac:dyDescent="0.25">
      <c r="A48" s="99">
        <v>41</v>
      </c>
      <c r="B48" s="100">
        <v>25.65</v>
      </c>
      <c r="C48" s="100">
        <v>4.78</v>
      </c>
      <c r="D48" s="100"/>
      <c r="E48" s="100"/>
    </row>
    <row r="49" spans="1:5" x14ac:dyDescent="0.25">
      <c r="A49" s="99">
        <v>42</v>
      </c>
      <c r="B49" s="100">
        <v>25.38</v>
      </c>
      <c r="C49" s="100">
        <v>4.67</v>
      </c>
      <c r="D49" s="100"/>
      <c r="E49" s="100"/>
    </row>
    <row r="50" spans="1:5" x14ac:dyDescent="0.25">
      <c r="A50" s="99">
        <v>43</v>
      </c>
      <c r="B50" s="100">
        <v>25.1</v>
      </c>
      <c r="C50" s="100">
        <v>4.57</v>
      </c>
      <c r="D50" s="100"/>
      <c r="E50" s="100"/>
    </row>
    <row r="51" spans="1:5" x14ac:dyDescent="0.25">
      <c r="A51" s="99">
        <v>44</v>
      </c>
      <c r="B51" s="100">
        <v>24.8</v>
      </c>
      <c r="C51" s="100">
        <v>4.47</v>
      </c>
      <c r="D51" s="100"/>
      <c r="E51" s="100"/>
    </row>
    <row r="52" spans="1:5" x14ac:dyDescent="0.25">
      <c r="A52" s="99">
        <v>45</v>
      </c>
      <c r="B52" s="100">
        <v>24.5</v>
      </c>
      <c r="C52" s="100">
        <v>4.3600000000000003</v>
      </c>
      <c r="D52" s="100"/>
      <c r="E52" s="100"/>
    </row>
    <row r="53" spans="1:5" x14ac:dyDescent="0.25">
      <c r="A53" s="99">
        <v>46</v>
      </c>
      <c r="B53" s="100">
        <v>24.2</v>
      </c>
      <c r="C53" s="100">
        <v>4.26</v>
      </c>
      <c r="D53" s="100"/>
      <c r="E53" s="100"/>
    </row>
    <row r="54" spans="1:5" x14ac:dyDescent="0.25">
      <c r="A54" s="99">
        <v>47</v>
      </c>
      <c r="B54" s="100">
        <v>23.88</v>
      </c>
      <c r="C54" s="100">
        <v>4.16</v>
      </c>
      <c r="D54" s="100"/>
      <c r="E54" s="100"/>
    </row>
    <row r="55" spans="1:5" x14ac:dyDescent="0.25">
      <c r="A55" s="99">
        <v>48</v>
      </c>
      <c r="B55" s="100">
        <v>23.55</v>
      </c>
      <c r="C55" s="100">
        <v>4.07</v>
      </c>
      <c r="D55" s="100"/>
      <c r="E55" s="100"/>
    </row>
    <row r="56" spans="1:5" x14ac:dyDescent="0.25">
      <c r="A56" s="99">
        <v>49</v>
      </c>
      <c r="B56" s="100">
        <v>23.21</v>
      </c>
      <c r="C56" s="100">
        <v>3.97</v>
      </c>
      <c r="D56" s="100"/>
      <c r="E56" s="100"/>
    </row>
    <row r="57" spans="1:5" x14ac:dyDescent="0.25">
      <c r="A57" s="99">
        <v>50</v>
      </c>
      <c r="B57" s="100">
        <v>22.86</v>
      </c>
      <c r="C57" s="100">
        <v>3.88</v>
      </c>
      <c r="D57" s="100"/>
      <c r="E57" s="100"/>
    </row>
    <row r="58" spans="1:5" x14ac:dyDescent="0.25">
      <c r="A58" s="99">
        <v>51</v>
      </c>
      <c r="B58" s="100">
        <v>22.49</v>
      </c>
      <c r="C58" s="100">
        <v>3.79</v>
      </c>
      <c r="D58" s="100"/>
      <c r="E58" s="100"/>
    </row>
    <row r="59" spans="1:5" x14ac:dyDescent="0.25">
      <c r="A59" s="99">
        <v>52</v>
      </c>
      <c r="B59" s="100">
        <v>22.11</v>
      </c>
      <c r="C59" s="100">
        <v>3.71</v>
      </c>
      <c r="D59" s="100"/>
      <c r="E59" s="100"/>
    </row>
    <row r="60" spans="1:5" x14ac:dyDescent="0.25">
      <c r="A60" s="99">
        <v>53</v>
      </c>
      <c r="B60" s="100">
        <v>21.71</v>
      </c>
      <c r="C60" s="100">
        <v>3.63</v>
      </c>
      <c r="D60" s="100"/>
      <c r="E60" s="100"/>
    </row>
    <row r="61" spans="1:5" x14ac:dyDescent="0.25">
      <c r="A61" s="99">
        <v>54</v>
      </c>
      <c r="B61" s="100">
        <v>21.3</v>
      </c>
      <c r="C61" s="100">
        <v>3.55</v>
      </c>
      <c r="D61" s="100"/>
      <c r="E61" s="100"/>
    </row>
    <row r="62" spans="1:5" x14ac:dyDescent="0.25">
      <c r="A62" s="99">
        <v>55</v>
      </c>
      <c r="B62" s="100">
        <v>20.87</v>
      </c>
      <c r="C62" s="100">
        <v>3.48</v>
      </c>
      <c r="D62" s="100"/>
      <c r="E62" s="100"/>
    </row>
    <row r="63" spans="1:5" x14ac:dyDescent="0.25">
      <c r="A63" s="99">
        <v>56</v>
      </c>
      <c r="B63" s="100">
        <v>20.43</v>
      </c>
      <c r="C63" s="100">
        <v>3.41</v>
      </c>
      <c r="D63" s="100"/>
      <c r="E63" s="100"/>
    </row>
    <row r="64" spans="1:5" x14ac:dyDescent="0.25">
      <c r="A64" s="99">
        <v>57</v>
      </c>
      <c r="B64" s="100">
        <v>19.98</v>
      </c>
      <c r="C64" s="100">
        <v>3.35</v>
      </c>
      <c r="D64" s="100"/>
      <c r="E64" s="100"/>
    </row>
    <row r="65" spans="1:5" x14ac:dyDescent="0.25">
      <c r="A65" s="99">
        <v>58</v>
      </c>
      <c r="B65" s="100">
        <v>19.510000000000002</v>
      </c>
      <c r="C65" s="100">
        <v>3.29</v>
      </c>
      <c r="D65" s="100"/>
      <c r="E65" s="100"/>
    </row>
    <row r="66" spans="1:5" x14ac:dyDescent="0.25">
      <c r="A66" s="99">
        <v>59</v>
      </c>
      <c r="B66" s="100">
        <v>19.04</v>
      </c>
      <c r="C66" s="100">
        <v>3.23</v>
      </c>
      <c r="D66" s="100"/>
      <c r="E66" s="100"/>
    </row>
    <row r="67" spans="1:5" x14ac:dyDescent="0.25">
      <c r="A67" s="99">
        <v>60</v>
      </c>
      <c r="B67" s="100">
        <v>18.54</v>
      </c>
      <c r="C67" s="100">
        <v>3.17</v>
      </c>
      <c r="D67" s="100"/>
      <c r="E67" s="100"/>
    </row>
    <row r="68" spans="1:5" x14ac:dyDescent="0.25">
      <c r="A68" s="99">
        <v>61</v>
      </c>
      <c r="B68" s="100">
        <v>18.03</v>
      </c>
      <c r="C68" s="100">
        <v>3.12</v>
      </c>
      <c r="D68" s="100"/>
      <c r="E68" s="100"/>
    </row>
    <row r="69" spans="1:5" x14ac:dyDescent="0.25">
      <c r="A69" s="99">
        <v>62</v>
      </c>
      <c r="B69" s="100">
        <v>17.510000000000002</v>
      </c>
      <c r="C69" s="100">
        <v>3.07</v>
      </c>
      <c r="D69" s="100"/>
      <c r="E69" s="100"/>
    </row>
    <row r="70" spans="1:5" x14ac:dyDescent="0.25">
      <c r="A70" s="99">
        <v>63</v>
      </c>
      <c r="B70" s="100">
        <v>16.98</v>
      </c>
      <c r="C70" s="100">
        <v>3.03</v>
      </c>
      <c r="D70" s="100"/>
      <c r="E70" s="100"/>
    </row>
    <row r="71" spans="1:5" x14ac:dyDescent="0.25">
      <c r="A71" s="99">
        <v>64</v>
      </c>
      <c r="B71" s="100">
        <v>16.43</v>
      </c>
      <c r="C71" s="100">
        <v>2.98</v>
      </c>
      <c r="D71" s="100"/>
      <c r="E71" s="100"/>
    </row>
    <row r="72" spans="1:5" x14ac:dyDescent="0.25">
      <c r="A72" s="99">
        <v>65</v>
      </c>
      <c r="B72" s="100">
        <v>15.88</v>
      </c>
      <c r="C72" s="100">
        <v>2.93</v>
      </c>
      <c r="D72" s="100"/>
      <c r="E72" s="100"/>
    </row>
    <row r="73" spans="1:5" x14ac:dyDescent="0.25">
      <c r="A73" s="99">
        <v>66</v>
      </c>
      <c r="B73" s="100">
        <v>15.31</v>
      </c>
      <c r="C73" s="100">
        <v>2.9</v>
      </c>
      <c r="D73" s="100"/>
      <c r="E73" s="100"/>
    </row>
    <row r="74" spans="1:5" x14ac:dyDescent="0.25">
      <c r="A74" s="99">
        <v>67</v>
      </c>
      <c r="B74" s="100">
        <v>14.73</v>
      </c>
      <c r="C74" s="100">
        <v>2.86</v>
      </c>
      <c r="D74" s="100"/>
      <c r="E74" s="100"/>
    </row>
    <row r="75" spans="1:5" x14ac:dyDescent="0.25">
      <c r="A75" s="99">
        <v>68</v>
      </c>
      <c r="B75" s="100">
        <v>14.14</v>
      </c>
      <c r="C75" s="100">
        <v>2.82</v>
      </c>
      <c r="D75" s="100"/>
      <c r="E75" s="100"/>
    </row>
    <row r="76" spans="1:5" x14ac:dyDescent="0.25">
      <c r="A76" s="99">
        <v>69</v>
      </c>
      <c r="B76" s="100">
        <v>13.55</v>
      </c>
      <c r="C76" s="100">
        <v>2.69</v>
      </c>
      <c r="D76" s="100">
        <v>2.5499999999999998</v>
      </c>
      <c r="E76" s="100">
        <v>2.2799999999999998</v>
      </c>
    </row>
    <row r="77" spans="1:5" x14ac:dyDescent="0.25">
      <c r="A77" s="99">
        <v>70</v>
      </c>
      <c r="B77" s="100">
        <v>12.95</v>
      </c>
      <c r="C77" s="100">
        <v>2.57</v>
      </c>
      <c r="D77" s="100">
        <v>2.36</v>
      </c>
      <c r="E77" s="100">
        <v>2.11</v>
      </c>
    </row>
    <row r="78" spans="1:5" x14ac:dyDescent="0.25">
      <c r="A78" s="99">
        <v>71</v>
      </c>
      <c r="B78" s="100">
        <v>12.35</v>
      </c>
      <c r="C78" s="100">
        <v>2.5299999999999998</v>
      </c>
      <c r="D78" s="100">
        <v>2.19</v>
      </c>
      <c r="E78" s="100">
        <v>1.94</v>
      </c>
    </row>
    <row r="79" spans="1:5" x14ac:dyDescent="0.25">
      <c r="A79" s="99">
        <v>72</v>
      </c>
      <c r="B79" s="100">
        <v>11.75</v>
      </c>
      <c r="C79" s="100">
        <v>2.5</v>
      </c>
      <c r="D79" s="100">
        <v>2.0299999999999998</v>
      </c>
      <c r="E79" s="100">
        <v>1.77</v>
      </c>
    </row>
    <row r="80" spans="1:5" x14ac:dyDescent="0.25">
      <c r="A80" s="99">
        <v>73</v>
      </c>
      <c r="B80" s="100">
        <v>11.16</v>
      </c>
      <c r="C80" s="100">
        <v>2.46</v>
      </c>
      <c r="D80" s="100">
        <v>1.87</v>
      </c>
      <c r="E80" s="100">
        <v>1.62</v>
      </c>
    </row>
    <row r="81" spans="1:5" x14ac:dyDescent="0.25">
      <c r="A81" s="99">
        <v>74</v>
      </c>
      <c r="B81" s="100">
        <v>10.57</v>
      </c>
      <c r="C81" s="100">
        <v>2.2599999999999998</v>
      </c>
      <c r="D81" s="100">
        <v>1.7</v>
      </c>
      <c r="E81" s="100">
        <v>1.47</v>
      </c>
    </row>
    <row r="82" spans="1:5" x14ac:dyDescent="0.25">
      <c r="A82" s="99">
        <v>75</v>
      </c>
      <c r="B82" s="100">
        <v>9.99</v>
      </c>
      <c r="C82" s="100">
        <v>2.0699999999999998</v>
      </c>
      <c r="D82" s="100">
        <v>1.53</v>
      </c>
      <c r="E82" s="100">
        <v>1.33</v>
      </c>
    </row>
    <row r="83" spans="1:5" x14ac:dyDescent="0.25">
      <c r="A83" s="99">
        <v>76</v>
      </c>
      <c r="B83" s="100">
        <v>9.41</v>
      </c>
      <c r="C83" s="100">
        <v>2.0299999999999998</v>
      </c>
      <c r="D83" s="100">
        <v>1.4</v>
      </c>
      <c r="E83" s="100">
        <v>1.2</v>
      </c>
    </row>
    <row r="84" spans="1:5" x14ac:dyDescent="0.25">
      <c r="A84" s="99">
        <v>77</v>
      </c>
      <c r="B84" s="100">
        <v>8.85</v>
      </c>
      <c r="C84" s="100">
        <v>1.98</v>
      </c>
      <c r="D84" s="100">
        <v>1.27</v>
      </c>
      <c r="E84" s="100">
        <v>1.07</v>
      </c>
    </row>
    <row r="85" spans="1:5" x14ac:dyDescent="0.25">
      <c r="A85" s="99">
        <v>78</v>
      </c>
      <c r="B85" s="100">
        <v>8.3000000000000007</v>
      </c>
      <c r="C85" s="100">
        <v>1.94</v>
      </c>
      <c r="D85" s="100">
        <v>1.1499999999999999</v>
      </c>
      <c r="E85" s="100">
        <v>0.96</v>
      </c>
    </row>
    <row r="86" spans="1:5" x14ac:dyDescent="0.25">
      <c r="A86" s="99">
        <v>79</v>
      </c>
      <c r="B86" s="100">
        <v>7.77</v>
      </c>
      <c r="C86" s="100">
        <v>1.71</v>
      </c>
      <c r="D86" s="100">
        <v>1.02</v>
      </c>
      <c r="E86" s="100">
        <v>0.85</v>
      </c>
    </row>
    <row r="87" spans="1:5" x14ac:dyDescent="0.25">
      <c r="A87" s="99">
        <v>80</v>
      </c>
      <c r="B87" s="100">
        <v>7.26</v>
      </c>
      <c r="C87" s="100">
        <v>1.48</v>
      </c>
      <c r="D87" s="100">
        <v>0.89</v>
      </c>
      <c r="E87" s="100">
        <v>0.76</v>
      </c>
    </row>
    <row r="88" spans="1:5" x14ac:dyDescent="0.25">
      <c r="A88" s="99">
        <v>81</v>
      </c>
      <c r="B88" s="100">
        <v>6.76</v>
      </c>
      <c r="C88" s="100">
        <v>1.43</v>
      </c>
      <c r="D88" s="100">
        <v>0.79</v>
      </c>
      <c r="E88" s="100">
        <v>0.67</v>
      </c>
    </row>
    <row r="89" spans="1:5" x14ac:dyDescent="0.25">
      <c r="A89" s="99">
        <v>82</v>
      </c>
      <c r="B89" s="100">
        <v>6.29</v>
      </c>
      <c r="C89" s="100">
        <v>1.38</v>
      </c>
      <c r="D89" s="100">
        <v>0.71</v>
      </c>
      <c r="E89" s="100">
        <v>0.59</v>
      </c>
    </row>
    <row r="90" spans="1:5" x14ac:dyDescent="0.25">
      <c r="A90" s="99">
        <v>83</v>
      </c>
      <c r="B90" s="100">
        <v>5.84</v>
      </c>
      <c r="C90" s="100">
        <v>1.33</v>
      </c>
      <c r="D90" s="100">
        <v>0.63</v>
      </c>
      <c r="E90" s="100">
        <v>0.51</v>
      </c>
    </row>
    <row r="91" spans="1:5" x14ac:dyDescent="0.25">
      <c r="A91" s="99">
        <v>84</v>
      </c>
      <c r="B91" s="100">
        <v>5.41</v>
      </c>
      <c r="C91" s="100">
        <v>1.1200000000000001</v>
      </c>
      <c r="D91" s="100">
        <v>0.54</v>
      </c>
      <c r="E91" s="100">
        <v>0.45</v>
      </c>
    </row>
    <row r="92" spans="1:5" x14ac:dyDescent="0.25">
      <c r="A92" s="99">
        <v>85</v>
      </c>
      <c r="B92" s="100">
        <v>5</v>
      </c>
      <c r="C92" s="100">
        <v>0.92</v>
      </c>
      <c r="D92" s="100">
        <v>0.45</v>
      </c>
      <c r="E92" s="100">
        <v>0.39</v>
      </c>
    </row>
    <row r="93" spans="1:5" x14ac:dyDescent="0.25">
      <c r="A93" s="99">
        <v>86</v>
      </c>
      <c r="B93" s="100">
        <v>4.6100000000000003</v>
      </c>
      <c r="C93" s="100">
        <v>0.88</v>
      </c>
      <c r="D93" s="100">
        <v>0.4</v>
      </c>
      <c r="E93" s="100">
        <v>0.34</v>
      </c>
    </row>
    <row r="94" spans="1:5" x14ac:dyDescent="0.25">
      <c r="A94" s="99">
        <v>87</v>
      </c>
      <c r="B94" s="100">
        <v>4.25</v>
      </c>
      <c r="C94" s="100">
        <v>0.83</v>
      </c>
      <c r="D94" s="100">
        <v>0.35</v>
      </c>
      <c r="E94" s="100">
        <v>0.28999999999999998</v>
      </c>
    </row>
    <row r="95" spans="1:5" x14ac:dyDescent="0.25">
      <c r="A95" s="99">
        <v>88</v>
      </c>
      <c r="B95" s="100">
        <v>3.91</v>
      </c>
      <c r="C95" s="100">
        <v>0.79</v>
      </c>
      <c r="D95" s="100">
        <v>0.31</v>
      </c>
      <c r="E95" s="100">
        <v>0.25</v>
      </c>
    </row>
    <row r="96" spans="1:5" x14ac:dyDescent="0.25">
      <c r="A96" s="99">
        <v>89</v>
      </c>
      <c r="B96" s="100">
        <v>3.59</v>
      </c>
      <c r="C96" s="100">
        <v>0.62</v>
      </c>
      <c r="D96" s="100">
        <v>0.25</v>
      </c>
      <c r="E96" s="100">
        <v>0.21</v>
      </c>
    </row>
    <row r="97" spans="1:5" x14ac:dyDescent="0.25">
      <c r="A97" s="99">
        <v>90</v>
      </c>
      <c r="B97" s="100">
        <v>3.3</v>
      </c>
      <c r="C97" s="100">
        <v>0.46</v>
      </c>
      <c r="D97" s="100">
        <v>0.2</v>
      </c>
      <c r="E97" s="100">
        <v>0.18</v>
      </c>
    </row>
    <row r="98" spans="1:5" x14ac:dyDescent="0.25">
      <c r="A98" s="99">
        <v>91</v>
      </c>
      <c r="B98" s="100">
        <v>3.02</v>
      </c>
      <c r="C98" s="100">
        <v>0.44</v>
      </c>
      <c r="D98" s="100">
        <v>0.18</v>
      </c>
      <c r="E98" s="100">
        <v>0.15</v>
      </c>
    </row>
    <row r="99" spans="1:5" x14ac:dyDescent="0.25">
      <c r="A99" s="99">
        <v>92</v>
      </c>
      <c r="B99" s="100">
        <v>2.77</v>
      </c>
      <c r="C99" s="100">
        <v>0.41</v>
      </c>
      <c r="D99" s="100">
        <v>0.15</v>
      </c>
      <c r="E99" s="100">
        <v>0.13</v>
      </c>
    </row>
    <row r="100" spans="1:5" x14ac:dyDescent="0.25">
      <c r="A100" s="99">
        <v>93</v>
      </c>
      <c r="B100" s="100">
        <v>2.54</v>
      </c>
      <c r="C100" s="100">
        <v>0.38</v>
      </c>
      <c r="D100" s="100">
        <v>0.13</v>
      </c>
      <c r="E100" s="100">
        <v>0.11</v>
      </c>
    </row>
    <row r="101" spans="1:5" x14ac:dyDescent="0.25">
      <c r="A101" s="99">
        <v>94</v>
      </c>
      <c r="B101" s="100">
        <v>2.34</v>
      </c>
      <c r="C101" s="100">
        <v>0.36</v>
      </c>
      <c r="D101" s="100">
        <v>0.11</v>
      </c>
      <c r="E101" s="100">
        <v>0.09</v>
      </c>
    </row>
    <row r="102" spans="1:5" x14ac:dyDescent="0.25">
      <c r="A102" s="99">
        <v>95</v>
      </c>
      <c r="B102" s="100">
        <v>2.15</v>
      </c>
      <c r="C102" s="100">
        <v>0.34</v>
      </c>
      <c r="D102" s="100">
        <v>0.1</v>
      </c>
      <c r="E102" s="100">
        <v>0.08</v>
      </c>
    </row>
  </sheetData>
  <sheetProtection algorithmName="SHA-512" hashValue="GY9jQcB0tUFFLR5BpLdg3uE9p13OZfjh6O3R9zFHX1O0yGhJBC1kOIIY8ImD2f9mC4H4eWVd9Q/z/mMCeT19hw==" saltValue="gDwvZNXJl3E7hbLwlWIvDg==" spinCount="100000" sheet="1" objects="1" scenarios="1"/>
  <conditionalFormatting sqref="A6:A21">
    <cfRule type="expression" dxfId="903" priority="11" stopIfTrue="1">
      <formula>MOD(ROW(),2)=0</formula>
    </cfRule>
    <cfRule type="expression" dxfId="902" priority="12" stopIfTrue="1">
      <formula>MOD(ROW(),2)&lt;&gt;0</formula>
    </cfRule>
  </conditionalFormatting>
  <conditionalFormatting sqref="A26:A102">
    <cfRule type="expression" dxfId="901" priority="3" stopIfTrue="1">
      <formula>MOD(ROW(),2)=0</formula>
    </cfRule>
    <cfRule type="expression" dxfId="900" priority="4" stopIfTrue="1">
      <formula>MOD(ROW(),2)&lt;&gt;0</formula>
    </cfRule>
  </conditionalFormatting>
  <conditionalFormatting sqref="B9">
    <cfRule type="expression" dxfId="899" priority="9" stopIfTrue="1">
      <formula>MOD(ROW(),2)=0</formula>
    </cfRule>
    <cfRule type="expression" dxfId="898" priority="10" stopIfTrue="1">
      <formula>MOD(ROW(),2)&lt;&gt;0</formula>
    </cfRule>
  </conditionalFormatting>
  <conditionalFormatting sqref="B6:E21">
    <cfRule type="expression" dxfId="897" priority="23" stopIfTrue="1">
      <formula>MOD(ROW(),2)=0</formula>
    </cfRule>
    <cfRule type="expression" dxfId="896" priority="24" stopIfTrue="1">
      <formula>MOD(ROW(),2)&lt;&gt;0</formula>
    </cfRule>
  </conditionalFormatting>
  <conditionalFormatting sqref="B17:E21">
    <cfRule type="expression" dxfId="895" priority="1" stopIfTrue="1">
      <formula>MOD(ROW(),2)=0</formula>
    </cfRule>
    <cfRule type="expression" dxfId="894" priority="2" stopIfTrue="1">
      <formula>MOD(ROW(),2)&lt;&gt;0</formula>
    </cfRule>
  </conditionalFormatting>
  <conditionalFormatting sqref="B26:E102">
    <cfRule type="expression" dxfId="893" priority="5" stopIfTrue="1">
      <formula>MOD(ROW(),2)=0</formula>
    </cfRule>
    <cfRule type="expression" dxfId="892" priority="6" stopIfTrue="1">
      <formula>MOD(ROW(),2)&lt;&gt;0</formula>
    </cfRule>
  </conditionalFormatting>
  <hyperlinks>
    <hyperlink ref="B24" location="Assumptions!A1" display="Assumptions" xr:uid="{2A3C8484-C80D-4A85-A3E1-67760D098D5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L60"/>
  <sheetViews>
    <sheetView showGridLines="0" topLeftCell="A21" workbookViewId="0">
      <selection activeCell="B9" sqref="B9"/>
    </sheetView>
  </sheetViews>
  <sheetFormatPr defaultRowHeight="12.5" x14ac:dyDescent="0.25"/>
  <cols>
    <col min="1" max="1" width="70" customWidth="1"/>
    <col min="2" max="2" width="3.08984375" customWidth="1"/>
    <col min="3" max="3" width="62.54296875" customWidth="1"/>
    <col min="257" max="257" width="66.90625" customWidth="1"/>
    <col min="258" max="258" width="3.08984375" customWidth="1"/>
    <col min="259" max="259" width="62.54296875" customWidth="1"/>
    <col min="513" max="513" width="66.90625" customWidth="1"/>
    <col min="514" max="514" width="3.08984375" customWidth="1"/>
    <col min="515" max="515" width="62.54296875" customWidth="1"/>
    <col min="769" max="769" width="66.90625" customWidth="1"/>
    <col min="770" max="770" width="3.08984375" customWidth="1"/>
    <col min="771" max="771" width="62.54296875" customWidth="1"/>
    <col min="1025" max="1025" width="66.90625" customWidth="1"/>
    <col min="1026" max="1026" width="3.08984375" customWidth="1"/>
    <col min="1027" max="1027" width="62.54296875" customWidth="1"/>
    <col min="1281" max="1281" width="66.90625" customWidth="1"/>
    <col min="1282" max="1282" width="3.08984375" customWidth="1"/>
    <col min="1283" max="1283" width="62.54296875" customWidth="1"/>
    <col min="1537" max="1537" width="66.90625" customWidth="1"/>
    <col min="1538" max="1538" width="3.08984375" customWidth="1"/>
    <col min="1539" max="1539" width="62.54296875" customWidth="1"/>
    <col min="1793" max="1793" width="66.90625" customWidth="1"/>
    <col min="1794" max="1794" width="3.08984375" customWidth="1"/>
    <col min="1795" max="1795" width="62.54296875" customWidth="1"/>
    <col min="2049" max="2049" width="66.90625" customWidth="1"/>
    <col min="2050" max="2050" width="3.08984375" customWidth="1"/>
    <col min="2051" max="2051" width="62.54296875" customWidth="1"/>
    <col min="2305" max="2305" width="66.90625" customWidth="1"/>
    <col min="2306" max="2306" width="3.08984375" customWidth="1"/>
    <col min="2307" max="2307" width="62.54296875" customWidth="1"/>
    <col min="2561" max="2561" width="66.90625" customWidth="1"/>
    <col min="2562" max="2562" width="3.08984375" customWidth="1"/>
    <col min="2563" max="2563" width="62.54296875" customWidth="1"/>
    <col min="2817" max="2817" width="66.90625" customWidth="1"/>
    <col min="2818" max="2818" width="3.08984375" customWidth="1"/>
    <col min="2819" max="2819" width="62.54296875" customWidth="1"/>
    <col min="3073" max="3073" width="66.90625" customWidth="1"/>
    <col min="3074" max="3074" width="3.08984375" customWidth="1"/>
    <col min="3075" max="3075" width="62.54296875" customWidth="1"/>
    <col min="3329" max="3329" width="66.90625" customWidth="1"/>
    <col min="3330" max="3330" width="3.08984375" customWidth="1"/>
    <col min="3331" max="3331" width="62.54296875" customWidth="1"/>
    <col min="3585" max="3585" width="66.90625" customWidth="1"/>
    <col min="3586" max="3586" width="3.08984375" customWidth="1"/>
    <col min="3587" max="3587" width="62.54296875" customWidth="1"/>
    <col min="3841" max="3841" width="66.90625" customWidth="1"/>
    <col min="3842" max="3842" width="3.08984375" customWidth="1"/>
    <col min="3843" max="3843" width="62.54296875" customWidth="1"/>
    <col min="4097" max="4097" width="66.90625" customWidth="1"/>
    <col min="4098" max="4098" width="3.08984375" customWidth="1"/>
    <col min="4099" max="4099" width="62.54296875" customWidth="1"/>
    <col min="4353" max="4353" width="66.90625" customWidth="1"/>
    <col min="4354" max="4354" width="3.08984375" customWidth="1"/>
    <col min="4355" max="4355" width="62.54296875" customWidth="1"/>
    <col min="4609" max="4609" width="66.90625" customWidth="1"/>
    <col min="4610" max="4610" width="3.08984375" customWidth="1"/>
    <col min="4611" max="4611" width="62.54296875" customWidth="1"/>
    <col min="4865" max="4865" width="66.90625" customWidth="1"/>
    <col min="4866" max="4866" width="3.08984375" customWidth="1"/>
    <col min="4867" max="4867" width="62.54296875" customWidth="1"/>
    <col min="5121" max="5121" width="66.90625" customWidth="1"/>
    <col min="5122" max="5122" width="3.08984375" customWidth="1"/>
    <col min="5123" max="5123" width="62.54296875" customWidth="1"/>
    <col min="5377" max="5377" width="66.90625" customWidth="1"/>
    <col min="5378" max="5378" width="3.08984375" customWidth="1"/>
    <col min="5379" max="5379" width="62.54296875" customWidth="1"/>
    <col min="5633" max="5633" width="66.90625" customWidth="1"/>
    <col min="5634" max="5634" width="3.08984375" customWidth="1"/>
    <col min="5635" max="5635" width="62.54296875" customWidth="1"/>
    <col min="5889" max="5889" width="66.90625" customWidth="1"/>
    <col min="5890" max="5890" width="3.08984375" customWidth="1"/>
    <col min="5891" max="5891" width="62.54296875" customWidth="1"/>
    <col min="6145" max="6145" width="66.90625" customWidth="1"/>
    <col min="6146" max="6146" width="3.08984375" customWidth="1"/>
    <col min="6147" max="6147" width="62.54296875" customWidth="1"/>
    <col min="6401" max="6401" width="66.90625" customWidth="1"/>
    <col min="6402" max="6402" width="3.08984375" customWidth="1"/>
    <col min="6403" max="6403" width="62.54296875" customWidth="1"/>
    <col min="6657" max="6657" width="66.90625" customWidth="1"/>
    <col min="6658" max="6658" width="3.08984375" customWidth="1"/>
    <col min="6659" max="6659" width="62.54296875" customWidth="1"/>
    <col min="6913" max="6913" width="66.90625" customWidth="1"/>
    <col min="6914" max="6914" width="3.08984375" customWidth="1"/>
    <col min="6915" max="6915" width="62.54296875" customWidth="1"/>
    <col min="7169" max="7169" width="66.90625" customWidth="1"/>
    <col min="7170" max="7170" width="3.08984375" customWidth="1"/>
    <col min="7171" max="7171" width="62.54296875" customWidth="1"/>
    <col min="7425" max="7425" width="66.90625" customWidth="1"/>
    <col min="7426" max="7426" width="3.08984375" customWidth="1"/>
    <col min="7427" max="7427" width="62.54296875" customWidth="1"/>
    <col min="7681" max="7681" width="66.90625" customWidth="1"/>
    <col min="7682" max="7682" width="3.08984375" customWidth="1"/>
    <col min="7683" max="7683" width="62.54296875" customWidth="1"/>
    <col min="7937" max="7937" width="66.90625" customWidth="1"/>
    <col min="7938" max="7938" width="3.08984375" customWidth="1"/>
    <col min="7939" max="7939" width="62.54296875" customWidth="1"/>
    <col min="8193" max="8193" width="66.90625" customWidth="1"/>
    <col min="8194" max="8194" width="3.08984375" customWidth="1"/>
    <col min="8195" max="8195" width="62.54296875" customWidth="1"/>
    <col min="8449" max="8449" width="66.90625" customWidth="1"/>
    <col min="8450" max="8450" width="3.08984375" customWidth="1"/>
    <col min="8451" max="8451" width="62.54296875" customWidth="1"/>
    <col min="8705" max="8705" width="66.90625" customWidth="1"/>
    <col min="8706" max="8706" width="3.08984375" customWidth="1"/>
    <col min="8707" max="8707" width="62.54296875" customWidth="1"/>
    <col min="8961" max="8961" width="66.90625" customWidth="1"/>
    <col min="8962" max="8962" width="3.08984375" customWidth="1"/>
    <col min="8963" max="8963" width="62.54296875" customWidth="1"/>
    <col min="9217" max="9217" width="66.90625" customWidth="1"/>
    <col min="9218" max="9218" width="3.08984375" customWidth="1"/>
    <col min="9219" max="9219" width="62.54296875" customWidth="1"/>
    <col min="9473" max="9473" width="66.90625" customWidth="1"/>
    <col min="9474" max="9474" width="3.08984375" customWidth="1"/>
    <col min="9475" max="9475" width="62.54296875" customWidth="1"/>
    <col min="9729" max="9729" width="66.90625" customWidth="1"/>
    <col min="9730" max="9730" width="3.08984375" customWidth="1"/>
    <col min="9731" max="9731" width="62.54296875" customWidth="1"/>
    <col min="9985" max="9985" width="66.90625" customWidth="1"/>
    <col min="9986" max="9986" width="3.08984375" customWidth="1"/>
    <col min="9987" max="9987" width="62.54296875" customWidth="1"/>
    <col min="10241" max="10241" width="66.90625" customWidth="1"/>
    <col min="10242" max="10242" width="3.08984375" customWidth="1"/>
    <col min="10243" max="10243" width="62.54296875" customWidth="1"/>
    <col min="10497" max="10497" width="66.90625" customWidth="1"/>
    <col min="10498" max="10498" width="3.08984375" customWidth="1"/>
    <col min="10499" max="10499" width="62.54296875" customWidth="1"/>
    <col min="10753" max="10753" width="66.90625" customWidth="1"/>
    <col min="10754" max="10754" width="3.08984375" customWidth="1"/>
    <col min="10755" max="10755" width="62.54296875" customWidth="1"/>
    <col min="11009" max="11009" width="66.90625" customWidth="1"/>
    <col min="11010" max="11010" width="3.08984375" customWidth="1"/>
    <col min="11011" max="11011" width="62.54296875" customWidth="1"/>
    <col min="11265" max="11265" width="66.90625" customWidth="1"/>
    <col min="11266" max="11266" width="3.08984375" customWidth="1"/>
    <col min="11267" max="11267" width="62.54296875" customWidth="1"/>
    <col min="11521" max="11521" width="66.90625" customWidth="1"/>
    <col min="11522" max="11522" width="3.08984375" customWidth="1"/>
    <col min="11523" max="11523" width="62.54296875" customWidth="1"/>
    <col min="11777" max="11777" width="66.90625" customWidth="1"/>
    <col min="11778" max="11778" width="3.08984375" customWidth="1"/>
    <col min="11779" max="11779" width="62.54296875" customWidth="1"/>
    <col min="12033" max="12033" width="66.90625" customWidth="1"/>
    <col min="12034" max="12034" width="3.08984375" customWidth="1"/>
    <col min="12035" max="12035" width="62.54296875" customWidth="1"/>
    <col min="12289" max="12289" width="66.90625" customWidth="1"/>
    <col min="12290" max="12290" width="3.08984375" customWidth="1"/>
    <col min="12291" max="12291" width="62.54296875" customWidth="1"/>
    <col min="12545" max="12545" width="66.90625" customWidth="1"/>
    <col min="12546" max="12546" width="3.08984375" customWidth="1"/>
    <col min="12547" max="12547" width="62.54296875" customWidth="1"/>
    <col min="12801" max="12801" width="66.90625" customWidth="1"/>
    <col min="12802" max="12802" width="3.08984375" customWidth="1"/>
    <col min="12803" max="12803" width="62.54296875" customWidth="1"/>
    <col min="13057" max="13057" width="66.90625" customWidth="1"/>
    <col min="13058" max="13058" width="3.08984375" customWidth="1"/>
    <col min="13059" max="13059" width="62.54296875" customWidth="1"/>
    <col min="13313" max="13313" width="66.90625" customWidth="1"/>
    <col min="13314" max="13314" width="3.08984375" customWidth="1"/>
    <col min="13315" max="13315" width="62.54296875" customWidth="1"/>
    <col min="13569" max="13569" width="66.90625" customWidth="1"/>
    <col min="13570" max="13570" width="3.08984375" customWidth="1"/>
    <col min="13571" max="13571" width="62.54296875" customWidth="1"/>
    <col min="13825" max="13825" width="66.90625" customWidth="1"/>
    <col min="13826" max="13826" width="3.08984375" customWidth="1"/>
    <col min="13827" max="13827" width="62.54296875" customWidth="1"/>
    <col min="14081" max="14081" width="66.90625" customWidth="1"/>
    <col min="14082" max="14082" width="3.08984375" customWidth="1"/>
    <col min="14083" max="14083" width="62.54296875" customWidth="1"/>
    <col min="14337" max="14337" width="66.90625" customWidth="1"/>
    <col min="14338" max="14338" width="3.08984375" customWidth="1"/>
    <col min="14339" max="14339" width="62.54296875" customWidth="1"/>
    <col min="14593" max="14593" width="66.90625" customWidth="1"/>
    <col min="14594" max="14594" width="3.08984375" customWidth="1"/>
    <col min="14595" max="14595" width="62.54296875" customWidth="1"/>
    <col min="14849" max="14849" width="66.90625" customWidth="1"/>
    <col min="14850" max="14850" width="3.08984375" customWidth="1"/>
    <col min="14851" max="14851" width="62.54296875" customWidth="1"/>
    <col min="15105" max="15105" width="66.90625" customWidth="1"/>
    <col min="15106" max="15106" width="3.08984375" customWidth="1"/>
    <col min="15107" max="15107" width="62.54296875" customWidth="1"/>
    <col min="15361" max="15361" width="66.90625" customWidth="1"/>
    <col min="15362" max="15362" width="3.08984375" customWidth="1"/>
    <col min="15363" max="15363" width="62.54296875" customWidth="1"/>
    <col min="15617" max="15617" width="66.90625" customWidth="1"/>
    <col min="15618" max="15618" width="3.08984375" customWidth="1"/>
    <col min="15619" max="15619" width="62.54296875" customWidth="1"/>
    <col min="15873" max="15873" width="66.90625" customWidth="1"/>
    <col min="15874" max="15874" width="3.08984375" customWidth="1"/>
    <col min="15875" max="15875" width="62.54296875" customWidth="1"/>
    <col min="16129" max="16129" width="66.90625" customWidth="1"/>
    <col min="16130" max="16130" width="3.08984375" customWidth="1"/>
    <col min="16131" max="16131" width="62.54296875" customWidth="1"/>
  </cols>
  <sheetData>
    <row r="1" spans="1:12" ht="20" x14ac:dyDescent="0.4">
      <c r="A1" s="3" t="s">
        <v>0</v>
      </c>
      <c r="B1" s="3"/>
      <c r="C1" s="3"/>
      <c r="D1" s="3"/>
      <c r="E1" s="3"/>
      <c r="F1" s="3"/>
      <c r="G1" s="3"/>
      <c r="H1" s="3"/>
      <c r="I1" s="3"/>
      <c r="J1" s="3"/>
      <c r="K1" s="3"/>
      <c r="L1" s="3"/>
    </row>
    <row r="2" spans="1:12" ht="15.5" x14ac:dyDescent="0.35">
      <c r="A2" s="4" t="str">
        <f>IF(title="&gt; Enter workbook title here","Enter workbook title in Cover sheet",title)</f>
        <v>NHSPS_NI - Consolidated Factor Spreadsheet</v>
      </c>
      <c r="B2" s="4"/>
      <c r="C2" s="4"/>
      <c r="D2" s="4"/>
      <c r="E2" s="4"/>
      <c r="F2" s="4"/>
      <c r="G2" s="4"/>
      <c r="H2" s="4"/>
      <c r="I2" s="4"/>
      <c r="J2" s="4"/>
      <c r="K2" s="4"/>
      <c r="L2" s="4"/>
    </row>
    <row r="3" spans="1:12" ht="15.5" x14ac:dyDescent="0.35">
      <c r="A3" s="5" t="s">
        <v>36</v>
      </c>
      <c r="B3" s="5"/>
      <c r="C3" s="5"/>
      <c r="D3" s="5"/>
      <c r="E3" s="5"/>
      <c r="F3" s="5"/>
      <c r="G3" s="5"/>
      <c r="H3" s="5"/>
      <c r="I3" s="5"/>
      <c r="J3" s="5"/>
      <c r="K3" s="5"/>
      <c r="L3" s="5"/>
    </row>
    <row r="4" spans="1:12" x14ac:dyDescent="0.25">
      <c r="A4" s="6" t="str">
        <f ca="1">CELL("filename",A1)</f>
        <v>https://tris42.sharepoint.com/sites/gad_wrkgrp_actuarial/pspsactuarialwork/Central/Factors &amp; Guidance/2024 Guidance Review/4. Online portal/3. Import data/3. Factor tables/0_client_friendly/Ready to be uploaded/2025-03/[NHS NI Consolidated Factors 2025-02.xlsx]Version Control</v>
      </c>
      <c r="B4" s="6"/>
    </row>
    <row r="5" spans="1:12" x14ac:dyDescent="0.25">
      <c r="E5" s="7"/>
      <c r="F5" s="7"/>
      <c r="G5" s="7"/>
    </row>
    <row r="6" spans="1:12" ht="15.5" x14ac:dyDescent="0.25">
      <c r="A6" s="71" t="s">
        <v>37</v>
      </c>
      <c r="B6" s="69"/>
      <c r="C6" s="69"/>
    </row>
    <row r="7" spans="1:12" x14ac:dyDescent="0.25">
      <c r="A7" s="81"/>
      <c r="B7" s="81"/>
      <c r="C7" s="81"/>
    </row>
    <row r="8" spans="1:12" x14ac:dyDescent="0.25">
      <c r="A8" s="82" t="s">
        <v>38</v>
      </c>
      <c r="B8" s="81"/>
      <c r="C8" s="81"/>
    </row>
    <row r="9" spans="1:12" x14ac:dyDescent="0.25">
      <c r="A9" s="82" t="s">
        <v>39</v>
      </c>
      <c r="B9" s="81"/>
      <c r="C9" s="81"/>
    </row>
    <row r="11" spans="1:12" ht="15" customHeight="1" x14ac:dyDescent="0.25">
      <c r="A11" s="108" t="s">
        <v>40</v>
      </c>
      <c r="B11" s="110"/>
      <c r="C11" s="109"/>
    </row>
    <row r="12" spans="1:12" ht="18" customHeight="1" x14ac:dyDescent="0.25">
      <c r="A12" s="109" t="s">
        <v>41</v>
      </c>
      <c r="B12" s="110"/>
      <c r="C12" s="111" t="s">
        <v>42</v>
      </c>
    </row>
    <row r="13" spans="1:12" ht="77.150000000000006" customHeight="1" x14ac:dyDescent="0.25">
      <c r="A13" s="109" t="s">
        <v>43</v>
      </c>
      <c r="B13" s="110"/>
      <c r="C13" s="111" t="s">
        <v>44</v>
      </c>
    </row>
    <row r="14" spans="1:12" ht="18" customHeight="1" x14ac:dyDescent="0.25">
      <c r="A14" s="109" t="s">
        <v>45</v>
      </c>
      <c r="B14" s="110"/>
      <c r="C14" s="111" t="s">
        <v>42</v>
      </c>
    </row>
    <row r="15" spans="1:12" ht="18" customHeight="1" x14ac:dyDescent="0.25">
      <c r="A15" s="109" t="s">
        <v>46</v>
      </c>
      <c r="B15" s="110"/>
      <c r="C15" s="111" t="s">
        <v>47</v>
      </c>
    </row>
    <row r="16" spans="1:12" ht="18" customHeight="1" x14ac:dyDescent="0.25">
      <c r="A16" s="109" t="s">
        <v>48</v>
      </c>
      <c r="B16" s="110"/>
      <c r="C16" s="111" t="s">
        <v>47</v>
      </c>
    </row>
    <row r="17" spans="1:3" ht="18" customHeight="1" x14ac:dyDescent="0.25">
      <c r="A17" s="109" t="s">
        <v>49</v>
      </c>
      <c r="B17" s="110"/>
      <c r="C17" s="112">
        <v>43949</v>
      </c>
    </row>
    <row r="19" spans="1:3" ht="13" x14ac:dyDescent="0.3">
      <c r="A19" s="113" t="s">
        <v>50</v>
      </c>
      <c r="B19" s="114"/>
      <c r="C19" s="114"/>
    </row>
    <row r="20" spans="1:3" x14ac:dyDescent="0.25">
      <c r="A20" s="114" t="s">
        <v>41</v>
      </c>
      <c r="B20" s="114"/>
      <c r="C20" s="115"/>
    </row>
    <row r="21" spans="1:3" ht="25" x14ac:dyDescent="0.25">
      <c r="A21" s="114" t="s">
        <v>51</v>
      </c>
      <c r="B21" s="114"/>
      <c r="C21" s="115" t="s">
        <v>52</v>
      </c>
    </row>
    <row r="22" spans="1:3" x14ac:dyDescent="0.25">
      <c r="A22" s="114" t="s">
        <v>53</v>
      </c>
      <c r="B22" s="114"/>
      <c r="C22" s="114" t="s">
        <v>54</v>
      </c>
    </row>
    <row r="23" spans="1:3" x14ac:dyDescent="0.25">
      <c r="A23" s="114" t="s">
        <v>55</v>
      </c>
      <c r="B23" s="114"/>
      <c r="C23" s="116">
        <v>45072</v>
      </c>
    </row>
    <row r="25" spans="1:3" ht="13" x14ac:dyDescent="0.3">
      <c r="A25" s="113" t="s">
        <v>56</v>
      </c>
      <c r="B25" s="114"/>
      <c r="C25" s="114"/>
    </row>
    <row r="26" spans="1:3" x14ac:dyDescent="0.25">
      <c r="A26" s="114" t="s">
        <v>41</v>
      </c>
      <c r="B26" s="114"/>
      <c r="C26" s="115"/>
    </row>
    <row r="27" spans="1:3" ht="25" x14ac:dyDescent="0.25">
      <c r="A27" s="114" t="s">
        <v>51</v>
      </c>
      <c r="B27" s="114"/>
      <c r="C27" s="115" t="s">
        <v>57</v>
      </c>
    </row>
    <row r="28" spans="1:3" x14ac:dyDescent="0.25">
      <c r="A28" s="114" t="s">
        <v>53</v>
      </c>
      <c r="B28" s="114"/>
      <c r="C28" s="114" t="s">
        <v>58</v>
      </c>
    </row>
    <row r="29" spans="1:3" x14ac:dyDescent="0.25">
      <c r="A29" s="114" t="s">
        <v>48</v>
      </c>
      <c r="B29" s="114"/>
      <c r="C29" s="114"/>
    </row>
    <row r="30" spans="1:3" x14ac:dyDescent="0.25">
      <c r="A30" s="114" t="s">
        <v>55</v>
      </c>
      <c r="B30" s="114"/>
      <c r="C30" s="116">
        <v>45107</v>
      </c>
    </row>
    <row r="32" spans="1:3" ht="13" x14ac:dyDescent="0.3">
      <c r="A32" s="113" t="s">
        <v>59</v>
      </c>
      <c r="B32" s="114"/>
      <c r="C32" s="114"/>
    </row>
    <row r="33" spans="1:3" x14ac:dyDescent="0.25">
      <c r="A33" s="114" t="s">
        <v>41</v>
      </c>
      <c r="B33" s="114"/>
      <c r="C33" s="115"/>
    </row>
    <row r="34" spans="1:3" ht="25" x14ac:dyDescent="0.25">
      <c r="A34" s="114" t="s">
        <v>51</v>
      </c>
      <c r="B34" s="114"/>
      <c r="C34" s="115" t="s">
        <v>60</v>
      </c>
    </row>
    <row r="35" spans="1:3" x14ac:dyDescent="0.25">
      <c r="A35" s="114" t="s">
        <v>53</v>
      </c>
      <c r="B35" s="114"/>
      <c r="C35" s="114"/>
    </row>
    <row r="36" spans="1:3" x14ac:dyDescent="0.25">
      <c r="A36" s="114" t="s">
        <v>48</v>
      </c>
      <c r="B36" s="114"/>
      <c r="C36" s="114"/>
    </row>
    <row r="37" spans="1:3" x14ac:dyDescent="0.25">
      <c r="A37" s="114" t="s">
        <v>55</v>
      </c>
      <c r="B37" s="114"/>
      <c r="C37" s="116">
        <v>45135</v>
      </c>
    </row>
    <row r="39" spans="1:3" ht="13" x14ac:dyDescent="0.3">
      <c r="A39" s="123" t="s">
        <v>61</v>
      </c>
      <c r="B39" s="124"/>
      <c r="C39" s="124"/>
    </row>
    <row r="40" spans="1:3" x14ac:dyDescent="0.25">
      <c r="A40" s="124" t="s">
        <v>41</v>
      </c>
      <c r="B40" s="124"/>
      <c r="C40" s="125"/>
    </row>
    <row r="41" spans="1:3" x14ac:dyDescent="0.25">
      <c r="A41" s="124" t="s">
        <v>51</v>
      </c>
      <c r="B41" s="124"/>
      <c r="C41" s="125" t="s">
        <v>62</v>
      </c>
    </row>
    <row r="42" spans="1:3" x14ac:dyDescent="0.25">
      <c r="A42" s="124" t="s">
        <v>53</v>
      </c>
      <c r="B42" s="124"/>
      <c r="C42" s="124" t="s">
        <v>63</v>
      </c>
    </row>
    <row r="43" spans="1:3" x14ac:dyDescent="0.25">
      <c r="A43" s="124" t="s">
        <v>48</v>
      </c>
      <c r="B43" s="124"/>
      <c r="C43" s="124"/>
    </row>
    <row r="44" spans="1:3" x14ac:dyDescent="0.25">
      <c r="A44" s="124" t="s">
        <v>55</v>
      </c>
      <c r="B44" s="124"/>
      <c r="C44" s="126">
        <v>45202</v>
      </c>
    </row>
    <row r="46" spans="1:3" ht="13" x14ac:dyDescent="0.3">
      <c r="A46" s="123" t="s">
        <v>64</v>
      </c>
      <c r="B46" s="124"/>
      <c r="C46" s="124"/>
    </row>
    <row r="47" spans="1:3" x14ac:dyDescent="0.25">
      <c r="A47" s="124" t="s">
        <v>41</v>
      </c>
      <c r="B47" s="124" t="s">
        <v>65</v>
      </c>
      <c r="C47" s="125"/>
    </row>
    <row r="48" spans="1:3" x14ac:dyDescent="0.25">
      <c r="A48" s="124" t="s">
        <v>51</v>
      </c>
      <c r="B48" s="124"/>
      <c r="C48" s="125"/>
    </row>
    <row r="49" spans="1:3" x14ac:dyDescent="0.25">
      <c r="A49" s="124" t="s">
        <v>53</v>
      </c>
      <c r="B49" s="124"/>
      <c r="C49" s="124"/>
    </row>
    <row r="50" spans="1:3" x14ac:dyDescent="0.25">
      <c r="A50" s="124" t="s">
        <v>48</v>
      </c>
      <c r="B50" s="124"/>
      <c r="C50" s="124"/>
    </row>
    <row r="51" spans="1:3" ht="25" x14ac:dyDescent="0.25">
      <c r="A51" s="124" t="s">
        <v>66</v>
      </c>
      <c r="B51" s="124"/>
      <c r="C51" s="159" t="s">
        <v>67</v>
      </c>
    </row>
    <row r="52" spans="1:3" x14ac:dyDescent="0.25">
      <c r="A52" s="124" t="s">
        <v>55</v>
      </c>
      <c r="B52" s="124"/>
      <c r="C52" s="126">
        <v>45688</v>
      </c>
    </row>
    <row r="54" spans="1:3" ht="13" x14ac:dyDescent="0.3">
      <c r="A54" s="127" t="s">
        <v>64</v>
      </c>
      <c r="B54" s="180"/>
      <c r="C54" s="180"/>
    </row>
    <row r="55" spans="1:3" x14ac:dyDescent="0.25">
      <c r="A55" s="128" t="s">
        <v>41</v>
      </c>
      <c r="B55" s="181"/>
      <c r="C55" s="181"/>
    </row>
    <row r="56" spans="1:3" x14ac:dyDescent="0.25">
      <c r="A56" s="129" t="s">
        <v>51</v>
      </c>
      <c r="B56" s="180"/>
      <c r="C56" s="180"/>
    </row>
    <row r="57" spans="1:3" x14ac:dyDescent="0.25">
      <c r="A57" s="128" t="s">
        <v>53</v>
      </c>
      <c r="B57" s="181" t="s">
        <v>68</v>
      </c>
      <c r="C57" s="181"/>
    </row>
    <row r="58" spans="1:3" x14ac:dyDescent="0.25">
      <c r="A58" s="129" t="s">
        <v>48</v>
      </c>
      <c r="B58" s="180"/>
      <c r="C58" s="180"/>
    </row>
    <row r="59" spans="1:3" x14ac:dyDescent="0.25">
      <c r="A59" s="128" t="s">
        <v>66</v>
      </c>
      <c r="B59" s="157"/>
      <c r="C59" s="130" t="s">
        <v>69</v>
      </c>
    </row>
    <row r="60" spans="1:3" x14ac:dyDescent="0.25">
      <c r="A60" s="129" t="s">
        <v>55</v>
      </c>
      <c r="B60" s="156"/>
      <c r="C60" s="131">
        <v>45709</v>
      </c>
    </row>
  </sheetData>
  <sheetProtection algorithmName="SHA-512" hashValue="qMIBw5TcIQQSgLzenp6R3RFqEM85r9koZKlycUfm8xIpJKHhjsJol3wZSX3Qsf86MrApgf5OMK2tHPMhcVhZoA==" saltValue="7TNIsYAmTNUPP21//SjfoQ==" spinCount="100000" sheet="1" objects="1" scenarios="1"/>
  <mergeCells count="5">
    <mergeCell ref="B54:C54"/>
    <mergeCell ref="B55:C55"/>
    <mergeCell ref="B56:C56"/>
    <mergeCell ref="B57:C57"/>
    <mergeCell ref="B58:C58"/>
  </mergeCells>
  <conditionalFormatting sqref="A11:A17">
    <cfRule type="expression" dxfId="1160" priority="23" stopIfTrue="1">
      <formula>MOD(ROW(),2)=0</formula>
    </cfRule>
    <cfRule type="expression" dxfId="1159" priority="24" stopIfTrue="1">
      <formula>MOD(ROW(),2)&lt;&gt;0</formula>
    </cfRule>
  </conditionalFormatting>
  <conditionalFormatting sqref="A25:A30">
    <cfRule type="expression" dxfId="1158" priority="63" stopIfTrue="1">
      <formula>MOD(ROW(),2)=0</formula>
    </cfRule>
    <cfRule type="expression" dxfId="1157" priority="64" stopIfTrue="1">
      <formula>MOD(ROW(),2)&lt;&gt;0</formula>
    </cfRule>
  </conditionalFormatting>
  <conditionalFormatting sqref="A32:A37">
    <cfRule type="expression" dxfId="1156" priority="13" stopIfTrue="1">
      <formula>MOD(ROW(),2)=0</formula>
    </cfRule>
    <cfRule type="expression" dxfId="1155" priority="14" stopIfTrue="1">
      <formula>MOD(ROW(),2)&lt;&gt;0</formula>
    </cfRule>
  </conditionalFormatting>
  <conditionalFormatting sqref="A39:A44">
    <cfRule type="expression" dxfId="1154" priority="111" stopIfTrue="1">
      <formula>MOD(ROW(),2)=0</formula>
    </cfRule>
    <cfRule type="expression" dxfId="1153" priority="112" stopIfTrue="1">
      <formula>MOD(ROW(),2)&lt;&gt;0</formula>
    </cfRule>
  </conditionalFormatting>
  <conditionalFormatting sqref="A46:A52">
    <cfRule type="expression" dxfId="1152" priority="5" stopIfTrue="1">
      <formula>MOD(ROW(),2)=0</formula>
    </cfRule>
    <cfRule type="expression" dxfId="1151" priority="6" stopIfTrue="1">
      <formula>MOD(ROW(),2)&lt;&gt;0</formula>
    </cfRule>
    <cfRule type="expression" priority="9" stopIfTrue="1">
      <formula>MOD(ROW(),2)=0</formula>
    </cfRule>
    <cfRule type="expression" priority="10" stopIfTrue="1">
      <formula>MOD(ROW(),2)&lt;&gt;0</formula>
    </cfRule>
  </conditionalFormatting>
  <conditionalFormatting sqref="A6:C9 A19:A23">
    <cfRule type="expression" dxfId="1150" priority="31" stopIfTrue="1">
      <formula>MOD(ROW(),2)=0</formula>
    </cfRule>
    <cfRule type="expression" dxfId="1149" priority="32" stopIfTrue="1">
      <formula>MOD(ROW(),2)&lt;&gt;0</formula>
    </cfRule>
  </conditionalFormatting>
  <conditionalFormatting sqref="A11:C17">
    <cfRule type="expression" priority="51" stopIfTrue="1">
      <formula>MOD(ROW(),2)=0</formula>
    </cfRule>
    <cfRule type="expression" priority="52" stopIfTrue="1">
      <formula>MOD(ROW(),2)&lt;&gt;0</formula>
    </cfRule>
    <cfRule type="expression" priority="96" stopIfTrue="1">
      <formula>MOD(ROW(),2)&lt;&gt;0</formula>
    </cfRule>
    <cfRule type="expression" priority="95" stopIfTrue="1">
      <formula>MOD(ROW(),2)=0</formula>
    </cfRule>
    <cfRule type="expression" priority="84" stopIfTrue="1">
      <formula>MOD(ROW(),2)&lt;&gt;0</formula>
    </cfRule>
    <cfRule type="expression" priority="67" stopIfTrue="1">
      <formula>MOD(ROW(),2)=0</formula>
    </cfRule>
    <cfRule type="expression" priority="68" stopIfTrue="1">
      <formula>MOD(ROW(),2)&lt;&gt;0</formula>
    </cfRule>
    <cfRule type="expression" priority="83" stopIfTrue="1">
      <formula>MOD(ROW(),2)=0</formula>
    </cfRule>
    <cfRule type="expression" priority="35" stopIfTrue="1">
      <formula>MOD(ROW(),2)=0</formula>
    </cfRule>
    <cfRule type="expression" priority="36" stopIfTrue="1">
      <formula>MOD(ROW(),2)&lt;&gt;0</formula>
    </cfRule>
    <cfRule type="expression" priority="116" stopIfTrue="1">
      <formula>MOD(ROW(),2)&lt;&gt;0</formula>
    </cfRule>
    <cfRule type="expression" priority="115" stopIfTrue="1">
      <formula>MOD(ROW(),2)=0</formula>
    </cfRule>
    <cfRule type="expression" priority="39" stopIfTrue="1">
      <formula>MOD(ROW(),2)=0</formula>
    </cfRule>
    <cfRule type="expression" priority="40" stopIfTrue="1">
      <formula>MOD(ROW(),2)&lt;&gt;0</formula>
    </cfRule>
  </conditionalFormatting>
  <conditionalFormatting sqref="A19:C23">
    <cfRule type="expression" priority="44" stopIfTrue="1">
      <formula>MOD(ROW(),2)&lt;&gt;0</formula>
    </cfRule>
    <cfRule type="expression" priority="119" stopIfTrue="1">
      <formula>MOD(ROW(),2)=0</formula>
    </cfRule>
    <cfRule type="expression" priority="100" stopIfTrue="1">
      <formula>MOD(ROW(),2)&lt;&gt;0</formula>
    </cfRule>
    <cfRule type="expression" priority="99" stopIfTrue="1">
      <formula>MOD(ROW(),2)=0</formula>
    </cfRule>
    <cfRule type="expression" priority="55" stopIfTrue="1">
      <formula>MOD(ROW(),2)=0</formula>
    </cfRule>
    <cfRule type="expression" priority="71" stopIfTrue="1">
      <formula>MOD(ROW(),2)=0</formula>
    </cfRule>
    <cfRule type="expression" priority="56" stopIfTrue="1">
      <formula>MOD(ROW(),2)&lt;&gt;0</formula>
    </cfRule>
    <cfRule type="expression" priority="87" stopIfTrue="1">
      <formula>MOD(ROW(),2)=0</formula>
    </cfRule>
    <cfRule type="expression" priority="72" stopIfTrue="1">
      <formula>MOD(ROW(),2)&lt;&gt;0</formula>
    </cfRule>
    <cfRule type="expression" priority="120" stopIfTrue="1">
      <formula>MOD(ROW(),2)&lt;&gt;0</formula>
    </cfRule>
    <cfRule type="expression" priority="88" stopIfTrue="1">
      <formula>MOD(ROW(),2)&lt;&gt;0</formula>
    </cfRule>
    <cfRule type="expression" priority="43" stopIfTrue="1">
      <formula>MOD(ROW(),2)=0</formula>
    </cfRule>
  </conditionalFormatting>
  <conditionalFormatting sqref="A25:C30">
    <cfRule type="expression" priority="92" stopIfTrue="1">
      <formula>MOD(ROW(),2)&lt;&gt;0</formula>
    </cfRule>
    <cfRule type="expression" priority="103" stopIfTrue="1">
      <formula>MOD(ROW(),2)=0</formula>
    </cfRule>
    <cfRule type="expression" priority="123" stopIfTrue="1">
      <formula>MOD(ROW(),2)=0</formula>
    </cfRule>
    <cfRule type="expression" priority="124" stopIfTrue="1">
      <formula>MOD(ROW(),2)&lt;&gt;0</formula>
    </cfRule>
    <cfRule type="expression" priority="104" stopIfTrue="1">
      <formula>MOD(ROW(),2)&lt;&gt;0</formula>
    </cfRule>
    <cfRule type="expression" priority="75" stopIfTrue="1">
      <formula>MOD(ROW(),2)=0</formula>
    </cfRule>
    <cfRule type="expression" priority="76" stopIfTrue="1">
      <formula>MOD(ROW(),2)&lt;&gt;0</formula>
    </cfRule>
    <cfRule type="expression" priority="91" stopIfTrue="1">
      <formula>MOD(ROW(),2)=0</formula>
    </cfRule>
  </conditionalFormatting>
  <conditionalFormatting sqref="A32:C37">
    <cfRule type="expression" priority="108" stopIfTrue="1">
      <formula>MOD(ROW(),2)&lt;&gt;0</formula>
    </cfRule>
    <cfRule type="expression" priority="107" stopIfTrue="1">
      <formula>MOD(ROW(),2)=0</formula>
    </cfRule>
    <cfRule type="expression" priority="127" stopIfTrue="1">
      <formula>MOD(ROW(),2)=0</formula>
    </cfRule>
    <cfRule type="expression" priority="128" stopIfTrue="1">
      <formula>MOD(ROW(),2)&lt;&gt;0</formula>
    </cfRule>
  </conditionalFormatting>
  <conditionalFormatting sqref="A39:C44">
    <cfRule type="expression" priority="131" stopIfTrue="1">
      <formula>MOD(ROW(),2)=0</formula>
    </cfRule>
    <cfRule type="expression" priority="132" stopIfTrue="1">
      <formula>MOD(ROW(),2)&lt;&gt;0</formula>
    </cfRule>
  </conditionalFormatting>
  <conditionalFormatting sqref="B11:C17">
    <cfRule type="expression" dxfId="1148" priority="19" stopIfTrue="1">
      <formula>MOD(ROW(),2)=0</formula>
    </cfRule>
    <cfRule type="expression" dxfId="1147" priority="20" stopIfTrue="1">
      <formula>MOD(ROW(),2)&lt;&gt;0</formula>
    </cfRule>
  </conditionalFormatting>
  <conditionalFormatting sqref="B19:C23">
    <cfRule type="expression" dxfId="1146" priority="29" stopIfTrue="1">
      <formula>MOD(ROW(),2)=0</formula>
    </cfRule>
    <cfRule type="expression" dxfId="1145" priority="30" stopIfTrue="1">
      <formula>MOD(ROW(),2)&lt;&gt;0</formula>
    </cfRule>
  </conditionalFormatting>
  <conditionalFormatting sqref="B25:C30">
    <cfRule type="expression" dxfId="1144" priority="65" stopIfTrue="1">
      <formula>MOD(ROW(),2)=0</formula>
    </cfRule>
    <cfRule type="expression" dxfId="1143" priority="66" stopIfTrue="1">
      <formula>MOD(ROW(),2)&lt;&gt;0</formula>
    </cfRule>
  </conditionalFormatting>
  <conditionalFormatting sqref="B32:C37">
    <cfRule type="expression" dxfId="1142" priority="16" stopIfTrue="1">
      <formula>MOD(ROW(),2)&lt;&gt;0</formula>
    </cfRule>
    <cfRule type="expression" dxfId="1141" priority="15" stopIfTrue="1">
      <formula>MOD(ROW(),2)=0</formula>
    </cfRule>
  </conditionalFormatting>
  <conditionalFormatting sqref="B39:C44">
    <cfRule type="expression" dxfId="1140" priority="113" stopIfTrue="1">
      <formula>MOD(ROW(),2)=0</formula>
    </cfRule>
    <cfRule type="expression" dxfId="1139" priority="114" stopIfTrue="1">
      <formula>MOD(ROW(),2)&lt;&gt;0</formula>
    </cfRule>
  </conditionalFormatting>
  <conditionalFormatting sqref="B46:C52">
    <cfRule type="expression" dxfId="1138" priority="2" stopIfTrue="1">
      <formula>MOD(ROW(),2)&lt;&gt;0</formula>
    </cfRule>
    <cfRule type="expression" priority="3" stopIfTrue="1">
      <formula>MOD(ROW(),2)=0</formula>
    </cfRule>
    <cfRule type="expression" priority="4" stopIfTrue="1">
      <formula>MOD(ROW(),2)&lt;&gt;0</formula>
    </cfRule>
    <cfRule type="expression" dxfId="1137" priority="1" stopIfTrue="1">
      <formula>MOD(ROW(),2)=0</formula>
    </cfRule>
  </conditionalFormatting>
  <pageMargins left="0.70866141732283472" right="0.70866141732283472" top="0.74803149606299213" bottom="0.74803149606299213" header="0.31496062992125984" footer="0.31496062992125984"/>
  <pageSetup paperSize="9" scale="98"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67"/>
  <dimension ref="A1:I67"/>
  <sheetViews>
    <sheetView showGridLines="0" zoomScale="85" zoomScaleNormal="85" workbookViewId="0">
      <selection activeCell="A4" sqref="A4"/>
    </sheetView>
  </sheetViews>
  <sheetFormatPr defaultColWidth="10" defaultRowHeight="12.5" x14ac:dyDescent="0.25"/>
  <cols>
    <col min="1" max="1" width="31.90625" style="25" customWidth="1"/>
    <col min="2" max="4" width="22.90625" style="25" customWidth="1"/>
    <col min="5"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Pension Credit - x-306</v>
      </c>
      <c r="B3" s="39"/>
      <c r="C3" s="39"/>
      <c r="D3" s="39"/>
      <c r="E3" s="39"/>
      <c r="F3" s="39"/>
      <c r="G3" s="39"/>
      <c r="H3" s="39"/>
      <c r="I3" s="39"/>
    </row>
    <row r="4" spans="1:9" x14ac:dyDescent="0.25">
      <c r="A4" s="41"/>
    </row>
    <row r="6" spans="1:9" ht="13" x14ac:dyDescent="0.3">
      <c r="A6" s="83" t="s">
        <v>276</v>
      </c>
      <c r="B6" s="161" t="s">
        <v>277</v>
      </c>
      <c r="C6" s="161"/>
      <c r="D6" s="161"/>
    </row>
    <row r="7" spans="1:9" x14ac:dyDescent="0.25">
      <c r="A7" s="85" t="s">
        <v>278</v>
      </c>
      <c r="B7" s="161" t="s">
        <v>310</v>
      </c>
      <c r="C7" s="161"/>
      <c r="D7" s="161"/>
    </row>
    <row r="8" spans="1:9" x14ac:dyDescent="0.25">
      <c r="A8" s="85" t="s">
        <v>280</v>
      </c>
      <c r="B8" s="161" t="s">
        <v>75</v>
      </c>
      <c r="C8" s="161"/>
      <c r="D8" s="161"/>
    </row>
    <row r="9" spans="1:9" x14ac:dyDescent="0.25">
      <c r="A9" s="85" t="s">
        <v>282</v>
      </c>
      <c r="B9" s="161" t="s">
        <v>387</v>
      </c>
      <c r="C9" s="161"/>
      <c r="D9" s="161"/>
    </row>
    <row r="10" spans="1:9" x14ac:dyDescent="0.25">
      <c r="A10" s="85" t="s">
        <v>6</v>
      </c>
      <c r="B10" s="161" t="s">
        <v>388</v>
      </c>
      <c r="C10" s="161"/>
      <c r="D10" s="161"/>
    </row>
    <row r="11" spans="1:9" x14ac:dyDescent="0.25">
      <c r="A11" s="85" t="s">
        <v>285</v>
      </c>
      <c r="B11" s="161" t="s">
        <v>359</v>
      </c>
      <c r="C11" s="161"/>
      <c r="D11" s="161"/>
    </row>
    <row r="12" spans="1:9" x14ac:dyDescent="0.25">
      <c r="A12" s="85" t="s">
        <v>287</v>
      </c>
      <c r="B12" s="161" t="s">
        <v>389</v>
      </c>
      <c r="C12" s="161"/>
      <c r="D12" s="161"/>
    </row>
    <row r="13" spans="1:9" x14ac:dyDescent="0.25">
      <c r="A13" s="85" t="s">
        <v>289</v>
      </c>
      <c r="B13" s="161">
        <v>1</v>
      </c>
      <c r="C13" s="161"/>
      <c r="D13" s="161"/>
    </row>
    <row r="14" spans="1:9" x14ac:dyDescent="0.25">
      <c r="A14" s="85" t="s">
        <v>291</v>
      </c>
      <c r="B14" s="161">
        <v>306</v>
      </c>
      <c r="C14" s="161"/>
      <c r="D14" s="161"/>
    </row>
    <row r="15" spans="1:9" x14ac:dyDescent="0.25">
      <c r="A15" s="85" t="s">
        <v>293</v>
      </c>
      <c r="B15" s="161" t="s">
        <v>390</v>
      </c>
      <c r="C15" s="161"/>
      <c r="D15" s="161"/>
    </row>
    <row r="16" spans="1:9" x14ac:dyDescent="0.25">
      <c r="A16" s="85" t="s">
        <v>295</v>
      </c>
      <c r="B16" s="161" t="s">
        <v>391</v>
      </c>
      <c r="C16" s="161"/>
      <c r="D16" s="161"/>
    </row>
    <row r="17" spans="1:4" ht="18.899999999999999" customHeight="1" x14ac:dyDescent="0.25">
      <c r="A17" s="69" t="s">
        <v>725</v>
      </c>
      <c r="B17" s="161"/>
      <c r="C17" s="161"/>
      <c r="D17" s="161"/>
    </row>
    <row r="18" spans="1:4" x14ac:dyDescent="0.25">
      <c r="A18" s="85" t="s">
        <v>299</v>
      </c>
      <c r="B18" s="162" t="s">
        <v>727</v>
      </c>
      <c r="C18" s="161"/>
      <c r="D18" s="161"/>
    </row>
    <row r="19" spans="1:4" x14ac:dyDescent="0.25">
      <c r="A19" s="85" t="s">
        <v>301</v>
      </c>
      <c r="B19" s="162">
        <v>45014</v>
      </c>
      <c r="C19" s="161"/>
      <c r="D19" s="161"/>
    </row>
    <row r="20" spans="1:4" x14ac:dyDescent="0.25">
      <c r="A20" s="85" t="s">
        <v>303</v>
      </c>
      <c r="B20" s="161" t="s">
        <v>317</v>
      </c>
      <c r="C20" s="161"/>
      <c r="D20" s="161"/>
    </row>
    <row r="21" spans="1:4" x14ac:dyDescent="0.25">
      <c r="A21" s="85" t="s">
        <v>309</v>
      </c>
      <c r="B21" s="161" t="s">
        <v>318</v>
      </c>
      <c r="C21" s="161"/>
      <c r="D21" s="161"/>
    </row>
    <row r="23" spans="1:4" x14ac:dyDescent="0.25">
      <c r="B23" s="103" t="str">
        <f>HYPERLINK("#'Factor List'!A1","Back to Factor List")</f>
        <v>Back to Factor List</v>
      </c>
    </row>
    <row r="24" spans="1:4" x14ac:dyDescent="0.25">
      <c r="B24" s="103" t="s">
        <v>15</v>
      </c>
    </row>
    <row r="26" spans="1:4" ht="39" x14ac:dyDescent="0.25">
      <c r="A26" s="98" t="s">
        <v>408</v>
      </c>
      <c r="B26" s="98" t="s">
        <v>756</v>
      </c>
      <c r="C26" s="98" t="s">
        <v>757</v>
      </c>
      <c r="D26" s="98" t="s">
        <v>758</v>
      </c>
    </row>
    <row r="27" spans="1:4" x14ac:dyDescent="0.25">
      <c r="A27" s="99">
        <v>60</v>
      </c>
      <c r="B27" s="100">
        <v>21.82</v>
      </c>
      <c r="C27" s="100">
        <v>1</v>
      </c>
      <c r="D27" s="100"/>
    </row>
    <row r="28" spans="1:4" x14ac:dyDescent="0.25">
      <c r="A28" s="99">
        <v>61</v>
      </c>
      <c r="B28" s="100">
        <v>21.2</v>
      </c>
      <c r="C28" s="100">
        <v>1</v>
      </c>
      <c r="D28" s="100"/>
    </row>
    <row r="29" spans="1:4" x14ac:dyDescent="0.25">
      <c r="A29" s="99">
        <v>62</v>
      </c>
      <c r="B29" s="100">
        <v>20.57</v>
      </c>
      <c r="C29" s="100">
        <v>1</v>
      </c>
      <c r="D29" s="100"/>
    </row>
    <row r="30" spans="1:4" x14ac:dyDescent="0.25">
      <c r="A30" s="99">
        <v>63</v>
      </c>
      <c r="B30" s="100">
        <v>19.940000000000001</v>
      </c>
      <c r="C30" s="100">
        <v>1</v>
      </c>
      <c r="D30" s="100"/>
    </row>
    <row r="31" spans="1:4" x14ac:dyDescent="0.25">
      <c r="A31" s="99">
        <v>64</v>
      </c>
      <c r="B31" s="100">
        <v>19.309999999999999</v>
      </c>
      <c r="C31" s="100">
        <v>1</v>
      </c>
      <c r="D31" s="100"/>
    </row>
    <row r="32" spans="1:4" x14ac:dyDescent="0.25">
      <c r="A32" s="99">
        <v>65</v>
      </c>
      <c r="B32" s="100">
        <v>18.670000000000002</v>
      </c>
      <c r="C32" s="100">
        <v>1</v>
      </c>
      <c r="D32" s="100">
        <v>18.73</v>
      </c>
    </row>
    <row r="33" spans="1:4" x14ac:dyDescent="0.25">
      <c r="A33" s="99">
        <v>66</v>
      </c>
      <c r="B33" s="100">
        <v>18.03</v>
      </c>
      <c r="C33" s="100">
        <v>1</v>
      </c>
      <c r="D33" s="100">
        <v>18.07</v>
      </c>
    </row>
    <row r="34" spans="1:4" x14ac:dyDescent="0.25">
      <c r="A34" s="99">
        <v>67</v>
      </c>
      <c r="B34" s="100">
        <v>17.38</v>
      </c>
      <c r="C34" s="100">
        <v>1</v>
      </c>
      <c r="D34" s="100">
        <v>17.399999999999999</v>
      </c>
    </row>
    <row r="35" spans="1:4" x14ac:dyDescent="0.25">
      <c r="A35" s="99">
        <v>68</v>
      </c>
      <c r="B35" s="100">
        <v>16.73</v>
      </c>
      <c r="C35" s="100">
        <v>1</v>
      </c>
      <c r="D35" s="100">
        <v>16.739999999999998</v>
      </c>
    </row>
    <row r="36" spans="1:4" x14ac:dyDescent="0.25">
      <c r="A36" s="99">
        <v>69</v>
      </c>
      <c r="B36" s="100">
        <v>16.079999999999998</v>
      </c>
      <c r="C36" s="100">
        <v>1</v>
      </c>
      <c r="D36" s="100">
        <v>16.079999999999998</v>
      </c>
    </row>
    <row r="37" spans="1:4" x14ac:dyDescent="0.25">
      <c r="A37" s="99">
        <v>70</v>
      </c>
      <c r="B37" s="100">
        <v>15.43</v>
      </c>
      <c r="C37" s="100">
        <v>1</v>
      </c>
      <c r="D37" s="100">
        <v>15.43</v>
      </c>
    </row>
    <row r="38" spans="1:4" x14ac:dyDescent="0.25">
      <c r="A38" s="99">
        <v>71</v>
      </c>
      <c r="B38" s="100">
        <v>14.78</v>
      </c>
      <c r="C38" s="100">
        <v>1</v>
      </c>
      <c r="D38" s="100">
        <v>14.78</v>
      </c>
    </row>
    <row r="39" spans="1:4" x14ac:dyDescent="0.25">
      <c r="A39" s="99">
        <v>72</v>
      </c>
      <c r="B39" s="100">
        <v>14.13</v>
      </c>
      <c r="C39" s="100">
        <v>1</v>
      </c>
      <c r="D39" s="100">
        <v>14.13</v>
      </c>
    </row>
    <row r="40" spans="1:4" x14ac:dyDescent="0.25">
      <c r="A40" s="99">
        <v>73</v>
      </c>
      <c r="B40" s="100">
        <v>13.48</v>
      </c>
      <c r="C40" s="100">
        <v>1</v>
      </c>
      <c r="D40" s="100">
        <v>13.48</v>
      </c>
    </row>
    <row r="41" spans="1:4" x14ac:dyDescent="0.25">
      <c r="A41" s="99">
        <v>74</v>
      </c>
      <c r="B41" s="100">
        <v>12.83</v>
      </c>
      <c r="C41" s="100">
        <v>1</v>
      </c>
      <c r="D41" s="100">
        <v>12.83</v>
      </c>
    </row>
    <row r="42" spans="1:4" x14ac:dyDescent="0.25">
      <c r="A42" s="99">
        <v>75</v>
      </c>
      <c r="B42" s="100">
        <v>12.19</v>
      </c>
      <c r="C42" s="100">
        <v>1</v>
      </c>
      <c r="D42" s="100">
        <v>12.19</v>
      </c>
    </row>
    <row r="43" spans="1:4" x14ac:dyDescent="0.25">
      <c r="A43" s="99">
        <v>76</v>
      </c>
      <c r="B43" s="100">
        <v>11.56</v>
      </c>
      <c r="C43" s="100">
        <v>1</v>
      </c>
      <c r="D43" s="100">
        <v>11.56</v>
      </c>
    </row>
    <row r="44" spans="1:4" x14ac:dyDescent="0.25">
      <c r="A44" s="99">
        <v>77</v>
      </c>
      <c r="B44" s="100">
        <v>10.93</v>
      </c>
      <c r="C44" s="100">
        <v>1</v>
      </c>
      <c r="D44" s="100">
        <v>10.93</v>
      </c>
    </row>
    <row r="45" spans="1:4" x14ac:dyDescent="0.25">
      <c r="A45" s="99">
        <v>78</v>
      </c>
      <c r="B45" s="100">
        <v>10.31</v>
      </c>
      <c r="C45" s="100">
        <v>1</v>
      </c>
      <c r="D45" s="100">
        <v>10.31</v>
      </c>
    </row>
    <row r="46" spans="1:4" x14ac:dyDescent="0.25">
      <c r="A46" s="99">
        <v>79</v>
      </c>
      <c r="B46" s="100">
        <v>9.7100000000000009</v>
      </c>
      <c r="C46" s="100">
        <v>1</v>
      </c>
      <c r="D46" s="100">
        <v>9.7100000000000009</v>
      </c>
    </row>
    <row r="47" spans="1:4" x14ac:dyDescent="0.25">
      <c r="A47" s="99">
        <v>80</v>
      </c>
      <c r="B47" s="100">
        <v>9.1199999999999992</v>
      </c>
      <c r="C47" s="100">
        <v>1</v>
      </c>
      <c r="D47" s="100">
        <v>9.1199999999999992</v>
      </c>
    </row>
    <row r="48" spans="1:4" x14ac:dyDescent="0.25">
      <c r="A48" s="99">
        <v>81</v>
      </c>
      <c r="B48" s="100">
        <v>8.5399999999999991</v>
      </c>
      <c r="C48" s="100">
        <v>1</v>
      </c>
      <c r="D48" s="100">
        <v>8.5399999999999991</v>
      </c>
    </row>
    <row r="49" spans="1:4" x14ac:dyDescent="0.25">
      <c r="A49" s="99">
        <v>82</v>
      </c>
      <c r="B49" s="100">
        <v>7.99</v>
      </c>
      <c r="C49" s="100">
        <v>1</v>
      </c>
      <c r="D49" s="100">
        <v>7.99</v>
      </c>
    </row>
    <row r="50" spans="1:4" x14ac:dyDescent="0.25">
      <c r="A50" s="99">
        <v>83</v>
      </c>
      <c r="B50" s="100">
        <v>7.46</v>
      </c>
      <c r="C50" s="100">
        <v>1</v>
      </c>
      <c r="D50" s="100">
        <v>7.46</v>
      </c>
    </row>
    <row r="51" spans="1:4" x14ac:dyDescent="0.25">
      <c r="A51" s="99">
        <v>84</v>
      </c>
      <c r="B51" s="100">
        <v>6.94</v>
      </c>
      <c r="C51" s="100">
        <v>1</v>
      </c>
      <c r="D51" s="100">
        <v>6.94</v>
      </c>
    </row>
    <row r="52" spans="1:4" x14ac:dyDescent="0.25">
      <c r="A52" s="99">
        <v>85</v>
      </c>
      <c r="B52" s="100">
        <v>6.45</v>
      </c>
      <c r="C52" s="100">
        <v>1</v>
      </c>
      <c r="D52" s="100">
        <v>6.45</v>
      </c>
    </row>
    <row r="53" spans="1:4" x14ac:dyDescent="0.25">
      <c r="A53" s="99">
        <v>86</v>
      </c>
      <c r="B53" s="100">
        <v>5.98</v>
      </c>
      <c r="C53" s="100">
        <v>1</v>
      </c>
      <c r="D53" s="100">
        <v>5.98</v>
      </c>
    </row>
    <row r="54" spans="1:4" x14ac:dyDescent="0.25">
      <c r="A54" s="99">
        <v>87</v>
      </c>
      <c r="B54" s="100">
        <v>5.54</v>
      </c>
      <c r="C54" s="100">
        <v>1</v>
      </c>
      <c r="D54" s="100">
        <v>5.54</v>
      </c>
    </row>
    <row r="55" spans="1:4" x14ac:dyDescent="0.25">
      <c r="A55" s="99">
        <v>88</v>
      </c>
      <c r="B55" s="100">
        <v>5.12</v>
      </c>
      <c r="C55" s="100">
        <v>1</v>
      </c>
      <c r="D55" s="100">
        <v>5.12</v>
      </c>
    </row>
    <row r="56" spans="1:4" x14ac:dyDescent="0.25">
      <c r="A56" s="99">
        <v>89</v>
      </c>
      <c r="B56" s="100">
        <v>4.7300000000000004</v>
      </c>
      <c r="C56" s="100">
        <v>1</v>
      </c>
      <c r="D56" s="100">
        <v>4.7300000000000004</v>
      </c>
    </row>
    <row r="57" spans="1:4" x14ac:dyDescent="0.25">
      <c r="A57" s="99">
        <v>90</v>
      </c>
      <c r="B57" s="100">
        <v>4.37</v>
      </c>
      <c r="C57" s="100">
        <v>1</v>
      </c>
      <c r="D57" s="100">
        <v>4.37</v>
      </c>
    </row>
    <row r="58" spans="1:4" x14ac:dyDescent="0.25">
      <c r="A58" s="99">
        <v>91</v>
      </c>
      <c r="B58" s="100">
        <v>4.04</v>
      </c>
      <c r="C58" s="100">
        <v>1</v>
      </c>
      <c r="D58" s="100">
        <v>4.04</v>
      </c>
    </row>
    <row r="59" spans="1:4" x14ac:dyDescent="0.25">
      <c r="A59" s="99">
        <v>92</v>
      </c>
      <c r="B59" s="100">
        <v>3.73</v>
      </c>
      <c r="C59" s="100">
        <v>1</v>
      </c>
      <c r="D59" s="100">
        <v>3.73</v>
      </c>
    </row>
    <row r="60" spans="1:4" x14ac:dyDescent="0.25">
      <c r="A60" s="99">
        <v>93</v>
      </c>
      <c r="B60" s="100">
        <v>3.45</v>
      </c>
      <c r="C60" s="100">
        <v>1</v>
      </c>
      <c r="D60" s="100">
        <v>3.45</v>
      </c>
    </row>
    <row r="61" spans="1:4" x14ac:dyDescent="0.25">
      <c r="A61" s="99">
        <v>94</v>
      </c>
      <c r="B61" s="100">
        <v>3.2</v>
      </c>
      <c r="C61" s="100">
        <v>1</v>
      </c>
      <c r="D61" s="100">
        <v>3.2</v>
      </c>
    </row>
    <row r="62" spans="1:4" x14ac:dyDescent="0.25">
      <c r="A62" s="99">
        <v>95</v>
      </c>
      <c r="B62" s="100">
        <v>2.97</v>
      </c>
      <c r="C62" s="100">
        <v>1</v>
      </c>
      <c r="D62" s="100">
        <v>2.97</v>
      </c>
    </row>
    <row r="63" spans="1:4" x14ac:dyDescent="0.25">
      <c r="A63" s="99">
        <v>96</v>
      </c>
      <c r="B63" s="100">
        <v>2.77</v>
      </c>
      <c r="C63" s="100">
        <v>1</v>
      </c>
      <c r="D63" s="100">
        <v>2.77</v>
      </c>
    </row>
    <row r="64" spans="1:4" x14ac:dyDescent="0.25">
      <c r="A64" s="99">
        <v>97</v>
      </c>
      <c r="B64" s="100">
        <v>2.59</v>
      </c>
      <c r="C64" s="100">
        <v>1</v>
      </c>
      <c r="D64" s="100">
        <v>2.59</v>
      </c>
    </row>
    <row r="65" spans="1:4" x14ac:dyDescent="0.25">
      <c r="A65" s="99">
        <v>98</v>
      </c>
      <c r="B65" s="100">
        <v>2.44</v>
      </c>
      <c r="C65" s="100">
        <v>1</v>
      </c>
      <c r="D65" s="100">
        <v>2.44</v>
      </c>
    </row>
    <row r="66" spans="1:4" x14ac:dyDescent="0.25">
      <c r="A66" s="99">
        <v>99</v>
      </c>
      <c r="B66" s="100">
        <v>2.31</v>
      </c>
      <c r="C66" s="100">
        <v>1</v>
      </c>
      <c r="D66" s="100">
        <v>2.31</v>
      </c>
    </row>
    <row r="67" spans="1:4" x14ac:dyDescent="0.25">
      <c r="A67" s="99">
        <v>100</v>
      </c>
      <c r="B67" s="100">
        <v>2.2200000000000002</v>
      </c>
      <c r="C67" s="100">
        <v>1</v>
      </c>
      <c r="D67" s="100">
        <v>2.2200000000000002</v>
      </c>
    </row>
  </sheetData>
  <sheetProtection algorithmName="SHA-512" hashValue="4uHDu4ypoHJFs14FYYCfIUXHYOKDluQ/8c1fDWDm28OLXh+JG7eOMetaUPqaMYo8rcvSNuWon8RR9VsWIacHdw==" saltValue="W58uX9SGRXG9wvt2JCwbhA==" spinCount="100000" sheet="1" objects="1" scenarios="1"/>
  <conditionalFormatting sqref="A6:A21">
    <cfRule type="expression" dxfId="891" priority="5" stopIfTrue="1">
      <formula>MOD(ROW(),2)=0</formula>
    </cfRule>
    <cfRule type="expression" dxfId="890" priority="6" stopIfTrue="1">
      <formula>MOD(ROW(),2)&lt;&gt;0</formula>
    </cfRule>
  </conditionalFormatting>
  <conditionalFormatting sqref="A26:A67">
    <cfRule type="expression" dxfId="889" priority="1" stopIfTrue="1">
      <formula>MOD(ROW(),2)=0</formula>
    </cfRule>
    <cfRule type="expression" dxfId="888" priority="2" stopIfTrue="1">
      <formula>MOD(ROW(),2)&lt;&gt;0</formula>
    </cfRule>
  </conditionalFormatting>
  <conditionalFormatting sqref="B17:B21">
    <cfRule type="expression" dxfId="887" priority="9" stopIfTrue="1">
      <formula>MOD(ROW(),2)=0</formula>
    </cfRule>
    <cfRule type="expression" dxfId="886" priority="10" stopIfTrue="1">
      <formula>MOD(ROW(),2)&lt;&gt;0</formula>
    </cfRule>
  </conditionalFormatting>
  <conditionalFormatting sqref="B6:D21">
    <cfRule type="expression" dxfId="885" priority="17" stopIfTrue="1">
      <formula>MOD(ROW(),2)=0</formula>
    </cfRule>
    <cfRule type="expression" dxfId="884" priority="18" stopIfTrue="1">
      <formula>MOD(ROW(),2)&lt;&gt;0</formula>
    </cfRule>
  </conditionalFormatting>
  <conditionalFormatting sqref="B26:D67">
    <cfRule type="expression" dxfId="883" priority="3" stopIfTrue="1">
      <formula>MOD(ROW(),2)=0</formula>
    </cfRule>
    <cfRule type="expression" dxfId="882" priority="4" stopIfTrue="1">
      <formula>MOD(ROW(),2)&lt;&gt;0</formula>
    </cfRule>
  </conditionalFormatting>
  <hyperlinks>
    <hyperlink ref="B24" location="Assumptions!A1" display="Assumptions" xr:uid="{29E0E665-958E-4E8B-8992-5AD0D0A965F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68"/>
  <dimension ref="A1:I57"/>
  <sheetViews>
    <sheetView showGridLines="0" zoomScale="85" zoomScaleNormal="85" workbookViewId="0">
      <selection activeCell="A4" sqref="A4"/>
    </sheetView>
  </sheetViews>
  <sheetFormatPr defaultColWidth="10" defaultRowHeight="12.5" x14ac:dyDescent="0.25"/>
  <cols>
    <col min="1" max="1" width="31.90625" style="25" customWidth="1"/>
    <col min="2" max="2" width="41.453125" style="25" customWidth="1"/>
    <col min="3" max="3" width="10.08984375" style="25" customWidth="1"/>
    <col min="4" max="4" width="10" style="25" customWidth="1"/>
    <col min="5"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Pension Credit - x-307</v>
      </c>
      <c r="B3" s="39"/>
      <c r="C3" s="39"/>
      <c r="D3" s="39"/>
      <c r="E3" s="39"/>
      <c r="F3" s="39"/>
      <c r="G3" s="39"/>
      <c r="H3" s="39"/>
      <c r="I3" s="39"/>
    </row>
    <row r="4" spans="1:9" x14ac:dyDescent="0.25">
      <c r="A4" s="41"/>
    </row>
    <row r="6" spans="1:9" ht="13" x14ac:dyDescent="0.3">
      <c r="A6" s="83" t="s">
        <v>276</v>
      </c>
      <c r="B6" s="161" t="s">
        <v>277</v>
      </c>
    </row>
    <row r="7" spans="1:9" x14ac:dyDescent="0.25">
      <c r="A7" s="85" t="s">
        <v>278</v>
      </c>
      <c r="B7" s="161" t="s">
        <v>310</v>
      </c>
    </row>
    <row r="8" spans="1:9" x14ac:dyDescent="0.25">
      <c r="A8" s="85" t="s">
        <v>280</v>
      </c>
      <c r="B8" s="161" t="s">
        <v>74</v>
      </c>
    </row>
    <row r="9" spans="1:9" x14ac:dyDescent="0.25">
      <c r="A9" s="85" t="s">
        <v>282</v>
      </c>
      <c r="B9" s="161" t="s">
        <v>387</v>
      </c>
    </row>
    <row r="10" spans="1:9" x14ac:dyDescent="0.25">
      <c r="A10" s="85" t="s">
        <v>6</v>
      </c>
      <c r="B10" s="161" t="s">
        <v>392</v>
      </c>
    </row>
    <row r="11" spans="1:9" x14ac:dyDescent="0.25">
      <c r="A11" s="85" t="s">
        <v>285</v>
      </c>
      <c r="B11" s="161" t="s">
        <v>359</v>
      </c>
    </row>
    <row r="12" spans="1:9" x14ac:dyDescent="0.25">
      <c r="A12" s="85" t="s">
        <v>287</v>
      </c>
      <c r="B12" s="161" t="s">
        <v>389</v>
      </c>
    </row>
    <row r="13" spans="1:9" x14ac:dyDescent="0.25">
      <c r="A13" s="85" t="s">
        <v>289</v>
      </c>
      <c r="B13" s="161">
        <v>0</v>
      </c>
    </row>
    <row r="14" spans="1:9" x14ac:dyDescent="0.25">
      <c r="A14" s="85" t="s">
        <v>291</v>
      </c>
      <c r="B14" s="161">
        <v>307</v>
      </c>
    </row>
    <row r="15" spans="1:9" x14ac:dyDescent="0.25">
      <c r="A15" s="85" t="s">
        <v>293</v>
      </c>
      <c r="B15" s="161" t="s">
        <v>393</v>
      </c>
    </row>
    <row r="16" spans="1:9" x14ac:dyDescent="0.25">
      <c r="A16" s="85" t="s">
        <v>295</v>
      </c>
      <c r="B16" s="161" t="s">
        <v>391</v>
      </c>
    </row>
    <row r="17" spans="1:2" ht="31.65" customHeight="1" x14ac:dyDescent="0.25">
      <c r="A17" s="69" t="s">
        <v>725</v>
      </c>
      <c r="B17" s="161"/>
    </row>
    <row r="18" spans="1:2" x14ac:dyDescent="0.25">
      <c r="A18" s="85" t="s">
        <v>299</v>
      </c>
      <c r="B18" s="162" t="s">
        <v>727</v>
      </c>
    </row>
    <row r="19" spans="1:2" x14ac:dyDescent="0.25">
      <c r="A19" s="85" t="s">
        <v>301</v>
      </c>
      <c r="B19" s="162">
        <v>45014</v>
      </c>
    </row>
    <row r="20" spans="1:2" x14ac:dyDescent="0.25">
      <c r="A20" s="85" t="s">
        <v>303</v>
      </c>
      <c r="B20" s="161" t="s">
        <v>317</v>
      </c>
    </row>
    <row r="21" spans="1:2" x14ac:dyDescent="0.25">
      <c r="A21" s="85" t="s">
        <v>309</v>
      </c>
      <c r="B21" s="161" t="s">
        <v>318</v>
      </c>
    </row>
    <row r="23" spans="1:2" x14ac:dyDescent="0.25">
      <c r="B23" s="103" t="str">
        <f>HYPERLINK("#'Factor List'!A1","Back to Factor List")</f>
        <v>Back to Factor List</v>
      </c>
    </row>
    <row r="24" spans="1:2" x14ac:dyDescent="0.25">
      <c r="B24" s="103" t="s">
        <v>15</v>
      </c>
    </row>
    <row r="26" spans="1:2" ht="13" x14ac:dyDescent="0.25">
      <c r="A26" s="98" t="s">
        <v>408</v>
      </c>
      <c r="B26" s="98" t="s">
        <v>759</v>
      </c>
    </row>
    <row r="27" spans="1:2" x14ac:dyDescent="0.25">
      <c r="A27" s="99">
        <v>65</v>
      </c>
      <c r="B27" s="100">
        <v>18.739999999999998</v>
      </c>
    </row>
    <row r="28" spans="1:2" x14ac:dyDescent="0.25">
      <c r="A28" s="99">
        <v>66</v>
      </c>
      <c r="B28" s="100">
        <v>18.11</v>
      </c>
    </row>
    <row r="29" spans="1:2" x14ac:dyDescent="0.25">
      <c r="A29" s="99">
        <v>67</v>
      </c>
      <c r="B29" s="100">
        <v>17.47</v>
      </c>
    </row>
    <row r="30" spans="1:2" x14ac:dyDescent="0.25">
      <c r="A30" s="99">
        <v>68</v>
      </c>
      <c r="B30" s="100">
        <v>16.809999999999999</v>
      </c>
    </row>
    <row r="31" spans="1:2" x14ac:dyDescent="0.25">
      <c r="A31" s="99">
        <v>69</v>
      </c>
      <c r="B31" s="100">
        <v>16.13</v>
      </c>
    </row>
    <row r="32" spans="1:2" x14ac:dyDescent="0.25">
      <c r="A32" s="99">
        <v>70</v>
      </c>
      <c r="B32" s="100">
        <v>15.46</v>
      </c>
    </row>
    <row r="33" spans="1:2" x14ac:dyDescent="0.25">
      <c r="A33" s="99">
        <v>71</v>
      </c>
      <c r="B33" s="100">
        <v>14.79</v>
      </c>
    </row>
    <row r="34" spans="1:2" x14ac:dyDescent="0.25">
      <c r="A34" s="99">
        <v>72</v>
      </c>
      <c r="B34" s="100">
        <v>14.13</v>
      </c>
    </row>
    <row r="35" spans="1:2" x14ac:dyDescent="0.25">
      <c r="A35" s="99">
        <v>73</v>
      </c>
      <c r="B35" s="100">
        <v>13.48</v>
      </c>
    </row>
    <row r="36" spans="1:2" x14ac:dyDescent="0.25">
      <c r="A36" s="99">
        <v>74</v>
      </c>
      <c r="B36" s="100">
        <v>12.83</v>
      </c>
    </row>
    <row r="37" spans="1:2" x14ac:dyDescent="0.25">
      <c r="A37" s="99">
        <v>75</v>
      </c>
      <c r="B37" s="100">
        <v>12.19</v>
      </c>
    </row>
    <row r="38" spans="1:2" x14ac:dyDescent="0.25">
      <c r="A38" s="99">
        <v>76</v>
      </c>
      <c r="B38" s="100">
        <v>11.56</v>
      </c>
    </row>
    <row r="39" spans="1:2" x14ac:dyDescent="0.25">
      <c r="A39" s="99">
        <v>77</v>
      </c>
      <c r="B39" s="100">
        <v>10.93</v>
      </c>
    </row>
    <row r="40" spans="1:2" x14ac:dyDescent="0.25">
      <c r="A40" s="99">
        <v>78</v>
      </c>
      <c r="B40" s="100">
        <v>10.31</v>
      </c>
    </row>
    <row r="41" spans="1:2" x14ac:dyDescent="0.25">
      <c r="A41" s="99">
        <v>79</v>
      </c>
      <c r="B41" s="100">
        <v>9.7100000000000009</v>
      </c>
    </row>
    <row r="42" spans="1:2" x14ac:dyDescent="0.25">
      <c r="A42" s="99">
        <v>80</v>
      </c>
      <c r="B42" s="100">
        <v>9.1199999999999992</v>
      </c>
    </row>
    <row r="43" spans="1:2" x14ac:dyDescent="0.25">
      <c r="A43" s="99">
        <v>81</v>
      </c>
      <c r="B43" s="100">
        <v>8.5399999999999991</v>
      </c>
    </row>
    <row r="44" spans="1:2" x14ac:dyDescent="0.25">
      <c r="A44" s="99">
        <v>82</v>
      </c>
      <c r="B44" s="100">
        <v>7.99</v>
      </c>
    </row>
    <row r="45" spans="1:2" x14ac:dyDescent="0.25">
      <c r="A45" s="99">
        <v>83</v>
      </c>
      <c r="B45" s="100">
        <v>7.46</v>
      </c>
    </row>
    <row r="46" spans="1:2" x14ac:dyDescent="0.25">
      <c r="A46" s="99">
        <v>84</v>
      </c>
      <c r="B46" s="100">
        <v>6.94</v>
      </c>
    </row>
    <row r="47" spans="1:2" x14ac:dyDescent="0.25">
      <c r="A47" s="99">
        <v>85</v>
      </c>
      <c r="B47" s="100">
        <v>6.45</v>
      </c>
    </row>
    <row r="48" spans="1:2" x14ac:dyDescent="0.25">
      <c r="A48" s="99">
        <v>86</v>
      </c>
      <c r="B48" s="100">
        <v>5.98</v>
      </c>
    </row>
    <row r="49" spans="1:2" x14ac:dyDescent="0.25">
      <c r="A49" s="99">
        <v>87</v>
      </c>
      <c r="B49" s="100">
        <v>5.54</v>
      </c>
    </row>
    <row r="50" spans="1:2" x14ac:dyDescent="0.25">
      <c r="A50" s="99">
        <v>88</v>
      </c>
      <c r="B50" s="100">
        <v>5.12</v>
      </c>
    </row>
    <row r="51" spans="1:2" x14ac:dyDescent="0.25">
      <c r="A51" s="99">
        <v>89</v>
      </c>
      <c r="B51" s="100">
        <v>4.7300000000000004</v>
      </c>
    </row>
    <row r="52" spans="1:2" x14ac:dyDescent="0.25">
      <c r="A52" s="99">
        <v>90</v>
      </c>
      <c r="B52" s="100">
        <v>4.37</v>
      </c>
    </row>
    <row r="53" spans="1:2" x14ac:dyDescent="0.25">
      <c r="A53" s="99">
        <v>91</v>
      </c>
      <c r="B53" s="100">
        <v>4.04</v>
      </c>
    </row>
    <row r="54" spans="1:2" x14ac:dyDescent="0.25">
      <c r="A54" s="99">
        <v>92</v>
      </c>
      <c r="B54" s="100">
        <v>3.73</v>
      </c>
    </row>
    <row r="55" spans="1:2" x14ac:dyDescent="0.25">
      <c r="A55" s="99">
        <v>93</v>
      </c>
      <c r="B55" s="100">
        <v>3.45</v>
      </c>
    </row>
    <row r="56" spans="1:2" x14ac:dyDescent="0.25">
      <c r="A56" s="99">
        <v>94</v>
      </c>
      <c r="B56" s="100">
        <v>3.2</v>
      </c>
    </row>
    <row r="57" spans="1:2" x14ac:dyDescent="0.25">
      <c r="A57" s="99">
        <v>95</v>
      </c>
      <c r="B57" s="100">
        <v>2.97</v>
      </c>
    </row>
  </sheetData>
  <sheetProtection algorithmName="SHA-512" hashValue="HGqkod06PMvZH9+F9x9319d2PPZzxqlF8IC1tudGLN2eCp7omNGHiOrFhSDlQpC1NnBec3g9QkGX6e5YYf3UnA==" saltValue="FyGekN5StEdcUdoenO1fJw==" spinCount="100000" sheet="1" objects="1" scenarios="1"/>
  <conditionalFormatting sqref="A6:A21">
    <cfRule type="expression" dxfId="881" priority="5" stopIfTrue="1">
      <formula>MOD(ROW(),2)=0</formula>
    </cfRule>
    <cfRule type="expression" dxfId="880" priority="6" stopIfTrue="1">
      <formula>MOD(ROW(),2)&lt;&gt;0</formula>
    </cfRule>
  </conditionalFormatting>
  <conditionalFormatting sqref="A26:A57">
    <cfRule type="expression" dxfId="879" priority="1" stopIfTrue="1">
      <formula>MOD(ROW(),2)=0</formula>
    </cfRule>
    <cfRule type="expression" dxfId="878" priority="2" stopIfTrue="1">
      <formula>MOD(ROW(),2)&lt;&gt;0</formula>
    </cfRule>
  </conditionalFormatting>
  <conditionalFormatting sqref="B6:B21">
    <cfRule type="expression" dxfId="877" priority="17" stopIfTrue="1">
      <formula>MOD(ROW(),2)=0</formula>
    </cfRule>
    <cfRule type="expression" dxfId="876" priority="18" stopIfTrue="1">
      <formula>MOD(ROW(),2)&lt;&gt;0</formula>
    </cfRule>
  </conditionalFormatting>
  <conditionalFormatting sqref="B17:B21">
    <cfRule type="expression" dxfId="875" priority="9" stopIfTrue="1">
      <formula>MOD(ROW(),2)=0</formula>
    </cfRule>
    <cfRule type="expression" dxfId="874" priority="10" stopIfTrue="1">
      <formula>MOD(ROW(),2)&lt;&gt;0</formula>
    </cfRule>
  </conditionalFormatting>
  <conditionalFormatting sqref="B26:B57">
    <cfRule type="expression" dxfId="873" priority="3" stopIfTrue="1">
      <formula>MOD(ROW(),2)=0</formula>
    </cfRule>
    <cfRule type="expression" dxfId="872" priority="4" stopIfTrue="1">
      <formula>MOD(ROW(),2)&lt;&gt;0</formula>
    </cfRule>
  </conditionalFormatting>
  <hyperlinks>
    <hyperlink ref="B24" location="Assumptions!A1" display="Assumptions" xr:uid="{47C661A6-6B97-47BE-BBCE-AA1A3953FD4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0DBAF-0377-4558-9FB8-7BB51427C832}">
  <sheetPr codeName="Sheet87"/>
  <dimension ref="A1:I27"/>
  <sheetViews>
    <sheetView showGridLines="0" zoomScale="85" zoomScaleNormal="85" workbookViewId="0">
      <selection activeCell="A4" sqref="A4"/>
    </sheetView>
  </sheetViews>
  <sheetFormatPr defaultColWidth="10" defaultRowHeight="12.5" x14ac:dyDescent="0.25"/>
  <cols>
    <col min="1" max="1" width="31.90625" style="25" customWidth="1"/>
    <col min="2" max="2" width="41.453125" style="25" customWidth="1"/>
    <col min="3" max="3" width="10.08984375" style="25" customWidth="1"/>
    <col min="4" max="4" width="10" style="25" customWidth="1"/>
    <col min="5"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Pensioner CE - x-308</v>
      </c>
      <c r="B3" s="39"/>
      <c r="C3" s="39"/>
      <c r="D3" s="39"/>
      <c r="E3" s="39"/>
      <c r="F3" s="39"/>
      <c r="G3" s="39"/>
      <c r="H3" s="39"/>
      <c r="I3" s="39"/>
    </row>
    <row r="4" spans="1:9" x14ac:dyDescent="0.25">
      <c r="A4" s="41"/>
    </row>
    <row r="6" spans="1:9" ht="13" x14ac:dyDescent="0.3">
      <c r="A6" s="83" t="s">
        <v>276</v>
      </c>
      <c r="B6" s="107" t="s">
        <v>277</v>
      </c>
    </row>
    <row r="7" spans="1:9" x14ac:dyDescent="0.25">
      <c r="A7" s="85" t="s">
        <v>278</v>
      </c>
      <c r="B7" s="107" t="s">
        <v>310</v>
      </c>
    </row>
    <row r="8" spans="1:9" x14ac:dyDescent="0.25">
      <c r="A8" s="85" t="s">
        <v>280</v>
      </c>
      <c r="B8" s="107" t="s">
        <v>75</v>
      </c>
    </row>
    <row r="9" spans="1:9" x14ac:dyDescent="0.25">
      <c r="A9" s="85" t="s">
        <v>282</v>
      </c>
      <c r="B9" s="107" t="s">
        <v>372</v>
      </c>
    </row>
    <row r="10" spans="1:9" x14ac:dyDescent="0.25">
      <c r="A10" s="85" t="s">
        <v>6</v>
      </c>
      <c r="B10" s="107" t="s">
        <v>373</v>
      </c>
    </row>
    <row r="11" spans="1:9" x14ac:dyDescent="0.25">
      <c r="A11" s="85" t="s">
        <v>285</v>
      </c>
      <c r="B11" s="107" t="s">
        <v>359</v>
      </c>
    </row>
    <row r="12" spans="1:9" x14ac:dyDescent="0.25">
      <c r="A12" s="85" t="s">
        <v>287</v>
      </c>
      <c r="B12" s="107" t="s">
        <v>374</v>
      </c>
    </row>
    <row r="13" spans="1:9" x14ac:dyDescent="0.25">
      <c r="A13" s="85" t="s">
        <v>289</v>
      </c>
      <c r="B13" s="107">
        <v>1</v>
      </c>
    </row>
    <row r="14" spans="1:9" x14ac:dyDescent="0.25">
      <c r="A14" s="85" t="s">
        <v>291</v>
      </c>
      <c r="B14" s="107">
        <v>308</v>
      </c>
    </row>
    <row r="15" spans="1:9" x14ac:dyDescent="0.25">
      <c r="A15" s="85" t="s">
        <v>293</v>
      </c>
      <c r="B15" s="107" t="s">
        <v>394</v>
      </c>
    </row>
    <row r="16" spans="1:9" x14ac:dyDescent="0.25">
      <c r="A16" s="85" t="s">
        <v>295</v>
      </c>
      <c r="B16" s="107" t="s">
        <v>395</v>
      </c>
    </row>
    <row r="17" spans="1:3" ht="31.65" customHeight="1" x14ac:dyDescent="0.25">
      <c r="A17" s="69" t="s">
        <v>725</v>
      </c>
      <c r="B17" s="107"/>
    </row>
    <row r="18" spans="1:3" x14ac:dyDescent="0.25">
      <c r="A18" s="85" t="s">
        <v>299</v>
      </c>
      <c r="B18" s="164" t="s">
        <v>727</v>
      </c>
    </row>
    <row r="19" spans="1:3" x14ac:dyDescent="0.25">
      <c r="A19" s="85" t="s">
        <v>301</v>
      </c>
      <c r="B19" s="164">
        <v>45014</v>
      </c>
    </row>
    <row r="20" spans="1:3" x14ac:dyDescent="0.25">
      <c r="A20" s="85" t="s">
        <v>303</v>
      </c>
      <c r="B20" s="107" t="s">
        <v>317</v>
      </c>
    </row>
    <row r="21" spans="1:3" x14ac:dyDescent="0.25">
      <c r="A21" s="85" t="s">
        <v>309</v>
      </c>
      <c r="B21" s="107" t="s">
        <v>318</v>
      </c>
    </row>
    <row r="23" spans="1:3" ht="13" x14ac:dyDescent="0.3">
      <c r="A23" s="148"/>
      <c r="B23" s="103" t="str">
        <f>HYPERLINK("#'Factor List'!A1","Back to Factor List")</f>
        <v>Back to Factor List</v>
      </c>
      <c r="C23" s="149" t="s">
        <v>760</v>
      </c>
    </row>
    <row r="24" spans="1:3" x14ac:dyDescent="0.25">
      <c r="A24" s="148"/>
      <c r="B24" s="103" t="s">
        <v>15</v>
      </c>
      <c r="C24" s="148"/>
    </row>
    <row r="25" spans="1:3" x14ac:dyDescent="0.25">
      <c r="A25" s="148"/>
      <c r="B25" s="148"/>
      <c r="C25" s="148"/>
    </row>
    <row r="26" spans="1:3" ht="13" x14ac:dyDescent="0.25">
      <c r="A26" s="150" t="s">
        <v>761</v>
      </c>
      <c r="B26" s="151" t="s">
        <v>762</v>
      </c>
      <c r="C26" s="148"/>
    </row>
    <row r="27" spans="1:3" x14ac:dyDescent="0.25">
      <c r="A27" s="152" t="s">
        <v>395</v>
      </c>
      <c r="B27" s="153">
        <v>1.2500000000000001E-2</v>
      </c>
      <c r="C27" s="148"/>
    </row>
  </sheetData>
  <sheetProtection algorithmName="SHA-512" hashValue="Q6YLlllkmEO7nGX0JqD/chggledauOBtXJva6y4VNJgOEkq0r98Ejem98qCZMJu0d7MFLgSDyk2vJKp1NYdI5Q==" saltValue="6Ijf3CCksUllIUC0tRZ/3g==" spinCount="100000" sheet="1" objects="1" scenarios="1"/>
  <conditionalFormatting sqref="A6:A21">
    <cfRule type="expression" dxfId="871" priority="21" stopIfTrue="1">
      <formula>MOD(ROW(),2)=0</formula>
    </cfRule>
    <cfRule type="expression" dxfId="870" priority="22" stopIfTrue="1">
      <formula>MOD(ROW(),2)&lt;&gt;0</formula>
    </cfRule>
  </conditionalFormatting>
  <conditionalFormatting sqref="A26:A27">
    <cfRule type="expression" dxfId="869" priority="1" stopIfTrue="1">
      <formula>MOD(ROW(),2)=0</formula>
    </cfRule>
    <cfRule type="expression" dxfId="868" priority="2" stopIfTrue="1">
      <formula>MOD(ROW(),2)&lt;&gt;0</formula>
    </cfRule>
  </conditionalFormatting>
  <conditionalFormatting sqref="B6">
    <cfRule type="expression" dxfId="867" priority="29" stopIfTrue="1">
      <formula>MOD(ROW(),2)=0</formula>
    </cfRule>
    <cfRule type="expression" dxfId="866" priority="30" stopIfTrue="1">
      <formula>MOD(ROW(),2)&lt;&gt;0</formula>
    </cfRule>
  </conditionalFormatting>
  <conditionalFormatting sqref="B6:B21">
    <cfRule type="expression" dxfId="865" priority="11" stopIfTrue="1">
      <formula>MOD(ROW(),2)=0</formula>
    </cfRule>
    <cfRule type="expression" dxfId="864" priority="12" stopIfTrue="1">
      <formula>MOD(ROW(),2)&lt;&gt;0</formula>
    </cfRule>
  </conditionalFormatting>
  <conditionalFormatting sqref="B9">
    <cfRule type="expression" dxfId="863" priority="7" stopIfTrue="1">
      <formula>MOD(ROW(),2)=0</formula>
    </cfRule>
    <cfRule type="expression" dxfId="862" priority="8" stopIfTrue="1">
      <formula>MOD(ROW(),2)&lt;&gt;0</formula>
    </cfRule>
  </conditionalFormatting>
  <conditionalFormatting sqref="B17:B19">
    <cfRule type="expression" dxfId="861" priority="5" stopIfTrue="1">
      <formula>MOD(ROW(),2)=0</formula>
    </cfRule>
    <cfRule type="expression" dxfId="860" priority="6" stopIfTrue="1">
      <formula>MOD(ROW(),2)&lt;&gt;0</formula>
    </cfRule>
  </conditionalFormatting>
  <conditionalFormatting sqref="B20:B21">
    <cfRule type="expression" dxfId="859" priority="25" stopIfTrue="1">
      <formula>MOD(ROW(),2)=0</formula>
    </cfRule>
    <cfRule type="expression" dxfId="858" priority="26" stopIfTrue="1">
      <formula>MOD(ROW(),2)&lt;&gt;0</formula>
    </cfRule>
  </conditionalFormatting>
  <conditionalFormatting sqref="B26:B27">
    <cfRule type="expression" dxfId="857" priority="3" stopIfTrue="1">
      <formula>MOD(ROW(),2)=0</formula>
    </cfRule>
    <cfRule type="expression" dxfId="856" priority="4" stopIfTrue="1">
      <formula>MOD(ROW(),2)&lt;&gt;0</formula>
    </cfRule>
  </conditionalFormatting>
  <hyperlinks>
    <hyperlink ref="B24" location="Assumptions!A1" display="Assumptions" xr:uid="{541EBE86-E0D7-4FB9-8A77-C4557078ACA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5"/>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x-401</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75</v>
      </c>
      <c r="C8" s="161"/>
      <c r="D8" s="161"/>
      <c r="E8" s="161"/>
      <c r="F8" s="161"/>
      <c r="G8" s="161"/>
      <c r="H8" s="161"/>
      <c r="I8" s="161"/>
      <c r="J8" s="161"/>
      <c r="K8" s="161"/>
      <c r="L8" s="161"/>
      <c r="M8" s="161"/>
    </row>
    <row r="9" spans="1:13" x14ac:dyDescent="0.25">
      <c r="A9" s="85" t="s">
        <v>282</v>
      </c>
      <c r="B9" s="161" t="s">
        <v>396</v>
      </c>
      <c r="C9" s="161"/>
      <c r="D9" s="161"/>
      <c r="E9" s="161"/>
      <c r="F9" s="161"/>
      <c r="G9" s="161"/>
      <c r="H9" s="161"/>
      <c r="I9" s="161"/>
      <c r="J9" s="161"/>
      <c r="K9" s="161"/>
      <c r="L9" s="161"/>
      <c r="M9" s="161"/>
    </row>
    <row r="10" spans="1:13" x14ac:dyDescent="0.25">
      <c r="A10" s="85" t="s">
        <v>6</v>
      </c>
      <c r="B10" s="161" t="s">
        <v>397</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398</v>
      </c>
      <c r="C12" s="161"/>
      <c r="D12" s="161"/>
      <c r="E12" s="161"/>
      <c r="F12" s="161"/>
      <c r="G12" s="161"/>
      <c r="H12" s="161"/>
      <c r="I12" s="161"/>
      <c r="J12" s="161"/>
      <c r="K12" s="161"/>
      <c r="L12" s="161"/>
      <c r="M12" s="161"/>
    </row>
    <row r="13" spans="1:13" x14ac:dyDescent="0.25">
      <c r="A13" s="85" t="s">
        <v>289</v>
      </c>
      <c r="B13" s="161">
        <v>1</v>
      </c>
      <c r="C13" s="161"/>
      <c r="D13" s="161"/>
      <c r="E13" s="161"/>
      <c r="F13" s="161"/>
      <c r="G13" s="161"/>
      <c r="H13" s="161"/>
      <c r="I13" s="161"/>
      <c r="J13" s="161"/>
      <c r="K13" s="161"/>
      <c r="L13" s="161"/>
      <c r="M13" s="161"/>
    </row>
    <row r="14" spans="1:13" x14ac:dyDescent="0.25">
      <c r="A14" s="85" t="s">
        <v>291</v>
      </c>
      <c r="B14" s="161">
        <v>401</v>
      </c>
      <c r="C14" s="161"/>
      <c r="D14" s="161"/>
      <c r="E14" s="161"/>
      <c r="F14" s="161"/>
      <c r="G14" s="161"/>
      <c r="H14" s="161"/>
      <c r="I14" s="161"/>
      <c r="J14" s="161"/>
      <c r="K14" s="161"/>
      <c r="L14" s="161"/>
      <c r="M14" s="161"/>
    </row>
    <row r="15" spans="1:13" x14ac:dyDescent="0.25">
      <c r="A15" s="85" t="s">
        <v>293</v>
      </c>
      <c r="B15" s="161" t="s">
        <v>399</v>
      </c>
      <c r="C15" s="161"/>
      <c r="D15" s="161"/>
      <c r="E15" s="161"/>
      <c r="F15" s="161"/>
      <c r="G15" s="161"/>
      <c r="H15" s="161"/>
      <c r="I15" s="161"/>
      <c r="J15" s="161"/>
      <c r="K15" s="161"/>
      <c r="L15" s="161"/>
      <c r="M15" s="161"/>
    </row>
    <row r="16" spans="1:13" x14ac:dyDescent="0.25">
      <c r="A16" s="85" t="s">
        <v>295</v>
      </c>
      <c r="B16" s="161" t="s">
        <v>400</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45107</v>
      </c>
      <c r="C18" s="161"/>
      <c r="D18" s="161"/>
      <c r="E18" s="161"/>
      <c r="F18" s="161"/>
      <c r="G18" s="161"/>
      <c r="H18" s="161"/>
      <c r="I18" s="161"/>
      <c r="J18" s="161"/>
      <c r="K18" s="161"/>
      <c r="L18" s="161"/>
      <c r="M18" s="161"/>
    </row>
    <row r="19" spans="1:13" x14ac:dyDescent="0.25">
      <c r="A19" s="85" t="s">
        <v>301</v>
      </c>
      <c r="B19" s="162">
        <v>45107</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50</v>
      </c>
      <c r="B27" s="117">
        <v>0.68200000000000005</v>
      </c>
      <c r="C27" s="117">
        <v>0.68400000000000005</v>
      </c>
      <c r="D27" s="117">
        <v>0.68500000000000005</v>
      </c>
      <c r="E27" s="117">
        <v>0.68700000000000006</v>
      </c>
      <c r="F27" s="117">
        <v>0.68899999999999995</v>
      </c>
      <c r="G27" s="117">
        <v>0.69099999999999995</v>
      </c>
      <c r="H27" s="117">
        <v>0.69299999999999995</v>
      </c>
      <c r="I27" s="117">
        <v>0.69499999999999995</v>
      </c>
      <c r="J27" s="117">
        <v>0.69699999999999995</v>
      </c>
      <c r="K27" s="117">
        <v>0.69799999999999995</v>
      </c>
      <c r="L27" s="117">
        <v>0.7</v>
      </c>
      <c r="M27" s="117">
        <v>0.70199999999999996</v>
      </c>
    </row>
    <row r="28" spans="1:13" x14ac:dyDescent="0.25">
      <c r="A28" s="99">
        <v>51</v>
      </c>
      <c r="B28" s="117">
        <v>0.70399999999999996</v>
      </c>
      <c r="C28" s="117">
        <v>0.70599999999999996</v>
      </c>
      <c r="D28" s="117">
        <v>0.70799999999999996</v>
      </c>
      <c r="E28" s="117">
        <v>0.71</v>
      </c>
      <c r="F28" s="117">
        <v>0.71199999999999997</v>
      </c>
      <c r="G28" s="117">
        <v>0.71399999999999997</v>
      </c>
      <c r="H28" s="117">
        <v>0.71599999999999997</v>
      </c>
      <c r="I28" s="117">
        <v>0.71799999999999997</v>
      </c>
      <c r="J28" s="117">
        <v>0.72</v>
      </c>
      <c r="K28" s="117">
        <v>0.72199999999999998</v>
      </c>
      <c r="L28" s="117">
        <v>0.72399999999999998</v>
      </c>
      <c r="M28" s="117">
        <v>0.72599999999999998</v>
      </c>
    </row>
    <row r="29" spans="1:13" x14ac:dyDescent="0.25">
      <c r="A29" s="99">
        <v>52</v>
      </c>
      <c r="B29" s="117">
        <v>0.72799999999999998</v>
      </c>
      <c r="C29" s="117">
        <v>0.73</v>
      </c>
      <c r="D29" s="117">
        <v>0.73199999999999998</v>
      </c>
      <c r="E29" s="117">
        <v>0.73499999999999999</v>
      </c>
      <c r="F29" s="117">
        <v>0.73699999999999999</v>
      </c>
      <c r="G29" s="117">
        <v>0.73899999999999999</v>
      </c>
      <c r="H29" s="117">
        <v>0.74099999999999999</v>
      </c>
      <c r="I29" s="117">
        <v>0.74299999999999999</v>
      </c>
      <c r="J29" s="117">
        <v>0.745</v>
      </c>
      <c r="K29" s="117">
        <v>0.748</v>
      </c>
      <c r="L29" s="117">
        <v>0.75</v>
      </c>
      <c r="M29" s="117">
        <v>0.752</v>
      </c>
    </row>
    <row r="30" spans="1:13" x14ac:dyDescent="0.25">
      <c r="A30" s="99">
        <v>53</v>
      </c>
      <c r="B30" s="117">
        <v>0.754</v>
      </c>
      <c r="C30" s="117">
        <v>0.75600000000000001</v>
      </c>
      <c r="D30" s="117">
        <v>0.75900000000000001</v>
      </c>
      <c r="E30" s="117">
        <v>0.76100000000000001</v>
      </c>
      <c r="F30" s="117">
        <v>0.76300000000000001</v>
      </c>
      <c r="G30" s="117">
        <v>0.76600000000000001</v>
      </c>
      <c r="H30" s="117">
        <v>0.76800000000000002</v>
      </c>
      <c r="I30" s="117">
        <v>0.77</v>
      </c>
      <c r="J30" s="117">
        <v>0.77300000000000002</v>
      </c>
      <c r="K30" s="117">
        <v>0.77500000000000002</v>
      </c>
      <c r="L30" s="117">
        <v>0.77700000000000002</v>
      </c>
      <c r="M30" s="117">
        <v>0.78</v>
      </c>
    </row>
    <row r="31" spans="1:13" x14ac:dyDescent="0.25">
      <c r="A31" s="99">
        <v>54</v>
      </c>
      <c r="B31" s="117">
        <v>0.78200000000000003</v>
      </c>
      <c r="C31" s="117">
        <v>0.78500000000000003</v>
      </c>
      <c r="D31" s="117">
        <v>0.78700000000000003</v>
      </c>
      <c r="E31" s="117">
        <v>0.79</v>
      </c>
      <c r="F31" s="117">
        <v>0.79200000000000004</v>
      </c>
      <c r="G31" s="117">
        <v>0.79500000000000004</v>
      </c>
      <c r="H31" s="117">
        <v>0.79700000000000004</v>
      </c>
      <c r="I31" s="117">
        <v>0.8</v>
      </c>
      <c r="J31" s="117">
        <v>0.80200000000000005</v>
      </c>
      <c r="K31" s="117">
        <v>0.80500000000000005</v>
      </c>
      <c r="L31" s="117">
        <v>0.80700000000000005</v>
      </c>
      <c r="M31" s="117">
        <v>0.81</v>
      </c>
    </row>
    <row r="32" spans="1:13" x14ac:dyDescent="0.25">
      <c r="A32" s="99">
        <v>55</v>
      </c>
      <c r="B32" s="117">
        <v>0.81200000000000006</v>
      </c>
      <c r="C32" s="117">
        <v>0.81499999999999995</v>
      </c>
      <c r="D32" s="117">
        <v>0.81799999999999995</v>
      </c>
      <c r="E32" s="117">
        <v>0.82099999999999995</v>
      </c>
      <c r="F32" s="117">
        <v>0.82299999999999995</v>
      </c>
      <c r="G32" s="117">
        <v>0.82599999999999996</v>
      </c>
      <c r="H32" s="117">
        <v>0.82899999999999996</v>
      </c>
      <c r="I32" s="117">
        <v>0.83099999999999996</v>
      </c>
      <c r="J32" s="117">
        <v>0.83399999999999996</v>
      </c>
      <c r="K32" s="117">
        <v>0.83699999999999997</v>
      </c>
      <c r="L32" s="117">
        <v>0.84</v>
      </c>
      <c r="M32" s="117">
        <v>0.84199999999999997</v>
      </c>
    </row>
    <row r="33" spans="1:13" x14ac:dyDescent="0.25">
      <c r="A33" s="99">
        <v>56</v>
      </c>
      <c r="B33" s="117">
        <v>0.84499999999999997</v>
      </c>
      <c r="C33" s="117">
        <v>0.84799999999999998</v>
      </c>
      <c r="D33" s="117">
        <v>0.85099999999999998</v>
      </c>
      <c r="E33" s="117">
        <v>0.85399999999999998</v>
      </c>
      <c r="F33" s="117">
        <v>0.85699999999999998</v>
      </c>
      <c r="G33" s="117">
        <v>0.86</v>
      </c>
      <c r="H33" s="117">
        <v>0.86299999999999999</v>
      </c>
      <c r="I33" s="117">
        <v>0.86499999999999999</v>
      </c>
      <c r="J33" s="117">
        <v>0.86799999999999999</v>
      </c>
      <c r="K33" s="117">
        <v>0.871</v>
      </c>
      <c r="L33" s="117">
        <v>0.874</v>
      </c>
      <c r="M33" s="117">
        <v>0.877</v>
      </c>
    </row>
    <row r="34" spans="1:13" x14ac:dyDescent="0.25">
      <c r="A34" s="99">
        <v>57</v>
      </c>
      <c r="B34" s="117">
        <v>0.88</v>
      </c>
      <c r="C34" s="117">
        <v>0.88300000000000001</v>
      </c>
      <c r="D34" s="117">
        <v>0.88600000000000001</v>
      </c>
      <c r="E34" s="117">
        <v>0.88900000000000001</v>
      </c>
      <c r="F34" s="117">
        <v>0.89200000000000002</v>
      </c>
      <c r="G34" s="117">
        <v>0.89600000000000002</v>
      </c>
      <c r="H34" s="117">
        <v>0.89900000000000002</v>
      </c>
      <c r="I34" s="117">
        <v>0.90200000000000002</v>
      </c>
      <c r="J34" s="117">
        <v>0.90500000000000003</v>
      </c>
      <c r="K34" s="117">
        <v>0.90800000000000003</v>
      </c>
      <c r="L34" s="117">
        <v>0.91100000000000003</v>
      </c>
      <c r="M34" s="117">
        <v>0.91400000000000003</v>
      </c>
    </row>
    <row r="35" spans="1:13" x14ac:dyDescent="0.25">
      <c r="A35" s="99">
        <v>58</v>
      </c>
      <c r="B35" s="117">
        <v>0.91700000000000004</v>
      </c>
      <c r="C35" s="117">
        <v>0.92100000000000004</v>
      </c>
      <c r="D35" s="117">
        <v>0.92400000000000004</v>
      </c>
      <c r="E35" s="117">
        <v>0.92700000000000005</v>
      </c>
      <c r="F35" s="117">
        <v>0.93100000000000005</v>
      </c>
      <c r="G35" s="117">
        <v>0.93400000000000005</v>
      </c>
      <c r="H35" s="117">
        <v>0.93700000000000006</v>
      </c>
      <c r="I35" s="117">
        <v>0.94099999999999995</v>
      </c>
      <c r="J35" s="117">
        <v>0.94399999999999995</v>
      </c>
      <c r="K35" s="117">
        <v>0.94699999999999995</v>
      </c>
      <c r="L35" s="117">
        <v>0.95099999999999996</v>
      </c>
      <c r="M35" s="117">
        <v>0.95399999999999996</v>
      </c>
    </row>
    <row r="36" spans="1:13" x14ac:dyDescent="0.25">
      <c r="A36" s="99">
        <v>59</v>
      </c>
      <c r="B36" s="117">
        <v>0.95699999999999996</v>
      </c>
      <c r="C36" s="117">
        <v>0.96099999999999997</v>
      </c>
      <c r="D36" s="117">
        <v>0.96399999999999997</v>
      </c>
      <c r="E36" s="117">
        <v>0.96799999999999997</v>
      </c>
      <c r="F36" s="117">
        <v>0.97199999999999998</v>
      </c>
      <c r="G36" s="117">
        <v>0.97499999999999998</v>
      </c>
      <c r="H36" s="117">
        <v>0.97899999999999998</v>
      </c>
      <c r="I36" s="117">
        <v>0.98199999999999998</v>
      </c>
      <c r="J36" s="117">
        <v>0.98599999999999999</v>
      </c>
      <c r="K36" s="117">
        <v>0.98899999999999999</v>
      </c>
      <c r="L36" s="117">
        <v>0.99299999999999999</v>
      </c>
      <c r="M36" s="117">
        <v>0.996</v>
      </c>
    </row>
    <row r="37" spans="1:13" x14ac:dyDescent="0.25">
      <c r="A37" s="99">
        <v>60</v>
      </c>
      <c r="B37" s="117">
        <v>1</v>
      </c>
      <c r="C37" s="117"/>
      <c r="D37" s="117"/>
      <c r="E37" s="117"/>
      <c r="F37" s="117"/>
      <c r="G37" s="117"/>
      <c r="H37" s="117"/>
      <c r="I37" s="117"/>
      <c r="J37" s="117"/>
      <c r="K37" s="117"/>
      <c r="L37" s="117"/>
      <c r="M37" s="117"/>
    </row>
    <row r="44" spans="1:13" ht="39.65" customHeight="1" x14ac:dyDescent="0.25"/>
    <row r="46" spans="1:13" ht="27.65" customHeight="1" x14ac:dyDescent="0.25"/>
  </sheetData>
  <sheetProtection algorithmName="SHA-512" hashValue="ZjtDjrqM5CZvdM2fVBoZSPGesUEnahxKSzOS6HJduT2W1jxsCwfNcHCTElqp2zDUBpEji2e9FRh0xlOg70UYFA==" saltValue="YnhVOk1bu8LokdYfg0DsOw==" spinCount="100000" sheet="1" objects="1" scenarios="1"/>
  <conditionalFormatting sqref="A6:A21">
    <cfRule type="expression" dxfId="855" priority="5" stopIfTrue="1">
      <formula>MOD(ROW(),2)=0</formula>
    </cfRule>
    <cfRule type="expression" dxfId="854" priority="6" stopIfTrue="1">
      <formula>MOD(ROW(),2)&lt;&gt;0</formula>
    </cfRule>
  </conditionalFormatting>
  <conditionalFormatting sqref="A26:A37">
    <cfRule type="expression" dxfId="853" priority="1" stopIfTrue="1">
      <formula>MOD(ROW(),2)=0</formula>
    </cfRule>
    <cfRule type="expression" dxfId="852" priority="2" stopIfTrue="1">
      <formula>MOD(ROW(),2)&lt;&gt;0</formula>
    </cfRule>
  </conditionalFormatting>
  <conditionalFormatting sqref="B6:M21">
    <cfRule type="expression" dxfId="851" priority="13" stopIfTrue="1">
      <formula>MOD(ROW(),2)=0</formula>
    </cfRule>
    <cfRule type="expression" dxfId="850" priority="14" stopIfTrue="1">
      <formula>MOD(ROW(),2)&lt;&gt;0</formula>
    </cfRule>
  </conditionalFormatting>
  <conditionalFormatting sqref="B26:M37">
    <cfRule type="expression" dxfId="849" priority="3" stopIfTrue="1">
      <formula>MOD(ROW(),2)=0</formula>
    </cfRule>
    <cfRule type="expression" dxfId="848" priority="4" stopIfTrue="1">
      <formula>MOD(ROW(),2)&lt;&gt;0</formula>
    </cfRule>
  </conditionalFormatting>
  <hyperlinks>
    <hyperlink ref="B24" location="Assumptions!A1" display="Assumptions" xr:uid="{6155EB50-DDC0-4CD1-A6A4-FB5F56901E8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6"/>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x-402</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75</v>
      </c>
      <c r="C8" s="161"/>
      <c r="D8" s="161"/>
      <c r="E8" s="161"/>
      <c r="F8" s="161"/>
      <c r="G8" s="161"/>
      <c r="H8" s="161"/>
      <c r="I8" s="161"/>
      <c r="J8" s="161"/>
      <c r="K8" s="161"/>
      <c r="L8" s="161"/>
      <c r="M8" s="161"/>
    </row>
    <row r="9" spans="1:13" x14ac:dyDescent="0.25">
      <c r="A9" s="85" t="s">
        <v>282</v>
      </c>
      <c r="B9" s="161" t="s">
        <v>396</v>
      </c>
      <c r="C9" s="161"/>
      <c r="D9" s="161"/>
      <c r="E9" s="161"/>
      <c r="F9" s="161"/>
      <c r="G9" s="161"/>
      <c r="H9" s="161"/>
      <c r="I9" s="161"/>
      <c r="J9" s="161"/>
      <c r="K9" s="161"/>
      <c r="L9" s="161"/>
      <c r="M9" s="161"/>
    </row>
    <row r="10" spans="1:13" x14ac:dyDescent="0.25">
      <c r="A10" s="85" t="s">
        <v>6</v>
      </c>
      <c r="B10" s="161" t="s">
        <v>401</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398</v>
      </c>
      <c r="C12" s="161"/>
      <c r="D12" s="161"/>
      <c r="E12" s="161"/>
      <c r="F12" s="161"/>
      <c r="G12" s="161"/>
      <c r="H12" s="161"/>
      <c r="I12" s="161"/>
      <c r="J12" s="161"/>
      <c r="K12" s="161"/>
      <c r="L12" s="161"/>
      <c r="M12" s="161"/>
    </row>
    <row r="13" spans="1:13" x14ac:dyDescent="0.25">
      <c r="A13" s="85" t="s">
        <v>289</v>
      </c>
      <c r="B13" s="161">
        <v>1</v>
      </c>
      <c r="C13" s="161"/>
      <c r="D13" s="161"/>
      <c r="E13" s="161"/>
      <c r="F13" s="161"/>
      <c r="G13" s="161"/>
      <c r="H13" s="161"/>
      <c r="I13" s="161"/>
      <c r="J13" s="161"/>
      <c r="K13" s="161"/>
      <c r="L13" s="161"/>
      <c r="M13" s="161"/>
    </row>
    <row r="14" spans="1:13" x14ac:dyDescent="0.25">
      <c r="A14" s="85" t="s">
        <v>291</v>
      </c>
      <c r="B14" s="161">
        <v>402</v>
      </c>
      <c r="C14" s="161"/>
      <c r="D14" s="161"/>
      <c r="E14" s="161"/>
      <c r="F14" s="161"/>
      <c r="G14" s="161"/>
      <c r="H14" s="161"/>
      <c r="I14" s="161"/>
      <c r="J14" s="161"/>
      <c r="K14" s="161"/>
      <c r="L14" s="161"/>
      <c r="M14" s="161"/>
    </row>
    <row r="15" spans="1:13" x14ac:dyDescent="0.25">
      <c r="A15" s="85" t="s">
        <v>293</v>
      </c>
      <c r="B15" s="161" t="s">
        <v>402</v>
      </c>
      <c r="C15" s="161"/>
      <c r="D15" s="161"/>
      <c r="E15" s="161"/>
      <c r="F15" s="161"/>
      <c r="G15" s="161"/>
      <c r="H15" s="161"/>
      <c r="I15" s="161"/>
      <c r="J15" s="161"/>
      <c r="K15" s="161"/>
      <c r="L15" s="161"/>
      <c r="M15" s="161"/>
    </row>
    <row r="16" spans="1:13" x14ac:dyDescent="0.25">
      <c r="A16" s="85" t="s">
        <v>295</v>
      </c>
      <c r="B16" s="161" t="s">
        <v>403</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45107</v>
      </c>
      <c r="C18" s="161"/>
      <c r="D18" s="161"/>
      <c r="E18" s="161"/>
      <c r="F18" s="161"/>
      <c r="G18" s="161"/>
      <c r="H18" s="161"/>
      <c r="I18" s="161"/>
      <c r="J18" s="161"/>
      <c r="K18" s="161"/>
      <c r="L18" s="161"/>
      <c r="M18" s="161"/>
    </row>
    <row r="19" spans="1:13" x14ac:dyDescent="0.25">
      <c r="A19" s="85" t="s">
        <v>301</v>
      </c>
      <c r="B19" s="162">
        <v>45107</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50</v>
      </c>
      <c r="B27" s="117">
        <v>0.54100000000000004</v>
      </c>
      <c r="C27" s="117">
        <v>0.54300000000000004</v>
      </c>
      <c r="D27" s="117">
        <v>0.54400000000000004</v>
      </c>
      <c r="E27" s="117">
        <v>0.54600000000000004</v>
      </c>
      <c r="F27" s="117">
        <v>0.54700000000000004</v>
      </c>
      <c r="G27" s="117">
        <v>0.54800000000000004</v>
      </c>
      <c r="H27" s="117">
        <v>0.55000000000000004</v>
      </c>
      <c r="I27" s="117">
        <v>0.55100000000000005</v>
      </c>
      <c r="J27" s="117">
        <v>0.55300000000000005</v>
      </c>
      <c r="K27" s="117">
        <v>0.55400000000000005</v>
      </c>
      <c r="L27" s="117">
        <v>0.55600000000000005</v>
      </c>
      <c r="M27" s="117">
        <v>0.55700000000000005</v>
      </c>
    </row>
    <row r="28" spans="1:13" x14ac:dyDescent="0.25">
      <c r="A28" s="99">
        <v>51</v>
      </c>
      <c r="B28" s="117">
        <v>0.55900000000000005</v>
      </c>
      <c r="C28" s="117">
        <v>0.56000000000000005</v>
      </c>
      <c r="D28" s="117">
        <v>0.56200000000000006</v>
      </c>
      <c r="E28" s="117">
        <v>0.56299999999999994</v>
      </c>
      <c r="F28" s="117">
        <v>0.56499999999999995</v>
      </c>
      <c r="G28" s="117">
        <v>0.56599999999999995</v>
      </c>
      <c r="H28" s="117">
        <v>0.56799999999999995</v>
      </c>
      <c r="I28" s="117">
        <v>0.56999999999999995</v>
      </c>
      <c r="J28" s="117">
        <v>0.57099999999999995</v>
      </c>
      <c r="K28" s="117">
        <v>0.57299999999999995</v>
      </c>
      <c r="L28" s="117">
        <v>0.57399999999999995</v>
      </c>
      <c r="M28" s="117">
        <v>0.57599999999999996</v>
      </c>
    </row>
    <row r="29" spans="1:13" x14ac:dyDescent="0.25">
      <c r="A29" s="99">
        <v>52</v>
      </c>
      <c r="B29" s="117">
        <v>0.57699999999999996</v>
      </c>
      <c r="C29" s="117">
        <v>0.57899999999999996</v>
      </c>
      <c r="D29" s="117">
        <v>0.58099999999999996</v>
      </c>
      <c r="E29" s="117">
        <v>0.58299999999999996</v>
      </c>
      <c r="F29" s="117">
        <v>0.58399999999999996</v>
      </c>
      <c r="G29" s="117">
        <v>0.58599999999999997</v>
      </c>
      <c r="H29" s="117">
        <v>0.58799999999999997</v>
      </c>
      <c r="I29" s="117">
        <v>0.58899999999999997</v>
      </c>
      <c r="J29" s="117">
        <v>0.59099999999999997</v>
      </c>
      <c r="K29" s="117">
        <v>0.59299999999999997</v>
      </c>
      <c r="L29" s="117">
        <v>0.59399999999999997</v>
      </c>
      <c r="M29" s="117">
        <v>0.59599999999999997</v>
      </c>
    </row>
    <row r="30" spans="1:13" x14ac:dyDescent="0.25">
      <c r="A30" s="99">
        <v>53</v>
      </c>
      <c r="B30" s="117">
        <v>0.59799999999999998</v>
      </c>
      <c r="C30" s="117">
        <v>0.6</v>
      </c>
      <c r="D30" s="117">
        <v>0.60099999999999998</v>
      </c>
      <c r="E30" s="117">
        <v>0.60299999999999998</v>
      </c>
      <c r="F30" s="117">
        <v>0.60499999999999998</v>
      </c>
      <c r="G30" s="117">
        <v>0.60699999999999998</v>
      </c>
      <c r="H30" s="117">
        <v>0.60899999999999999</v>
      </c>
      <c r="I30" s="117">
        <v>0.61</v>
      </c>
      <c r="J30" s="117">
        <v>0.61199999999999999</v>
      </c>
      <c r="K30" s="117">
        <v>0.61399999999999999</v>
      </c>
      <c r="L30" s="117">
        <v>0.61599999999999999</v>
      </c>
      <c r="M30" s="117">
        <v>0.61799999999999999</v>
      </c>
    </row>
    <row r="31" spans="1:13" x14ac:dyDescent="0.25">
      <c r="A31" s="99">
        <v>54</v>
      </c>
      <c r="B31" s="117">
        <v>0.62</v>
      </c>
      <c r="C31" s="117">
        <v>0.622</v>
      </c>
      <c r="D31" s="117">
        <v>0.623</v>
      </c>
      <c r="E31" s="117">
        <v>0.625</v>
      </c>
      <c r="F31" s="117">
        <v>0.627</v>
      </c>
      <c r="G31" s="117">
        <v>0.629</v>
      </c>
      <c r="H31" s="117">
        <v>0.63100000000000001</v>
      </c>
      <c r="I31" s="117">
        <v>0.63300000000000001</v>
      </c>
      <c r="J31" s="117">
        <v>0.63500000000000001</v>
      </c>
      <c r="K31" s="117">
        <v>0.63700000000000001</v>
      </c>
      <c r="L31" s="117">
        <v>0.63900000000000001</v>
      </c>
      <c r="M31" s="117">
        <v>0.64100000000000001</v>
      </c>
    </row>
    <row r="32" spans="1:13" x14ac:dyDescent="0.25">
      <c r="A32" s="99">
        <v>55</v>
      </c>
      <c r="B32" s="117">
        <v>0.64300000000000002</v>
      </c>
      <c r="C32" s="117">
        <v>0.64500000000000002</v>
      </c>
      <c r="D32" s="117">
        <v>0.64700000000000002</v>
      </c>
      <c r="E32" s="117">
        <v>0.65</v>
      </c>
      <c r="F32" s="117">
        <v>0.65200000000000002</v>
      </c>
      <c r="G32" s="117">
        <v>0.65400000000000003</v>
      </c>
      <c r="H32" s="117">
        <v>0.65600000000000003</v>
      </c>
      <c r="I32" s="117">
        <v>0.65800000000000003</v>
      </c>
      <c r="J32" s="117">
        <v>0.66</v>
      </c>
      <c r="K32" s="117">
        <v>0.66200000000000003</v>
      </c>
      <c r="L32" s="117">
        <v>0.66500000000000004</v>
      </c>
      <c r="M32" s="117">
        <v>0.66700000000000004</v>
      </c>
    </row>
    <row r="33" spans="1:13" x14ac:dyDescent="0.25">
      <c r="A33" s="99">
        <v>56</v>
      </c>
      <c r="B33" s="117">
        <v>0.66900000000000004</v>
      </c>
      <c r="C33" s="117">
        <v>0.67100000000000004</v>
      </c>
      <c r="D33" s="117">
        <v>0.67300000000000004</v>
      </c>
      <c r="E33" s="117">
        <v>0.67600000000000005</v>
      </c>
      <c r="F33" s="117">
        <v>0.67800000000000005</v>
      </c>
      <c r="G33" s="117">
        <v>0.68</v>
      </c>
      <c r="H33" s="117">
        <v>0.68300000000000005</v>
      </c>
      <c r="I33" s="117">
        <v>0.68500000000000005</v>
      </c>
      <c r="J33" s="117">
        <v>0.68700000000000006</v>
      </c>
      <c r="K33" s="117">
        <v>0.68899999999999995</v>
      </c>
      <c r="L33" s="117">
        <v>0.69199999999999995</v>
      </c>
      <c r="M33" s="117">
        <v>0.69399999999999995</v>
      </c>
    </row>
    <row r="34" spans="1:13" x14ac:dyDescent="0.25">
      <c r="A34" s="99">
        <v>57</v>
      </c>
      <c r="B34" s="117">
        <v>0.69599999999999995</v>
      </c>
      <c r="C34" s="117">
        <v>0.69899999999999995</v>
      </c>
      <c r="D34" s="117">
        <v>0.70099999999999996</v>
      </c>
      <c r="E34" s="117">
        <v>0.70399999999999996</v>
      </c>
      <c r="F34" s="117">
        <v>0.70599999999999996</v>
      </c>
      <c r="G34" s="117">
        <v>0.70799999999999996</v>
      </c>
      <c r="H34" s="117">
        <v>0.71099999999999997</v>
      </c>
      <c r="I34" s="117">
        <v>0.71299999999999997</v>
      </c>
      <c r="J34" s="117">
        <v>0.71599999999999997</v>
      </c>
      <c r="K34" s="117">
        <v>0.71799999999999997</v>
      </c>
      <c r="L34" s="117">
        <v>0.72099999999999997</v>
      </c>
      <c r="M34" s="117">
        <v>0.72299999999999998</v>
      </c>
    </row>
    <row r="35" spans="1:13" x14ac:dyDescent="0.25">
      <c r="A35" s="99">
        <v>58</v>
      </c>
      <c r="B35" s="117">
        <v>0.72599999999999998</v>
      </c>
      <c r="C35" s="117">
        <v>0.72799999999999998</v>
      </c>
      <c r="D35" s="117">
        <v>0.73099999999999998</v>
      </c>
      <c r="E35" s="117">
        <v>0.73299999999999998</v>
      </c>
      <c r="F35" s="117">
        <v>0.73599999999999999</v>
      </c>
      <c r="G35" s="117">
        <v>0.73899999999999999</v>
      </c>
      <c r="H35" s="117">
        <v>0.74099999999999999</v>
      </c>
      <c r="I35" s="117">
        <v>0.74399999999999999</v>
      </c>
      <c r="J35" s="117">
        <v>0.746</v>
      </c>
      <c r="K35" s="117">
        <v>0.749</v>
      </c>
      <c r="L35" s="117">
        <v>0.752</v>
      </c>
      <c r="M35" s="117">
        <v>0.754</v>
      </c>
    </row>
    <row r="36" spans="1:13" x14ac:dyDescent="0.25">
      <c r="A36" s="99">
        <v>59</v>
      </c>
      <c r="B36" s="117">
        <v>0.75700000000000001</v>
      </c>
      <c r="C36" s="117">
        <v>0.76</v>
      </c>
      <c r="D36" s="117">
        <v>0.76200000000000001</v>
      </c>
      <c r="E36" s="117">
        <v>0.76500000000000001</v>
      </c>
      <c r="F36" s="117">
        <v>0.76800000000000002</v>
      </c>
      <c r="G36" s="117">
        <v>0.77100000000000002</v>
      </c>
      <c r="H36" s="117">
        <v>0.77400000000000002</v>
      </c>
      <c r="I36" s="117">
        <v>0.77600000000000002</v>
      </c>
      <c r="J36" s="117">
        <v>0.77900000000000003</v>
      </c>
      <c r="K36" s="117">
        <v>0.78200000000000003</v>
      </c>
      <c r="L36" s="117">
        <v>0.78500000000000003</v>
      </c>
      <c r="M36" s="117">
        <v>0.78800000000000003</v>
      </c>
    </row>
    <row r="37" spans="1:13" x14ac:dyDescent="0.25">
      <c r="A37" s="99">
        <v>60</v>
      </c>
      <c r="B37" s="117">
        <v>0.79</v>
      </c>
      <c r="C37" s="117">
        <v>0.79300000000000004</v>
      </c>
      <c r="D37" s="117">
        <v>0.79600000000000004</v>
      </c>
      <c r="E37" s="117">
        <v>0.79900000000000004</v>
      </c>
      <c r="F37" s="117">
        <v>0.80200000000000005</v>
      </c>
      <c r="G37" s="117">
        <v>0.80500000000000005</v>
      </c>
      <c r="H37" s="117">
        <v>0.80800000000000005</v>
      </c>
      <c r="I37" s="117">
        <v>0.81100000000000005</v>
      </c>
      <c r="J37" s="117">
        <v>0.81399999999999995</v>
      </c>
      <c r="K37" s="117">
        <v>0.81699999999999995</v>
      </c>
      <c r="L37" s="117">
        <v>0.82</v>
      </c>
      <c r="M37" s="117">
        <v>0.82299999999999995</v>
      </c>
    </row>
    <row r="38" spans="1:13" x14ac:dyDescent="0.25">
      <c r="A38" s="99">
        <v>61</v>
      </c>
      <c r="B38" s="117">
        <v>0.82699999999999996</v>
      </c>
      <c r="C38" s="117">
        <v>0.83</v>
      </c>
      <c r="D38" s="117">
        <v>0.83299999999999996</v>
      </c>
      <c r="E38" s="117">
        <v>0.83599999999999997</v>
      </c>
      <c r="F38" s="117">
        <v>0.83899999999999997</v>
      </c>
      <c r="G38" s="117">
        <v>0.84299999999999997</v>
      </c>
      <c r="H38" s="117">
        <v>0.84599999999999997</v>
      </c>
      <c r="I38" s="117">
        <v>0.84899999999999998</v>
      </c>
      <c r="J38" s="117">
        <v>0.85199999999999998</v>
      </c>
      <c r="K38" s="117">
        <v>0.85599999999999998</v>
      </c>
      <c r="L38" s="117">
        <v>0.85899999999999999</v>
      </c>
      <c r="M38" s="117">
        <v>0.86199999999999999</v>
      </c>
    </row>
    <row r="39" spans="1:13" x14ac:dyDescent="0.25">
      <c r="A39" s="99">
        <v>62</v>
      </c>
      <c r="B39" s="117">
        <v>0.86499999999999999</v>
      </c>
      <c r="C39" s="117">
        <v>0.86899999999999999</v>
      </c>
      <c r="D39" s="117">
        <v>0.872</v>
      </c>
      <c r="E39" s="117">
        <v>0.876</v>
      </c>
      <c r="F39" s="117">
        <v>0.88</v>
      </c>
      <c r="G39" s="117">
        <v>0.88300000000000001</v>
      </c>
      <c r="H39" s="117">
        <v>0.88700000000000001</v>
      </c>
      <c r="I39" s="117">
        <v>0.89</v>
      </c>
      <c r="J39" s="117">
        <v>0.89400000000000002</v>
      </c>
      <c r="K39" s="117">
        <v>0.89700000000000002</v>
      </c>
      <c r="L39" s="117">
        <v>0.90100000000000002</v>
      </c>
      <c r="M39" s="117">
        <v>0.90400000000000003</v>
      </c>
    </row>
    <row r="40" spans="1:13" x14ac:dyDescent="0.25">
      <c r="A40" s="99">
        <v>63</v>
      </c>
      <c r="B40" s="117">
        <v>0.90800000000000003</v>
      </c>
      <c r="C40" s="117">
        <v>0.91100000000000003</v>
      </c>
      <c r="D40" s="117">
        <v>0.91500000000000004</v>
      </c>
      <c r="E40" s="117">
        <v>0.91900000000000004</v>
      </c>
      <c r="F40" s="117">
        <v>0.92300000000000004</v>
      </c>
      <c r="G40" s="117">
        <v>0.92700000000000005</v>
      </c>
      <c r="H40" s="117">
        <v>0.93</v>
      </c>
      <c r="I40" s="117">
        <v>0.93400000000000005</v>
      </c>
      <c r="J40" s="117">
        <v>0.93799999999999994</v>
      </c>
      <c r="K40" s="117">
        <v>0.94199999999999995</v>
      </c>
      <c r="L40" s="117">
        <v>0.94599999999999995</v>
      </c>
      <c r="M40" s="117">
        <v>0.95</v>
      </c>
    </row>
    <row r="41" spans="1:13" x14ac:dyDescent="0.25">
      <c r="A41" s="99">
        <v>64</v>
      </c>
      <c r="B41" s="117">
        <v>0.95299999999999996</v>
      </c>
      <c r="C41" s="117">
        <v>0.95699999999999996</v>
      </c>
      <c r="D41" s="117">
        <v>0.96099999999999997</v>
      </c>
      <c r="E41" s="117">
        <v>0.96499999999999997</v>
      </c>
      <c r="F41" s="117">
        <v>0.96899999999999997</v>
      </c>
      <c r="G41" s="117">
        <v>0.97299999999999998</v>
      </c>
      <c r="H41" s="117">
        <v>0.97699999999999998</v>
      </c>
      <c r="I41" s="117">
        <v>0.98099999999999998</v>
      </c>
      <c r="J41" s="117">
        <v>0.98399999999999999</v>
      </c>
      <c r="K41" s="117">
        <v>0.98799999999999999</v>
      </c>
      <c r="L41" s="117">
        <v>0.99199999999999999</v>
      </c>
      <c r="M41" s="117">
        <v>0.996</v>
      </c>
    </row>
    <row r="42" spans="1:13" x14ac:dyDescent="0.25">
      <c r="A42" s="99">
        <v>65</v>
      </c>
      <c r="B42" s="117">
        <v>1</v>
      </c>
      <c r="C42" s="117"/>
      <c r="D42" s="117"/>
      <c r="E42" s="117"/>
      <c r="F42" s="117"/>
      <c r="G42" s="117"/>
      <c r="H42" s="117"/>
      <c r="I42" s="117"/>
      <c r="J42" s="117"/>
      <c r="K42" s="117"/>
      <c r="L42" s="117"/>
      <c r="M42" s="117"/>
    </row>
    <row r="44" spans="1:13" ht="39.65" customHeight="1" x14ac:dyDescent="0.25"/>
    <row r="46" spans="1:13" ht="27.65" customHeight="1" x14ac:dyDescent="0.25"/>
  </sheetData>
  <sheetProtection algorithmName="SHA-512" hashValue="ipkd0C3exKp/VpFeKDQ8xH4OxsyWOE1VE5ZbDLPH5+sFxxYbb8afGGdqsQLmBpcyQjsE+FXUsEKalABsA6ByLw==" saltValue="ZvxLbIB0cRVurd1u4nZKeg==" spinCount="100000" sheet="1" objects="1" scenarios="1"/>
  <conditionalFormatting sqref="A6:A21">
    <cfRule type="expression" dxfId="847" priority="7" stopIfTrue="1">
      <formula>MOD(ROW(),2)=0</formula>
    </cfRule>
    <cfRule type="expression" dxfId="846" priority="8" stopIfTrue="1">
      <formula>MOD(ROW(),2)&lt;&gt;0</formula>
    </cfRule>
  </conditionalFormatting>
  <conditionalFormatting sqref="A26:A42">
    <cfRule type="expression" dxfId="845" priority="1" stopIfTrue="1">
      <formula>MOD(ROW(),2)=0</formula>
    </cfRule>
    <cfRule type="expression" dxfId="844" priority="2" stopIfTrue="1">
      <formula>MOD(ROW(),2)&lt;&gt;0</formula>
    </cfRule>
  </conditionalFormatting>
  <conditionalFormatting sqref="B17:B21">
    <cfRule type="expression" dxfId="843" priority="5" stopIfTrue="1">
      <formula>MOD(ROW(),2)=0</formula>
    </cfRule>
    <cfRule type="expression" dxfId="842" priority="6" stopIfTrue="1">
      <formula>MOD(ROW(),2)&lt;&gt;0</formula>
    </cfRule>
  </conditionalFormatting>
  <conditionalFormatting sqref="B6:M21">
    <cfRule type="expression" dxfId="841" priority="15" stopIfTrue="1">
      <formula>MOD(ROW(),2)=0</formula>
    </cfRule>
    <cfRule type="expression" dxfId="840" priority="16" stopIfTrue="1">
      <formula>MOD(ROW(),2)&lt;&gt;0</formula>
    </cfRule>
  </conditionalFormatting>
  <conditionalFormatting sqref="B26:M42">
    <cfRule type="expression" dxfId="839" priority="3" stopIfTrue="1">
      <formula>MOD(ROW(),2)=0</formula>
    </cfRule>
    <cfRule type="expression" dxfId="838" priority="4" stopIfTrue="1">
      <formula>MOD(ROW(),2)&lt;&gt;0</formula>
    </cfRule>
  </conditionalFormatting>
  <hyperlinks>
    <hyperlink ref="B24" location="Assumptions!A1" display="Assumptions" xr:uid="{DB7B7244-AD94-4C1B-BD8F-8B477BCD072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7"/>
  <dimension ref="A1:Q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5" width="10" style="25"/>
    <col min="16" max="16" width="31.90625" style="25" customWidth="1"/>
    <col min="17" max="17" width="39.08984375" style="25" customWidth="1"/>
    <col min="18" max="16384" width="10" style="25"/>
  </cols>
  <sheetData>
    <row r="1" spans="1:17" ht="20" x14ac:dyDescent="0.4">
      <c r="A1" s="36" t="s">
        <v>0</v>
      </c>
      <c r="B1" s="37"/>
      <c r="C1" s="37"/>
      <c r="D1" s="37"/>
      <c r="E1" s="37"/>
      <c r="F1" s="37"/>
      <c r="G1" s="37"/>
      <c r="H1" s="37"/>
      <c r="I1" s="37"/>
    </row>
    <row r="2" spans="1:17" ht="15.5" x14ac:dyDescent="0.35">
      <c r="A2" s="38" t="str">
        <f>IF(title="&gt; Enter workbook title here","Enter workbook title in Cover sheet",title)</f>
        <v>NHSPS_NI - Consolidated Factor Spreadsheet</v>
      </c>
      <c r="B2" s="39"/>
      <c r="C2" s="39"/>
      <c r="D2" s="39"/>
      <c r="E2" s="39"/>
      <c r="F2" s="39"/>
      <c r="G2" s="39"/>
      <c r="H2" s="39"/>
      <c r="I2" s="39"/>
    </row>
    <row r="3" spans="1:17" ht="15.5" x14ac:dyDescent="0.35">
      <c r="A3" s="40" t="str">
        <f>TABLE_FACTOR_TYPE_1&amp;" - x-"&amp;TABLE_SERIES_NUMBER_1</f>
        <v>ERF - x-403</v>
      </c>
      <c r="B3" s="39"/>
      <c r="C3" s="39"/>
      <c r="D3" s="39"/>
      <c r="E3" s="39"/>
      <c r="F3" s="39"/>
      <c r="G3" s="39"/>
      <c r="H3" s="39"/>
      <c r="I3" s="39"/>
    </row>
    <row r="4" spans="1:17" x14ac:dyDescent="0.25">
      <c r="A4" s="41"/>
    </row>
    <row r="6" spans="1:17" ht="13" x14ac:dyDescent="0.3">
      <c r="A6" s="83" t="s">
        <v>276</v>
      </c>
      <c r="B6" s="161" t="s">
        <v>277</v>
      </c>
      <c r="C6" s="161"/>
      <c r="D6" s="161"/>
      <c r="E6" s="161"/>
      <c r="F6" s="161"/>
      <c r="G6" s="161"/>
      <c r="H6" s="161"/>
      <c r="I6" s="161"/>
      <c r="J6" s="161"/>
      <c r="K6" s="161"/>
      <c r="L6" s="161"/>
      <c r="M6" s="161"/>
      <c r="P6" s="83" t="s">
        <v>276</v>
      </c>
      <c r="Q6" s="161" t="s">
        <v>277</v>
      </c>
    </row>
    <row r="7" spans="1:17" x14ac:dyDescent="0.25">
      <c r="A7" s="85" t="s">
        <v>278</v>
      </c>
      <c r="B7" s="161" t="s">
        <v>310</v>
      </c>
      <c r="C7" s="161"/>
      <c r="D7" s="161"/>
      <c r="E7" s="161"/>
      <c r="F7" s="161"/>
      <c r="G7" s="161"/>
      <c r="H7" s="161"/>
      <c r="I7" s="161"/>
      <c r="J7" s="161"/>
      <c r="K7" s="161"/>
      <c r="L7" s="161"/>
      <c r="M7" s="161"/>
      <c r="P7" s="85" t="s">
        <v>278</v>
      </c>
      <c r="Q7" s="161" t="s">
        <v>310</v>
      </c>
    </row>
    <row r="8" spans="1:17" x14ac:dyDescent="0.25">
      <c r="A8" s="85" t="s">
        <v>280</v>
      </c>
      <c r="B8" s="161" t="s">
        <v>75</v>
      </c>
      <c r="C8" s="161"/>
      <c r="D8" s="161"/>
      <c r="E8" s="161"/>
      <c r="F8" s="161"/>
      <c r="G8" s="161"/>
      <c r="H8" s="161"/>
      <c r="I8" s="161"/>
      <c r="J8" s="161"/>
      <c r="K8" s="161"/>
      <c r="L8" s="161"/>
      <c r="M8" s="161"/>
      <c r="P8" s="85" t="s">
        <v>280</v>
      </c>
      <c r="Q8" s="161" t="s">
        <v>75</v>
      </c>
    </row>
    <row r="9" spans="1:17" x14ac:dyDescent="0.25">
      <c r="A9" s="85" t="s">
        <v>282</v>
      </c>
      <c r="B9" s="161" t="s">
        <v>396</v>
      </c>
      <c r="C9" s="161"/>
      <c r="D9" s="161"/>
      <c r="E9" s="161"/>
      <c r="F9" s="161"/>
      <c r="G9" s="161"/>
      <c r="H9" s="161"/>
      <c r="I9" s="161"/>
      <c r="J9" s="161"/>
      <c r="K9" s="161"/>
      <c r="L9" s="161"/>
      <c r="M9" s="161"/>
      <c r="P9" s="85" t="s">
        <v>282</v>
      </c>
      <c r="Q9" s="161" t="s">
        <v>396</v>
      </c>
    </row>
    <row r="10" spans="1:17" x14ac:dyDescent="0.25">
      <c r="A10" s="85" t="s">
        <v>6</v>
      </c>
      <c r="B10" s="161" t="s">
        <v>404</v>
      </c>
      <c r="C10" s="161"/>
      <c r="D10" s="161"/>
      <c r="E10" s="161"/>
      <c r="F10" s="161"/>
      <c r="G10" s="161"/>
      <c r="H10" s="161"/>
      <c r="I10" s="161"/>
      <c r="J10" s="161"/>
      <c r="K10" s="161"/>
      <c r="L10" s="161"/>
      <c r="M10" s="161"/>
      <c r="P10" s="85" t="s">
        <v>6</v>
      </c>
      <c r="Q10" s="161" t="s">
        <v>407</v>
      </c>
    </row>
    <row r="11" spans="1:17" x14ac:dyDescent="0.25">
      <c r="A11" s="85" t="s">
        <v>285</v>
      </c>
      <c r="B11" s="161" t="s">
        <v>359</v>
      </c>
      <c r="C11" s="161"/>
      <c r="D11" s="161"/>
      <c r="E11" s="161"/>
      <c r="F11" s="161"/>
      <c r="G11" s="161"/>
      <c r="H11" s="161"/>
      <c r="I11" s="161"/>
      <c r="J11" s="161"/>
      <c r="K11" s="161"/>
      <c r="L11" s="161"/>
      <c r="M11" s="161"/>
      <c r="P11" s="85" t="s">
        <v>285</v>
      </c>
      <c r="Q11" s="161" t="s">
        <v>359</v>
      </c>
    </row>
    <row r="12" spans="1:17" x14ac:dyDescent="0.25">
      <c r="A12" s="85" t="s">
        <v>287</v>
      </c>
      <c r="B12" s="161" t="s">
        <v>398</v>
      </c>
      <c r="C12" s="161"/>
      <c r="D12" s="161"/>
      <c r="E12" s="161"/>
      <c r="F12" s="161"/>
      <c r="G12" s="161"/>
      <c r="H12" s="161"/>
      <c r="I12" s="161"/>
      <c r="J12" s="161"/>
      <c r="K12" s="161"/>
      <c r="L12" s="161"/>
      <c r="M12" s="161"/>
      <c r="P12" s="85" t="s">
        <v>287</v>
      </c>
      <c r="Q12" s="161" t="s">
        <v>408</v>
      </c>
    </row>
    <row r="13" spans="1:17" x14ac:dyDescent="0.25">
      <c r="A13" s="85" t="s">
        <v>289</v>
      </c>
      <c r="B13" s="161">
        <v>1</v>
      </c>
      <c r="C13" s="161"/>
      <c r="D13" s="161"/>
      <c r="E13" s="161"/>
      <c r="F13" s="161"/>
      <c r="G13" s="161"/>
      <c r="H13" s="161"/>
      <c r="I13" s="161"/>
      <c r="J13" s="161"/>
      <c r="K13" s="161"/>
      <c r="L13" s="161"/>
      <c r="M13" s="161"/>
      <c r="P13" s="85" t="s">
        <v>289</v>
      </c>
      <c r="Q13" s="161">
        <v>1</v>
      </c>
    </row>
    <row r="14" spans="1:17" x14ac:dyDescent="0.25">
      <c r="A14" s="85" t="s">
        <v>291</v>
      </c>
      <c r="B14" s="161">
        <v>403</v>
      </c>
      <c r="C14" s="161"/>
      <c r="D14" s="161"/>
      <c r="E14" s="161"/>
      <c r="F14" s="161"/>
      <c r="G14" s="161"/>
      <c r="H14" s="161"/>
      <c r="I14" s="161"/>
      <c r="J14" s="161"/>
      <c r="K14" s="161"/>
      <c r="L14" s="161"/>
      <c r="M14" s="161"/>
      <c r="P14" s="85" t="s">
        <v>291</v>
      </c>
      <c r="Q14" s="161">
        <v>403</v>
      </c>
    </row>
    <row r="15" spans="1:17" x14ac:dyDescent="0.25">
      <c r="A15" s="85" t="s">
        <v>293</v>
      </c>
      <c r="B15" s="161" t="s">
        <v>405</v>
      </c>
      <c r="C15" s="161"/>
      <c r="D15" s="161"/>
      <c r="E15" s="161"/>
      <c r="F15" s="161"/>
      <c r="G15" s="161"/>
      <c r="H15" s="161"/>
      <c r="I15" s="161"/>
      <c r="J15" s="161"/>
      <c r="K15" s="161"/>
      <c r="L15" s="161"/>
      <c r="M15" s="161"/>
      <c r="P15" s="85" t="s">
        <v>293</v>
      </c>
      <c r="Q15" s="161" t="s">
        <v>409</v>
      </c>
    </row>
    <row r="16" spans="1:17" x14ac:dyDescent="0.25">
      <c r="A16" s="85" t="s">
        <v>295</v>
      </c>
      <c r="B16" s="161" t="s">
        <v>406</v>
      </c>
      <c r="C16" s="161"/>
      <c r="D16" s="161"/>
      <c r="E16" s="161"/>
      <c r="F16" s="161"/>
      <c r="G16" s="161"/>
      <c r="H16" s="161"/>
      <c r="I16" s="161"/>
      <c r="J16" s="161"/>
      <c r="K16" s="161"/>
      <c r="L16" s="161"/>
      <c r="M16" s="161"/>
      <c r="P16" s="85" t="s">
        <v>295</v>
      </c>
      <c r="Q16" s="161" t="s">
        <v>410</v>
      </c>
    </row>
    <row r="17" spans="1:17" ht="12.65" customHeight="1" x14ac:dyDescent="0.25">
      <c r="A17" s="69" t="s">
        <v>725</v>
      </c>
      <c r="B17" s="161"/>
      <c r="C17" s="161"/>
      <c r="D17" s="161"/>
      <c r="E17" s="161"/>
      <c r="F17" s="161"/>
      <c r="G17" s="161"/>
      <c r="H17" s="161"/>
      <c r="I17" s="161"/>
      <c r="J17" s="161"/>
      <c r="K17" s="161"/>
      <c r="L17" s="161"/>
      <c r="M17" s="161"/>
      <c r="P17" s="69" t="s">
        <v>725</v>
      </c>
      <c r="Q17" s="161"/>
    </row>
    <row r="18" spans="1:17" x14ac:dyDescent="0.25">
      <c r="A18" s="85" t="s">
        <v>299</v>
      </c>
      <c r="B18" s="162">
        <v>45107</v>
      </c>
      <c r="C18" s="161"/>
      <c r="D18" s="161"/>
      <c r="E18" s="161"/>
      <c r="F18" s="161"/>
      <c r="G18" s="161"/>
      <c r="H18" s="161"/>
      <c r="I18" s="161"/>
      <c r="J18" s="161"/>
      <c r="K18" s="161"/>
      <c r="L18" s="161"/>
      <c r="M18" s="161"/>
      <c r="P18" s="85" t="s">
        <v>299</v>
      </c>
      <c r="Q18" s="162">
        <v>45107</v>
      </c>
    </row>
    <row r="19" spans="1:17" x14ac:dyDescent="0.25">
      <c r="A19" s="85" t="s">
        <v>301</v>
      </c>
      <c r="B19" s="162">
        <v>45107</v>
      </c>
      <c r="C19" s="161"/>
      <c r="D19" s="161"/>
      <c r="E19" s="161"/>
      <c r="F19" s="161"/>
      <c r="G19" s="161"/>
      <c r="H19" s="161"/>
      <c r="I19" s="161"/>
      <c r="J19" s="161"/>
      <c r="K19" s="161"/>
      <c r="L19" s="161"/>
      <c r="M19" s="161"/>
      <c r="P19" s="85" t="s">
        <v>301</v>
      </c>
      <c r="Q19" s="162">
        <v>45107</v>
      </c>
    </row>
    <row r="20" spans="1:17" x14ac:dyDescent="0.25">
      <c r="A20" s="85" t="s">
        <v>303</v>
      </c>
      <c r="B20" s="161" t="s">
        <v>317</v>
      </c>
      <c r="C20" s="161"/>
      <c r="D20" s="161"/>
      <c r="E20" s="161"/>
      <c r="F20" s="161"/>
      <c r="G20" s="161"/>
      <c r="H20" s="161"/>
      <c r="I20" s="161"/>
      <c r="J20" s="161"/>
      <c r="K20" s="161"/>
      <c r="L20" s="161"/>
      <c r="M20" s="161"/>
      <c r="P20" s="85" t="s">
        <v>303</v>
      </c>
      <c r="Q20" s="161" t="s">
        <v>317</v>
      </c>
    </row>
    <row r="21" spans="1:17" x14ac:dyDescent="0.25">
      <c r="A21" s="85" t="s">
        <v>309</v>
      </c>
      <c r="B21" s="161" t="s">
        <v>318</v>
      </c>
      <c r="C21" s="161"/>
      <c r="D21" s="161"/>
      <c r="E21" s="161"/>
      <c r="F21" s="161"/>
      <c r="G21" s="161"/>
      <c r="H21" s="161"/>
      <c r="I21" s="161"/>
      <c r="J21" s="161"/>
      <c r="K21" s="161"/>
      <c r="L21" s="161"/>
      <c r="M21" s="161"/>
      <c r="P21" s="85" t="s">
        <v>309</v>
      </c>
      <c r="Q21" s="161" t="s">
        <v>318</v>
      </c>
    </row>
    <row r="23" spans="1:17" x14ac:dyDescent="0.25">
      <c r="B23" s="103" t="str">
        <f>HYPERLINK("#'Factor List'!A1","Back to Factor List")</f>
        <v>Back to Factor List</v>
      </c>
    </row>
    <row r="24" spans="1:17" x14ac:dyDescent="0.25">
      <c r="B24" s="103" t="s">
        <v>15</v>
      </c>
    </row>
    <row r="26" spans="1:17" ht="13" x14ac:dyDescent="0.25">
      <c r="A26" s="98" t="s">
        <v>763</v>
      </c>
      <c r="B26" s="98">
        <v>0</v>
      </c>
      <c r="C26" s="98">
        <v>1</v>
      </c>
      <c r="D26" s="98">
        <v>2</v>
      </c>
      <c r="E26" s="98">
        <v>3</v>
      </c>
      <c r="F26" s="98">
        <v>4</v>
      </c>
      <c r="G26" s="98">
        <v>5</v>
      </c>
      <c r="H26" s="98">
        <v>6</v>
      </c>
      <c r="I26" s="98">
        <v>7</v>
      </c>
      <c r="J26" s="98">
        <v>8</v>
      </c>
      <c r="K26" s="98">
        <v>9</v>
      </c>
      <c r="L26" s="98">
        <v>10</v>
      </c>
      <c r="M26" s="98">
        <v>11</v>
      </c>
      <c r="P26" s="98" t="s">
        <v>408</v>
      </c>
      <c r="Q26" s="98" t="s">
        <v>764</v>
      </c>
    </row>
    <row r="27" spans="1:17" x14ac:dyDescent="0.25">
      <c r="A27" s="99">
        <v>50</v>
      </c>
      <c r="B27" s="117">
        <v>0.23599999999999999</v>
      </c>
      <c r="C27" s="117">
        <v>0.23200000000000001</v>
      </c>
      <c r="D27" s="117">
        <v>0.22800000000000001</v>
      </c>
      <c r="E27" s="117">
        <v>0.224</v>
      </c>
      <c r="F27" s="117">
        <v>0.221</v>
      </c>
      <c r="G27" s="117">
        <v>0.217</v>
      </c>
      <c r="H27" s="117">
        <v>0.21299999999999999</v>
      </c>
      <c r="I27" s="117">
        <v>0.20899999999999999</v>
      </c>
      <c r="J27" s="117">
        <v>0.20499999999999999</v>
      </c>
      <c r="K27" s="117">
        <v>0.20100000000000001</v>
      </c>
      <c r="L27" s="117">
        <v>0.19700000000000001</v>
      </c>
      <c r="M27" s="117">
        <v>0.193</v>
      </c>
      <c r="P27" s="99">
        <v>50</v>
      </c>
      <c r="Q27" s="117">
        <v>1.2310000000000001</v>
      </c>
    </row>
    <row r="28" spans="1:17" x14ac:dyDescent="0.25">
      <c r="A28" s="99">
        <v>51</v>
      </c>
      <c r="B28" s="117">
        <v>0.189</v>
      </c>
      <c r="C28" s="117">
        <v>0.185</v>
      </c>
      <c r="D28" s="117">
        <v>0.182</v>
      </c>
      <c r="E28" s="117">
        <v>0.17799999999999999</v>
      </c>
      <c r="F28" s="117">
        <v>0.17399999999999999</v>
      </c>
      <c r="G28" s="117">
        <v>0.17</v>
      </c>
      <c r="H28" s="117">
        <v>0.16600000000000001</v>
      </c>
      <c r="I28" s="117">
        <v>0.16200000000000001</v>
      </c>
      <c r="J28" s="117">
        <v>0.158</v>
      </c>
      <c r="K28" s="117">
        <v>0.154</v>
      </c>
      <c r="L28" s="117">
        <v>0.15</v>
      </c>
      <c r="M28" s="117">
        <v>0.14599999999999999</v>
      </c>
      <c r="P28" s="99">
        <v>51</v>
      </c>
      <c r="Q28" s="117">
        <v>1.2310000000000001</v>
      </c>
    </row>
    <row r="29" spans="1:17" x14ac:dyDescent="0.25">
      <c r="A29" s="99">
        <v>52</v>
      </c>
      <c r="B29" s="117">
        <v>0.14199999999999999</v>
      </c>
      <c r="C29" s="117">
        <v>0.13800000000000001</v>
      </c>
      <c r="D29" s="117">
        <v>0.13500000000000001</v>
      </c>
      <c r="E29" s="117">
        <v>0.13100000000000001</v>
      </c>
      <c r="F29" s="117">
        <v>0.127</v>
      </c>
      <c r="G29" s="117">
        <v>0.123</v>
      </c>
      <c r="H29" s="117">
        <v>0.11899999999999999</v>
      </c>
      <c r="I29" s="117">
        <v>0.115</v>
      </c>
      <c r="J29" s="117">
        <v>0.111</v>
      </c>
      <c r="K29" s="117">
        <v>0.107</v>
      </c>
      <c r="L29" s="117">
        <v>0.10299999999999999</v>
      </c>
      <c r="M29" s="117">
        <v>9.9000000000000005E-2</v>
      </c>
      <c r="P29" s="99">
        <v>52</v>
      </c>
      <c r="Q29" s="117">
        <v>1.2310000000000001</v>
      </c>
    </row>
    <row r="30" spans="1:17" x14ac:dyDescent="0.25">
      <c r="A30" s="99">
        <v>53</v>
      </c>
      <c r="B30" s="117">
        <v>9.5000000000000001E-2</v>
      </c>
      <c r="C30" s="117">
        <v>9.0999999999999998E-2</v>
      </c>
      <c r="D30" s="117">
        <v>8.6999999999999994E-2</v>
      </c>
      <c r="E30" s="117">
        <v>8.3000000000000004E-2</v>
      </c>
      <c r="F30" s="117">
        <v>7.9000000000000001E-2</v>
      </c>
      <c r="G30" s="117">
        <v>7.4999999999999997E-2</v>
      </c>
      <c r="H30" s="117">
        <v>7.0999999999999994E-2</v>
      </c>
      <c r="I30" s="117">
        <v>6.8000000000000005E-2</v>
      </c>
      <c r="J30" s="117">
        <v>6.4000000000000001E-2</v>
      </c>
      <c r="K30" s="117">
        <v>0.06</v>
      </c>
      <c r="L30" s="117">
        <v>5.6000000000000001E-2</v>
      </c>
      <c r="M30" s="117">
        <v>5.1999999999999998E-2</v>
      </c>
      <c r="P30" s="99">
        <v>53</v>
      </c>
      <c r="Q30" s="117">
        <v>1.2310000000000001</v>
      </c>
    </row>
    <row r="31" spans="1:17" x14ac:dyDescent="0.25">
      <c r="A31" s="99">
        <v>54</v>
      </c>
      <c r="B31" s="117">
        <v>4.8000000000000001E-2</v>
      </c>
      <c r="C31" s="117">
        <v>4.3999999999999997E-2</v>
      </c>
      <c r="D31" s="117">
        <v>0.04</v>
      </c>
      <c r="E31" s="117">
        <v>3.5999999999999997E-2</v>
      </c>
      <c r="F31" s="117">
        <v>3.2000000000000001E-2</v>
      </c>
      <c r="G31" s="117">
        <v>2.8000000000000001E-2</v>
      </c>
      <c r="H31" s="117">
        <v>2.4E-2</v>
      </c>
      <c r="I31" s="117">
        <v>0.02</v>
      </c>
      <c r="J31" s="117">
        <v>1.6E-2</v>
      </c>
      <c r="K31" s="117">
        <v>1.2E-2</v>
      </c>
      <c r="L31" s="117">
        <v>8.0000000000000002E-3</v>
      </c>
      <c r="M31" s="117">
        <v>4.0000000000000001E-3</v>
      </c>
      <c r="P31" s="99">
        <v>54</v>
      </c>
      <c r="Q31" s="117">
        <v>1.2310000000000001</v>
      </c>
    </row>
    <row r="32" spans="1:17" x14ac:dyDescent="0.25">
      <c r="A32" s="99">
        <v>55</v>
      </c>
      <c r="B32" s="117">
        <v>0</v>
      </c>
      <c r="C32" s="117"/>
      <c r="D32" s="117"/>
      <c r="E32" s="117"/>
      <c r="F32" s="117"/>
      <c r="G32" s="117"/>
      <c r="H32" s="117"/>
      <c r="I32" s="117"/>
      <c r="J32" s="117"/>
      <c r="K32" s="117"/>
      <c r="L32" s="117"/>
      <c r="M32" s="117"/>
    </row>
    <row r="44" ht="39.65" customHeight="1" x14ac:dyDescent="0.25"/>
    <row r="46" ht="27.65" customHeight="1" x14ac:dyDescent="0.25"/>
  </sheetData>
  <sheetProtection algorithmName="SHA-512" hashValue="3l6zzkcfm5RIBrHUwYzN8xwrT1IjOlz7+EHER6QKSBpumwoSLNgBNcdZe6zA1+IG2DTHT1Fq0x+urBDPEQcTiQ==" saltValue="1l2M1WgdS0d0vW8T+Bt6MA==" spinCount="100000" sheet="1" objects="1" scenarios="1"/>
  <conditionalFormatting sqref="A6:A21">
    <cfRule type="expression" dxfId="837" priority="17" stopIfTrue="1">
      <formula>MOD(ROW(),2)=0</formula>
    </cfRule>
    <cfRule type="expression" dxfId="836" priority="18" stopIfTrue="1">
      <formula>MOD(ROW(),2)&lt;&gt;0</formula>
    </cfRule>
  </conditionalFormatting>
  <conditionalFormatting sqref="A26:A32">
    <cfRule type="expression" dxfId="835" priority="23" stopIfTrue="1">
      <formula>MOD(ROW(),2)=0</formula>
    </cfRule>
    <cfRule type="expression" dxfId="834" priority="24" stopIfTrue="1">
      <formula>MOD(ROW(),2)&lt;&gt;0</formula>
    </cfRule>
  </conditionalFormatting>
  <conditionalFormatting sqref="B17:B21">
    <cfRule type="expression" dxfId="833" priority="13" stopIfTrue="1">
      <formula>MOD(ROW(),2)=0</formula>
    </cfRule>
    <cfRule type="expression" dxfId="832" priority="14" stopIfTrue="1">
      <formula>MOD(ROW(),2)&lt;&gt;0</formula>
    </cfRule>
  </conditionalFormatting>
  <conditionalFormatting sqref="B6:M21 B26:M32">
    <cfRule type="expression" dxfId="831" priority="25" stopIfTrue="1">
      <formula>MOD(ROW(),2)=0</formula>
    </cfRule>
    <cfRule type="expression" dxfId="830" priority="26" stopIfTrue="1">
      <formula>MOD(ROW(),2)&lt;&gt;0</formula>
    </cfRule>
  </conditionalFormatting>
  <conditionalFormatting sqref="P6:P21">
    <cfRule type="expression" dxfId="829" priority="15" stopIfTrue="1">
      <formula>MOD(ROW(),2)=0</formula>
    </cfRule>
    <cfRule type="expression" dxfId="828" priority="16" stopIfTrue="1">
      <formula>MOD(ROW(),2)&lt;&gt;0</formula>
    </cfRule>
  </conditionalFormatting>
  <conditionalFormatting sqref="P26:P31">
    <cfRule type="expression" dxfId="827" priority="3" stopIfTrue="1">
      <formula>MOD(ROW(),2)=0</formula>
    </cfRule>
    <cfRule type="expression" dxfId="826" priority="4" stopIfTrue="1">
      <formula>MOD(ROW(),2)&lt;&gt;0</formula>
    </cfRule>
  </conditionalFormatting>
  <conditionalFormatting sqref="Q6:Q21">
    <cfRule type="expression" dxfId="825" priority="33" stopIfTrue="1">
      <formula>MOD(ROW(),2)=0</formula>
    </cfRule>
    <cfRule type="expression" dxfId="824" priority="34" stopIfTrue="1">
      <formula>MOD(ROW(),2)&lt;&gt;0</formula>
    </cfRule>
  </conditionalFormatting>
  <conditionalFormatting sqref="Q17:Q21">
    <cfRule type="expression" dxfId="823" priority="1" stopIfTrue="1">
      <formula>MOD(ROW(),2)=0</formula>
    </cfRule>
    <cfRule type="expression" dxfId="822" priority="2" stopIfTrue="1">
      <formula>MOD(ROW(),2)&lt;&gt;0</formula>
    </cfRule>
  </conditionalFormatting>
  <conditionalFormatting sqref="Q26:Q31">
    <cfRule type="expression" dxfId="821" priority="5" stopIfTrue="1">
      <formula>MOD(ROW(),2)=0</formula>
    </cfRule>
    <cfRule type="expression" dxfId="820" priority="6" stopIfTrue="1">
      <formula>MOD(ROW(),2)&lt;&gt;0</formula>
    </cfRule>
  </conditionalFormatting>
  <hyperlinks>
    <hyperlink ref="B24" location="Assumptions!A1" display="Assumptions" xr:uid="{B5B430EC-5467-44B0-A6B0-C98EC5AF1FE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8"/>
  <dimension ref="A1:Q47"/>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5" width="10" style="25"/>
    <col min="16" max="16" width="31.90625" style="25" customWidth="1"/>
    <col min="17" max="17" width="31" style="25" customWidth="1"/>
    <col min="18" max="16384" width="10" style="25"/>
  </cols>
  <sheetData>
    <row r="1" spans="1:17" ht="20" x14ac:dyDescent="0.4">
      <c r="A1" s="36" t="s">
        <v>0</v>
      </c>
      <c r="B1" s="37"/>
      <c r="C1" s="37"/>
      <c r="D1" s="37"/>
      <c r="E1" s="37"/>
      <c r="F1" s="37"/>
      <c r="G1" s="37"/>
      <c r="H1" s="37"/>
      <c r="I1" s="37"/>
    </row>
    <row r="2" spans="1:17" ht="15.5" x14ac:dyDescent="0.35">
      <c r="A2" s="38" t="str">
        <f>IF(title="&gt; Enter workbook title here","Enter workbook title in Cover sheet",title)</f>
        <v>NHSPS_NI - Consolidated Factor Spreadsheet</v>
      </c>
      <c r="B2" s="39"/>
      <c r="C2" s="39"/>
      <c r="D2" s="39"/>
      <c r="E2" s="39"/>
      <c r="F2" s="39"/>
      <c r="G2" s="39"/>
      <c r="H2" s="39"/>
      <c r="I2" s="39"/>
    </row>
    <row r="3" spans="1:17" ht="15.5" x14ac:dyDescent="0.35">
      <c r="A3" s="40" t="str">
        <f>TABLE_FACTOR_TYPE_1&amp;" - x-"&amp;TABLE_SERIES_NUMBER_1</f>
        <v>ERF - x-404</v>
      </c>
      <c r="B3" s="39"/>
      <c r="C3" s="39"/>
      <c r="D3" s="39"/>
      <c r="E3" s="39"/>
      <c r="F3" s="39"/>
      <c r="G3" s="39"/>
      <c r="H3" s="39"/>
      <c r="I3" s="39"/>
    </row>
    <row r="4" spans="1:17" x14ac:dyDescent="0.25">
      <c r="A4" s="41"/>
    </row>
    <row r="6" spans="1:17" ht="13" x14ac:dyDescent="0.3">
      <c r="A6" s="83" t="s">
        <v>276</v>
      </c>
      <c r="B6" s="161" t="s">
        <v>277</v>
      </c>
      <c r="C6" s="161"/>
      <c r="D6" s="161"/>
      <c r="E6" s="161"/>
      <c r="F6" s="161"/>
      <c r="G6" s="161"/>
      <c r="H6" s="161"/>
      <c r="I6" s="161"/>
      <c r="J6" s="161"/>
      <c r="K6" s="161"/>
      <c r="L6" s="161"/>
      <c r="M6" s="161"/>
      <c r="P6" s="83" t="s">
        <v>276</v>
      </c>
      <c r="Q6" s="161" t="s">
        <v>277</v>
      </c>
    </row>
    <row r="7" spans="1:17" x14ac:dyDescent="0.25">
      <c r="A7" s="85" t="s">
        <v>278</v>
      </c>
      <c r="B7" s="161" t="s">
        <v>310</v>
      </c>
      <c r="C7" s="161"/>
      <c r="D7" s="161"/>
      <c r="E7" s="161"/>
      <c r="F7" s="161"/>
      <c r="G7" s="161"/>
      <c r="H7" s="161"/>
      <c r="I7" s="161"/>
      <c r="J7" s="161"/>
      <c r="K7" s="161"/>
      <c r="L7" s="161"/>
      <c r="M7" s="161"/>
      <c r="P7" s="85" t="s">
        <v>278</v>
      </c>
      <c r="Q7" s="161" t="s">
        <v>310</v>
      </c>
    </row>
    <row r="8" spans="1:17" x14ac:dyDescent="0.25">
      <c r="A8" s="85" t="s">
        <v>280</v>
      </c>
      <c r="B8" s="161" t="s">
        <v>75</v>
      </c>
      <c r="C8" s="161"/>
      <c r="D8" s="161"/>
      <c r="E8" s="161"/>
      <c r="F8" s="161"/>
      <c r="G8" s="161"/>
      <c r="H8" s="161"/>
      <c r="I8" s="161"/>
      <c r="J8" s="161"/>
      <c r="K8" s="161"/>
      <c r="L8" s="161"/>
      <c r="M8" s="161"/>
      <c r="P8" s="85" t="s">
        <v>280</v>
      </c>
      <c r="Q8" s="161" t="s">
        <v>75</v>
      </c>
    </row>
    <row r="9" spans="1:17" x14ac:dyDescent="0.25">
      <c r="A9" s="85" t="s">
        <v>282</v>
      </c>
      <c r="B9" s="161" t="s">
        <v>396</v>
      </c>
      <c r="C9" s="161"/>
      <c r="D9" s="161"/>
      <c r="E9" s="161"/>
      <c r="F9" s="161"/>
      <c r="G9" s="161"/>
      <c r="H9" s="161"/>
      <c r="I9" s="161"/>
      <c r="J9" s="161"/>
      <c r="K9" s="161"/>
      <c r="L9" s="161"/>
      <c r="M9" s="161"/>
      <c r="P9" s="85" t="s">
        <v>282</v>
      </c>
      <c r="Q9" s="161" t="s">
        <v>396</v>
      </c>
    </row>
    <row r="10" spans="1:17" x14ac:dyDescent="0.25">
      <c r="A10" s="85" t="s">
        <v>6</v>
      </c>
      <c r="B10" s="161" t="s">
        <v>411</v>
      </c>
      <c r="C10" s="161"/>
      <c r="D10" s="161"/>
      <c r="E10" s="161"/>
      <c r="F10" s="161"/>
      <c r="G10" s="161"/>
      <c r="H10" s="161"/>
      <c r="I10" s="161"/>
      <c r="J10" s="161"/>
      <c r="K10" s="161"/>
      <c r="L10" s="161"/>
      <c r="M10" s="161"/>
      <c r="P10" s="85" t="s">
        <v>6</v>
      </c>
      <c r="Q10" s="161" t="s">
        <v>414</v>
      </c>
    </row>
    <row r="11" spans="1:17" x14ac:dyDescent="0.25">
      <c r="A11" s="85" t="s">
        <v>285</v>
      </c>
      <c r="B11" s="161" t="s">
        <v>359</v>
      </c>
      <c r="C11" s="161"/>
      <c r="D11" s="161"/>
      <c r="E11" s="161"/>
      <c r="F11" s="161"/>
      <c r="G11" s="161"/>
      <c r="H11" s="161"/>
      <c r="I11" s="161"/>
      <c r="J11" s="161"/>
      <c r="K11" s="161"/>
      <c r="L11" s="161"/>
      <c r="M11" s="161"/>
      <c r="P11" s="85" t="s">
        <v>285</v>
      </c>
      <c r="Q11" s="161" t="s">
        <v>359</v>
      </c>
    </row>
    <row r="12" spans="1:17" x14ac:dyDescent="0.25">
      <c r="A12" s="85" t="s">
        <v>287</v>
      </c>
      <c r="B12" s="161" t="s">
        <v>398</v>
      </c>
      <c r="C12" s="161"/>
      <c r="D12" s="161"/>
      <c r="E12" s="161"/>
      <c r="F12" s="161"/>
      <c r="G12" s="161"/>
      <c r="H12" s="161"/>
      <c r="I12" s="161"/>
      <c r="J12" s="161"/>
      <c r="K12" s="161"/>
      <c r="L12" s="161"/>
      <c r="M12" s="161"/>
      <c r="P12" s="85" t="s">
        <v>287</v>
      </c>
      <c r="Q12" s="161" t="s">
        <v>408</v>
      </c>
    </row>
    <row r="13" spans="1:17" x14ac:dyDescent="0.25">
      <c r="A13" s="85" t="s">
        <v>289</v>
      </c>
      <c r="B13" s="161">
        <v>1</v>
      </c>
      <c r="C13" s="161"/>
      <c r="D13" s="161"/>
      <c r="E13" s="161"/>
      <c r="F13" s="161"/>
      <c r="G13" s="161"/>
      <c r="H13" s="161"/>
      <c r="I13" s="161"/>
      <c r="J13" s="161"/>
      <c r="K13" s="161"/>
      <c r="L13" s="161"/>
      <c r="M13" s="161"/>
      <c r="P13" s="85" t="s">
        <v>289</v>
      </c>
      <c r="Q13" s="161">
        <v>1</v>
      </c>
    </row>
    <row r="14" spans="1:17" x14ac:dyDescent="0.25">
      <c r="A14" s="85" t="s">
        <v>291</v>
      </c>
      <c r="B14" s="161">
        <v>404</v>
      </c>
      <c r="C14" s="161"/>
      <c r="D14" s="161"/>
      <c r="E14" s="161"/>
      <c r="F14" s="161"/>
      <c r="G14" s="161"/>
      <c r="H14" s="161"/>
      <c r="I14" s="161"/>
      <c r="J14" s="161"/>
      <c r="K14" s="161"/>
      <c r="L14" s="161"/>
      <c r="M14" s="161"/>
      <c r="P14" s="85" t="s">
        <v>291</v>
      </c>
      <c r="Q14" s="161">
        <v>404</v>
      </c>
    </row>
    <row r="15" spans="1:17" x14ac:dyDescent="0.25">
      <c r="A15" s="85" t="s">
        <v>293</v>
      </c>
      <c r="B15" s="161" t="s">
        <v>412</v>
      </c>
      <c r="C15" s="161"/>
      <c r="D15" s="161"/>
      <c r="E15" s="161"/>
      <c r="F15" s="161"/>
      <c r="G15" s="161"/>
      <c r="H15" s="161"/>
      <c r="I15" s="161"/>
      <c r="J15" s="161"/>
      <c r="K15" s="161"/>
      <c r="L15" s="161"/>
      <c r="M15" s="161"/>
      <c r="P15" s="85" t="s">
        <v>293</v>
      </c>
      <c r="Q15" s="161" t="s">
        <v>415</v>
      </c>
    </row>
    <row r="16" spans="1:17" x14ac:dyDescent="0.25">
      <c r="A16" s="85" t="s">
        <v>295</v>
      </c>
      <c r="B16" s="161" t="s">
        <v>413</v>
      </c>
      <c r="C16" s="161"/>
      <c r="D16" s="161"/>
      <c r="E16" s="161"/>
      <c r="F16" s="161"/>
      <c r="G16" s="161"/>
      <c r="H16" s="161"/>
      <c r="I16" s="161"/>
      <c r="J16" s="161"/>
      <c r="K16" s="161"/>
      <c r="L16" s="161"/>
      <c r="M16" s="161"/>
      <c r="P16" s="85" t="s">
        <v>295</v>
      </c>
      <c r="Q16" s="161" t="s">
        <v>416</v>
      </c>
    </row>
    <row r="17" spans="1:17" ht="26.4" customHeight="1" x14ac:dyDescent="0.25">
      <c r="A17" s="69" t="s">
        <v>725</v>
      </c>
      <c r="B17" s="161"/>
      <c r="C17" s="161"/>
      <c r="D17" s="161"/>
      <c r="E17" s="161"/>
      <c r="F17" s="161"/>
      <c r="G17" s="161"/>
      <c r="H17" s="161"/>
      <c r="I17" s="161"/>
      <c r="J17" s="161"/>
      <c r="K17" s="161"/>
      <c r="L17" s="161"/>
      <c r="M17" s="161"/>
      <c r="P17" s="85" t="s">
        <v>725</v>
      </c>
      <c r="Q17" s="161"/>
    </row>
    <row r="18" spans="1:17" x14ac:dyDescent="0.25">
      <c r="A18" s="85" t="s">
        <v>299</v>
      </c>
      <c r="B18" s="162">
        <v>45107</v>
      </c>
      <c r="C18" s="161"/>
      <c r="D18" s="161"/>
      <c r="E18" s="161"/>
      <c r="F18" s="161"/>
      <c r="G18" s="161"/>
      <c r="H18" s="161"/>
      <c r="I18" s="161"/>
      <c r="J18" s="161"/>
      <c r="K18" s="161"/>
      <c r="L18" s="161"/>
      <c r="M18" s="161"/>
      <c r="P18" s="85" t="s">
        <v>299</v>
      </c>
      <c r="Q18" s="162">
        <v>45107</v>
      </c>
    </row>
    <row r="19" spans="1:17" x14ac:dyDescent="0.25">
      <c r="A19" s="85" t="s">
        <v>301</v>
      </c>
      <c r="B19" s="162">
        <v>45107</v>
      </c>
      <c r="C19" s="161"/>
      <c r="D19" s="161"/>
      <c r="E19" s="161"/>
      <c r="F19" s="161"/>
      <c r="G19" s="161"/>
      <c r="H19" s="161"/>
      <c r="I19" s="161"/>
      <c r="J19" s="161"/>
      <c r="K19" s="161"/>
      <c r="L19" s="161"/>
      <c r="M19" s="161"/>
      <c r="P19" s="85" t="s">
        <v>301</v>
      </c>
      <c r="Q19" s="162">
        <v>45107</v>
      </c>
    </row>
    <row r="20" spans="1:17" x14ac:dyDescent="0.25">
      <c r="A20" s="85" t="s">
        <v>303</v>
      </c>
      <c r="B20" s="161" t="s">
        <v>317</v>
      </c>
      <c r="C20" s="161"/>
      <c r="D20" s="161"/>
      <c r="E20" s="161"/>
      <c r="F20" s="161"/>
      <c r="G20" s="161"/>
      <c r="H20" s="161"/>
      <c r="I20" s="161"/>
      <c r="J20" s="161"/>
      <c r="K20" s="161"/>
      <c r="L20" s="161"/>
      <c r="M20" s="161"/>
      <c r="P20" s="85" t="s">
        <v>303</v>
      </c>
      <c r="Q20" s="161" t="s">
        <v>317</v>
      </c>
    </row>
    <row r="21" spans="1:17" x14ac:dyDescent="0.25">
      <c r="A21" s="85" t="s">
        <v>309</v>
      </c>
      <c r="B21" s="161" t="s">
        <v>318</v>
      </c>
      <c r="C21" s="161"/>
      <c r="D21" s="161"/>
      <c r="E21" s="161"/>
      <c r="F21" s="161"/>
      <c r="G21" s="161"/>
      <c r="H21" s="161"/>
      <c r="I21" s="161"/>
      <c r="J21" s="161"/>
      <c r="K21" s="161"/>
      <c r="L21" s="161"/>
      <c r="M21" s="161"/>
      <c r="P21" s="85" t="s">
        <v>309</v>
      </c>
      <c r="Q21" s="161" t="s">
        <v>318</v>
      </c>
    </row>
    <row r="23" spans="1:17" x14ac:dyDescent="0.25">
      <c r="B23" s="103" t="str">
        <f>HYPERLINK("#'Factor List'!A1","Back to Factor List")</f>
        <v>Back to Factor List</v>
      </c>
    </row>
    <row r="24" spans="1:17" x14ac:dyDescent="0.25">
      <c r="B24" s="103" t="s">
        <v>15</v>
      </c>
    </row>
    <row r="26" spans="1:17" ht="13" x14ac:dyDescent="0.25">
      <c r="A26" s="98" t="s">
        <v>763</v>
      </c>
      <c r="B26" s="98">
        <v>0</v>
      </c>
      <c r="C26" s="98">
        <v>1</v>
      </c>
      <c r="D26" s="98">
        <v>2</v>
      </c>
      <c r="E26" s="98">
        <v>3</v>
      </c>
      <c r="F26" s="98">
        <v>4</v>
      </c>
      <c r="G26" s="98">
        <v>5</v>
      </c>
      <c r="H26" s="98">
        <v>6</v>
      </c>
      <c r="I26" s="98">
        <v>7</v>
      </c>
      <c r="J26" s="98">
        <v>8</v>
      </c>
      <c r="K26" s="98">
        <v>9</v>
      </c>
      <c r="L26" s="98">
        <v>10</v>
      </c>
      <c r="M26" s="98">
        <v>11</v>
      </c>
      <c r="P26" s="98" t="s">
        <v>408</v>
      </c>
      <c r="Q26" s="98" t="s">
        <v>764</v>
      </c>
    </row>
    <row r="27" spans="1:17" x14ac:dyDescent="0.25">
      <c r="A27" s="99">
        <v>50</v>
      </c>
      <c r="B27" s="117">
        <v>0.29299999999999998</v>
      </c>
      <c r="C27" s="117">
        <v>0.28799999999999998</v>
      </c>
      <c r="D27" s="117">
        <v>0.28299999999999997</v>
      </c>
      <c r="E27" s="117">
        <v>0.27900000000000003</v>
      </c>
      <c r="F27" s="117">
        <v>0.27400000000000002</v>
      </c>
      <c r="G27" s="117">
        <v>0.26900000000000002</v>
      </c>
      <c r="H27" s="117">
        <v>0.26400000000000001</v>
      </c>
      <c r="I27" s="117">
        <v>0.25900000000000001</v>
      </c>
      <c r="J27" s="117">
        <v>0.255</v>
      </c>
      <c r="K27" s="117">
        <v>0.25</v>
      </c>
      <c r="L27" s="117">
        <v>0.245</v>
      </c>
      <c r="M27" s="117">
        <v>0.24</v>
      </c>
      <c r="P27" s="99">
        <v>50</v>
      </c>
      <c r="Q27" s="117">
        <v>1.5549999999999999</v>
      </c>
    </row>
    <row r="28" spans="1:17" x14ac:dyDescent="0.25">
      <c r="A28" s="99">
        <v>51</v>
      </c>
      <c r="B28" s="117">
        <v>0.23499999999999999</v>
      </c>
      <c r="C28" s="117">
        <v>0.23</v>
      </c>
      <c r="D28" s="117">
        <v>0.22600000000000001</v>
      </c>
      <c r="E28" s="117">
        <v>0.221</v>
      </c>
      <c r="F28" s="117">
        <v>0.216</v>
      </c>
      <c r="G28" s="117">
        <v>0.21099999999999999</v>
      </c>
      <c r="H28" s="117">
        <v>0.20599999999999999</v>
      </c>
      <c r="I28" s="117">
        <v>0.20100000000000001</v>
      </c>
      <c r="J28" s="117">
        <v>0.19600000000000001</v>
      </c>
      <c r="K28" s="117">
        <v>0.192</v>
      </c>
      <c r="L28" s="117">
        <v>0.187</v>
      </c>
      <c r="M28" s="117">
        <v>0.182</v>
      </c>
      <c r="P28" s="99">
        <v>51</v>
      </c>
      <c r="Q28" s="117">
        <v>1.5549999999999999</v>
      </c>
    </row>
    <row r="29" spans="1:17" x14ac:dyDescent="0.25">
      <c r="A29" s="99">
        <v>52</v>
      </c>
      <c r="B29" s="117">
        <v>0.17699999999999999</v>
      </c>
      <c r="C29" s="117">
        <v>0.17199999999999999</v>
      </c>
      <c r="D29" s="117">
        <v>0.16700000000000001</v>
      </c>
      <c r="E29" s="117">
        <v>0.16200000000000001</v>
      </c>
      <c r="F29" s="117">
        <v>0.157</v>
      </c>
      <c r="G29" s="117">
        <v>0.153</v>
      </c>
      <c r="H29" s="117">
        <v>0.14799999999999999</v>
      </c>
      <c r="I29" s="117">
        <v>0.14299999999999999</v>
      </c>
      <c r="J29" s="117">
        <v>0.13800000000000001</v>
      </c>
      <c r="K29" s="117">
        <v>0.13300000000000001</v>
      </c>
      <c r="L29" s="117">
        <v>0.128</v>
      </c>
      <c r="M29" s="117">
        <v>0.123</v>
      </c>
      <c r="P29" s="99">
        <v>52</v>
      </c>
      <c r="Q29" s="117">
        <v>1.5549999999999999</v>
      </c>
    </row>
    <row r="30" spans="1:17" x14ac:dyDescent="0.25">
      <c r="A30" s="99">
        <v>53</v>
      </c>
      <c r="B30" s="117">
        <v>0.11799999999999999</v>
      </c>
      <c r="C30" s="117">
        <v>0.113</v>
      </c>
      <c r="D30" s="117">
        <v>0.109</v>
      </c>
      <c r="E30" s="117">
        <v>0.104</v>
      </c>
      <c r="F30" s="117">
        <v>9.9000000000000005E-2</v>
      </c>
      <c r="G30" s="117">
        <v>9.4E-2</v>
      </c>
      <c r="H30" s="117">
        <v>8.8999999999999996E-2</v>
      </c>
      <c r="I30" s="117">
        <v>8.4000000000000005E-2</v>
      </c>
      <c r="J30" s="117">
        <v>7.9000000000000001E-2</v>
      </c>
      <c r="K30" s="117">
        <v>7.3999999999999996E-2</v>
      </c>
      <c r="L30" s="117">
        <v>6.9000000000000006E-2</v>
      </c>
      <c r="M30" s="117">
        <v>6.4000000000000001E-2</v>
      </c>
      <c r="P30" s="99">
        <v>53</v>
      </c>
      <c r="Q30" s="117">
        <v>1.5549999999999999</v>
      </c>
    </row>
    <row r="31" spans="1:17" x14ac:dyDescent="0.25">
      <c r="A31" s="99">
        <v>54</v>
      </c>
      <c r="B31" s="117">
        <v>5.8999999999999997E-2</v>
      </c>
      <c r="C31" s="117">
        <v>5.3999999999999999E-2</v>
      </c>
      <c r="D31" s="117">
        <v>4.9000000000000002E-2</v>
      </c>
      <c r="E31" s="117">
        <v>4.4999999999999998E-2</v>
      </c>
      <c r="F31" s="117">
        <v>0.04</v>
      </c>
      <c r="G31" s="117">
        <v>3.5000000000000003E-2</v>
      </c>
      <c r="H31" s="117">
        <v>0.03</v>
      </c>
      <c r="I31" s="117">
        <v>2.5000000000000001E-2</v>
      </c>
      <c r="J31" s="117">
        <v>0.02</v>
      </c>
      <c r="K31" s="117">
        <v>1.4999999999999999E-2</v>
      </c>
      <c r="L31" s="117">
        <v>0.01</v>
      </c>
      <c r="M31" s="117">
        <v>5.0000000000000001E-3</v>
      </c>
      <c r="P31" s="99">
        <v>54</v>
      </c>
      <c r="Q31" s="117">
        <v>1.5549999999999999</v>
      </c>
    </row>
    <row r="32" spans="1:17" x14ac:dyDescent="0.25">
      <c r="A32" s="99">
        <v>55</v>
      </c>
      <c r="B32" s="117">
        <v>0</v>
      </c>
      <c r="C32" s="117"/>
      <c r="D32" s="117"/>
      <c r="E32" s="117"/>
      <c r="F32" s="117"/>
      <c r="G32" s="117"/>
      <c r="H32" s="117"/>
      <c r="I32" s="117"/>
      <c r="J32" s="117"/>
      <c r="K32" s="117"/>
      <c r="L32" s="117"/>
      <c r="M32" s="117"/>
      <c r="P32" s="99">
        <v>55</v>
      </c>
      <c r="Q32" s="117">
        <v>1.5549999999999999</v>
      </c>
    </row>
    <row r="45" ht="39.65" customHeight="1" x14ac:dyDescent="0.25"/>
    <row r="47" ht="27.65" customHeight="1" x14ac:dyDescent="0.25"/>
  </sheetData>
  <sheetProtection algorithmName="SHA-512" hashValue="/0NKlPU96BsCYeocx+ynuKFf0DivNADWaq707+H2g8Jbg9aKZSEk1F7G6snOezht3MNUtC9QbhK8PFIk/jDnBQ==" saltValue="tQu+R+C0fJgeUwMlSZdtsA==" spinCount="100000" sheet="1" objects="1" scenarios="1"/>
  <conditionalFormatting sqref="A6:A21">
    <cfRule type="expression" dxfId="819" priority="17" stopIfTrue="1">
      <formula>MOD(ROW(),2)=0</formula>
    </cfRule>
    <cfRule type="expression" dxfId="818" priority="18" stopIfTrue="1">
      <formula>MOD(ROW(),2)&lt;&gt;0</formula>
    </cfRule>
  </conditionalFormatting>
  <conditionalFormatting sqref="A26:A32">
    <cfRule type="expression" dxfId="817" priority="23" stopIfTrue="1">
      <formula>MOD(ROW(),2)=0</formula>
    </cfRule>
    <cfRule type="expression" dxfId="816" priority="24" stopIfTrue="1">
      <formula>MOD(ROW(),2)&lt;&gt;0</formula>
    </cfRule>
  </conditionalFormatting>
  <conditionalFormatting sqref="B17:B21">
    <cfRule type="expression" dxfId="815" priority="15" stopIfTrue="1">
      <formula>MOD(ROW(),2)=0</formula>
    </cfRule>
    <cfRule type="expression" dxfId="814" priority="16" stopIfTrue="1">
      <formula>MOD(ROW(),2)&lt;&gt;0</formula>
    </cfRule>
  </conditionalFormatting>
  <conditionalFormatting sqref="B6:M21 B26:M32">
    <cfRule type="expression" dxfId="813" priority="25" stopIfTrue="1">
      <formula>MOD(ROW(),2)=0</formula>
    </cfRule>
    <cfRule type="expression" dxfId="812" priority="26" stopIfTrue="1">
      <formula>MOD(ROW(),2)&lt;&gt;0</formula>
    </cfRule>
  </conditionalFormatting>
  <conditionalFormatting sqref="P6:P21">
    <cfRule type="expression" dxfId="811" priority="31" stopIfTrue="1">
      <formula>MOD(ROW(),2)=0</formula>
    </cfRule>
    <cfRule type="expression" dxfId="810" priority="32" stopIfTrue="1">
      <formula>MOD(ROW(),2)&lt;&gt;0</formula>
    </cfRule>
  </conditionalFormatting>
  <conditionalFormatting sqref="P26:P32">
    <cfRule type="expression" dxfId="809" priority="5" stopIfTrue="1">
      <formula>MOD(ROW(),2)=0</formula>
    </cfRule>
    <cfRule type="expression" dxfId="808" priority="6" stopIfTrue="1">
      <formula>MOD(ROW(),2)&lt;&gt;0</formula>
    </cfRule>
  </conditionalFormatting>
  <conditionalFormatting sqref="Q6:Q21">
    <cfRule type="expression" dxfId="807" priority="33" stopIfTrue="1">
      <formula>MOD(ROW(),2)=0</formula>
    </cfRule>
    <cfRule type="expression" dxfId="806" priority="34" stopIfTrue="1">
      <formula>MOD(ROW(),2)&lt;&gt;0</formula>
    </cfRule>
  </conditionalFormatting>
  <conditionalFormatting sqref="Q17:Q21">
    <cfRule type="expression" dxfId="805" priority="1" stopIfTrue="1">
      <formula>MOD(ROW(),2)=0</formula>
    </cfRule>
    <cfRule type="expression" dxfId="804" priority="2" stopIfTrue="1">
      <formula>MOD(ROW(),2)&lt;&gt;0</formula>
    </cfRule>
  </conditionalFormatting>
  <conditionalFormatting sqref="Q26:Q32">
    <cfRule type="expression" dxfId="803" priority="7" stopIfTrue="1">
      <formula>MOD(ROW(),2)=0</formula>
    </cfRule>
    <cfRule type="expression" dxfId="802" priority="8" stopIfTrue="1">
      <formula>MOD(ROW(),2)&lt;&gt;0</formula>
    </cfRule>
  </conditionalFormatting>
  <hyperlinks>
    <hyperlink ref="B24" location="Assumptions!A1" display="Assumptions" xr:uid="{BEF19B91-9EB4-4A71-B4E1-B716C1DFEB8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9"/>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x-405</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75</v>
      </c>
      <c r="C8" s="161"/>
      <c r="D8" s="161"/>
      <c r="E8" s="161"/>
      <c r="F8" s="161"/>
      <c r="G8" s="161"/>
      <c r="H8" s="161"/>
      <c r="I8" s="161"/>
      <c r="J8" s="161"/>
      <c r="K8" s="161"/>
      <c r="L8" s="161"/>
      <c r="M8" s="161"/>
    </row>
    <row r="9" spans="1:13" x14ac:dyDescent="0.25">
      <c r="A9" s="85" t="s">
        <v>282</v>
      </c>
      <c r="B9" s="161" t="s">
        <v>396</v>
      </c>
      <c r="C9" s="161"/>
      <c r="D9" s="161"/>
      <c r="E9" s="161"/>
      <c r="F9" s="161"/>
      <c r="G9" s="161"/>
      <c r="H9" s="161"/>
      <c r="I9" s="161"/>
      <c r="J9" s="161"/>
      <c r="K9" s="161"/>
      <c r="L9" s="161"/>
      <c r="M9" s="161"/>
    </row>
    <row r="10" spans="1:13" x14ac:dyDescent="0.25">
      <c r="A10" s="85" t="s">
        <v>6</v>
      </c>
      <c r="B10" s="161" t="s">
        <v>417</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398</v>
      </c>
      <c r="C12" s="161"/>
      <c r="D12" s="161"/>
      <c r="E12" s="161"/>
      <c r="F12" s="161"/>
      <c r="G12" s="161"/>
      <c r="H12" s="161"/>
      <c r="I12" s="161"/>
      <c r="J12" s="161"/>
      <c r="K12" s="161"/>
      <c r="L12" s="161"/>
      <c r="M12" s="161"/>
    </row>
    <row r="13" spans="1:13" x14ac:dyDescent="0.25">
      <c r="A13" s="85" t="s">
        <v>289</v>
      </c>
      <c r="B13" s="161">
        <v>1</v>
      </c>
      <c r="C13" s="161"/>
      <c r="D13" s="161"/>
      <c r="E13" s="161"/>
      <c r="F13" s="161"/>
      <c r="G13" s="161"/>
      <c r="H13" s="161"/>
      <c r="I13" s="161"/>
      <c r="J13" s="161"/>
      <c r="K13" s="161"/>
      <c r="L13" s="161"/>
      <c r="M13" s="161"/>
    </row>
    <row r="14" spans="1:13" x14ac:dyDescent="0.25">
      <c r="A14" s="85" t="s">
        <v>291</v>
      </c>
      <c r="B14" s="161">
        <v>405</v>
      </c>
      <c r="C14" s="161"/>
      <c r="D14" s="161"/>
      <c r="E14" s="161"/>
      <c r="F14" s="161"/>
      <c r="G14" s="161"/>
      <c r="H14" s="161"/>
      <c r="I14" s="161"/>
      <c r="J14" s="161"/>
      <c r="K14" s="161"/>
      <c r="L14" s="161"/>
      <c r="M14" s="161"/>
    </row>
    <row r="15" spans="1:13" x14ac:dyDescent="0.25">
      <c r="A15" s="85" t="s">
        <v>293</v>
      </c>
      <c r="B15" s="161" t="s">
        <v>418</v>
      </c>
      <c r="C15" s="161"/>
      <c r="D15" s="161"/>
      <c r="E15" s="161"/>
      <c r="F15" s="161"/>
      <c r="G15" s="161"/>
      <c r="H15" s="161"/>
      <c r="I15" s="161"/>
      <c r="J15" s="161"/>
      <c r="K15" s="161"/>
      <c r="L15" s="161"/>
      <c r="M15" s="161"/>
    </row>
    <row r="16" spans="1:13" x14ac:dyDescent="0.25">
      <c r="A16" s="85" t="s">
        <v>295</v>
      </c>
      <c r="B16" s="161" t="s">
        <v>419</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45107</v>
      </c>
      <c r="C18" s="161"/>
      <c r="D18" s="161"/>
      <c r="E18" s="161"/>
      <c r="F18" s="161"/>
      <c r="G18" s="161"/>
      <c r="H18" s="161"/>
      <c r="I18" s="161"/>
      <c r="J18" s="161"/>
      <c r="K18" s="161"/>
      <c r="L18" s="161"/>
      <c r="M18" s="161"/>
    </row>
    <row r="19" spans="1:13" x14ac:dyDescent="0.25">
      <c r="A19" s="85" t="s">
        <v>301</v>
      </c>
      <c r="B19" s="162">
        <v>45107</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50</v>
      </c>
      <c r="B27" s="117">
        <v>0.73199999999999998</v>
      </c>
      <c r="C27" s="117">
        <v>0.73399999999999999</v>
      </c>
      <c r="D27" s="117">
        <v>0.73599999999999999</v>
      </c>
      <c r="E27" s="117">
        <v>0.73799999999999999</v>
      </c>
      <c r="F27" s="117">
        <v>0.74</v>
      </c>
      <c r="G27" s="117">
        <v>0.74199999999999999</v>
      </c>
      <c r="H27" s="117">
        <v>0.74399999999999999</v>
      </c>
      <c r="I27" s="117">
        <v>0.746</v>
      </c>
      <c r="J27" s="117">
        <v>0.748</v>
      </c>
      <c r="K27" s="117">
        <v>0.749</v>
      </c>
      <c r="L27" s="117">
        <v>0.751</v>
      </c>
      <c r="M27" s="117">
        <v>0.753</v>
      </c>
    </row>
    <row r="28" spans="1:13" x14ac:dyDescent="0.25">
      <c r="A28" s="99">
        <v>51</v>
      </c>
      <c r="B28" s="117">
        <v>0.755</v>
      </c>
      <c r="C28" s="117">
        <v>0.75700000000000001</v>
      </c>
      <c r="D28" s="117">
        <v>0.75900000000000001</v>
      </c>
      <c r="E28" s="117">
        <v>0.76200000000000001</v>
      </c>
      <c r="F28" s="117">
        <v>0.76400000000000001</v>
      </c>
      <c r="G28" s="117">
        <v>0.76600000000000001</v>
      </c>
      <c r="H28" s="117">
        <v>0.76800000000000002</v>
      </c>
      <c r="I28" s="117">
        <v>0.77</v>
      </c>
      <c r="J28" s="117">
        <v>0.77200000000000002</v>
      </c>
      <c r="K28" s="117">
        <v>0.77400000000000002</v>
      </c>
      <c r="L28" s="117">
        <v>0.77600000000000002</v>
      </c>
      <c r="M28" s="117">
        <v>0.77800000000000002</v>
      </c>
    </row>
    <row r="29" spans="1:13" x14ac:dyDescent="0.25">
      <c r="A29" s="99">
        <v>52</v>
      </c>
      <c r="B29" s="117">
        <v>0.78</v>
      </c>
      <c r="C29" s="117">
        <v>0.78300000000000003</v>
      </c>
      <c r="D29" s="117">
        <v>0.78500000000000003</v>
      </c>
      <c r="E29" s="117">
        <v>0.78700000000000003</v>
      </c>
      <c r="F29" s="117">
        <v>0.78900000000000003</v>
      </c>
      <c r="G29" s="117">
        <v>0.79200000000000004</v>
      </c>
      <c r="H29" s="117">
        <v>0.79400000000000004</v>
      </c>
      <c r="I29" s="117">
        <v>0.79600000000000004</v>
      </c>
      <c r="J29" s="117">
        <v>0.79800000000000004</v>
      </c>
      <c r="K29" s="117">
        <v>0.80100000000000005</v>
      </c>
      <c r="L29" s="117">
        <v>0.80300000000000005</v>
      </c>
      <c r="M29" s="117">
        <v>0.80500000000000005</v>
      </c>
    </row>
    <row r="30" spans="1:13" x14ac:dyDescent="0.25">
      <c r="A30" s="99">
        <v>53</v>
      </c>
      <c r="B30" s="117">
        <v>0.80700000000000005</v>
      </c>
      <c r="C30" s="117">
        <v>0.81</v>
      </c>
      <c r="D30" s="117">
        <v>0.81200000000000006</v>
      </c>
      <c r="E30" s="117">
        <v>0.81499999999999995</v>
      </c>
      <c r="F30" s="117">
        <v>0.81699999999999995</v>
      </c>
      <c r="G30" s="117">
        <v>0.81899999999999995</v>
      </c>
      <c r="H30" s="117">
        <v>0.82199999999999995</v>
      </c>
      <c r="I30" s="117">
        <v>0.82399999999999995</v>
      </c>
      <c r="J30" s="117">
        <v>0.82699999999999996</v>
      </c>
      <c r="K30" s="117">
        <v>0.82899999999999996</v>
      </c>
      <c r="L30" s="117">
        <v>0.83199999999999996</v>
      </c>
      <c r="M30" s="117">
        <v>0.83399999999999996</v>
      </c>
    </row>
    <row r="31" spans="1:13" x14ac:dyDescent="0.25">
      <c r="A31" s="99">
        <v>54</v>
      </c>
      <c r="B31" s="117">
        <v>0.83599999999999997</v>
      </c>
      <c r="C31" s="117">
        <v>0.83799999999999997</v>
      </c>
      <c r="D31" s="117">
        <v>0.84</v>
      </c>
      <c r="E31" s="117">
        <v>0.84199999999999997</v>
      </c>
      <c r="F31" s="117">
        <v>0.84399999999999997</v>
      </c>
      <c r="G31" s="117">
        <v>0.84599999999999997</v>
      </c>
      <c r="H31" s="117">
        <v>0.84799999999999998</v>
      </c>
      <c r="I31" s="117">
        <v>0.85</v>
      </c>
      <c r="J31" s="117">
        <v>0.85199999999999998</v>
      </c>
      <c r="K31" s="117">
        <v>0.85299999999999998</v>
      </c>
      <c r="L31" s="117">
        <v>0.85499999999999998</v>
      </c>
      <c r="M31" s="117">
        <v>0.85699999999999998</v>
      </c>
    </row>
    <row r="32" spans="1:13" x14ac:dyDescent="0.25">
      <c r="A32" s="99">
        <v>55</v>
      </c>
      <c r="B32" s="117">
        <v>0.85899999999999999</v>
      </c>
      <c r="C32" s="117">
        <v>0.86099999999999999</v>
      </c>
      <c r="D32" s="117">
        <v>0.86299999999999999</v>
      </c>
      <c r="E32" s="117">
        <v>0.86499999999999999</v>
      </c>
      <c r="F32" s="117">
        <v>0.86699999999999999</v>
      </c>
      <c r="G32" s="117">
        <v>0.86899999999999999</v>
      </c>
      <c r="H32" s="117">
        <v>0.872</v>
      </c>
      <c r="I32" s="117">
        <v>0.874</v>
      </c>
      <c r="J32" s="117">
        <v>0.876</v>
      </c>
      <c r="K32" s="117">
        <v>0.878</v>
      </c>
      <c r="L32" s="117">
        <v>0.88</v>
      </c>
      <c r="M32" s="117">
        <v>0.88200000000000001</v>
      </c>
    </row>
    <row r="33" spans="1:13" x14ac:dyDescent="0.25">
      <c r="A33" s="99">
        <v>56</v>
      </c>
      <c r="B33" s="117">
        <v>0.88400000000000001</v>
      </c>
      <c r="C33" s="117">
        <v>0.88600000000000001</v>
      </c>
      <c r="D33" s="117">
        <v>0.88800000000000001</v>
      </c>
      <c r="E33" s="117">
        <v>0.89</v>
      </c>
      <c r="F33" s="117">
        <v>0.89300000000000002</v>
      </c>
      <c r="G33" s="117">
        <v>0.89500000000000002</v>
      </c>
      <c r="H33" s="117">
        <v>0.89700000000000002</v>
      </c>
      <c r="I33" s="117">
        <v>0.89900000000000002</v>
      </c>
      <c r="J33" s="117">
        <v>0.90100000000000002</v>
      </c>
      <c r="K33" s="117">
        <v>0.90400000000000003</v>
      </c>
      <c r="L33" s="117">
        <v>0.90600000000000003</v>
      </c>
      <c r="M33" s="117">
        <v>0.90800000000000003</v>
      </c>
    </row>
    <row r="34" spans="1:13" x14ac:dyDescent="0.25">
      <c r="A34" s="99">
        <v>57</v>
      </c>
      <c r="B34" s="117">
        <v>0.91</v>
      </c>
      <c r="C34" s="117">
        <v>0.91200000000000003</v>
      </c>
      <c r="D34" s="117">
        <v>0.91500000000000004</v>
      </c>
      <c r="E34" s="117">
        <v>0.91700000000000004</v>
      </c>
      <c r="F34" s="117">
        <v>0.91900000000000004</v>
      </c>
      <c r="G34" s="117">
        <v>0.92200000000000004</v>
      </c>
      <c r="H34" s="117">
        <v>0.92400000000000004</v>
      </c>
      <c r="I34" s="117">
        <v>0.92600000000000005</v>
      </c>
      <c r="J34" s="117">
        <v>0.92900000000000005</v>
      </c>
      <c r="K34" s="117">
        <v>0.93100000000000005</v>
      </c>
      <c r="L34" s="117">
        <v>0.93300000000000005</v>
      </c>
      <c r="M34" s="117">
        <v>0.93600000000000005</v>
      </c>
    </row>
    <row r="35" spans="1:13" x14ac:dyDescent="0.25">
      <c r="A35" s="99">
        <v>58</v>
      </c>
      <c r="B35" s="117">
        <v>0.93799999999999994</v>
      </c>
      <c r="C35" s="117">
        <v>0.94099999999999995</v>
      </c>
      <c r="D35" s="117">
        <v>0.94299999999999995</v>
      </c>
      <c r="E35" s="117">
        <v>0.94599999999999995</v>
      </c>
      <c r="F35" s="117">
        <v>0.94799999999999995</v>
      </c>
      <c r="G35" s="117">
        <v>0.95099999999999996</v>
      </c>
      <c r="H35" s="117">
        <v>0.95299999999999996</v>
      </c>
      <c r="I35" s="117">
        <v>0.95599999999999996</v>
      </c>
      <c r="J35" s="117">
        <v>0.95799999999999996</v>
      </c>
      <c r="K35" s="117">
        <v>0.96099999999999997</v>
      </c>
      <c r="L35" s="117">
        <v>0.96299999999999997</v>
      </c>
      <c r="M35" s="117">
        <v>0.96599999999999997</v>
      </c>
    </row>
    <row r="36" spans="1:13" x14ac:dyDescent="0.25">
      <c r="A36" s="99">
        <v>59</v>
      </c>
      <c r="B36" s="117">
        <v>0.96799999999999997</v>
      </c>
      <c r="C36" s="117">
        <v>0.97099999999999997</v>
      </c>
      <c r="D36" s="117">
        <v>0.97299999999999998</v>
      </c>
      <c r="E36" s="117">
        <v>0.97599999999999998</v>
      </c>
      <c r="F36" s="117">
        <v>0.97899999999999998</v>
      </c>
      <c r="G36" s="117">
        <v>0.98099999999999998</v>
      </c>
      <c r="H36" s="117">
        <v>0.98399999999999999</v>
      </c>
      <c r="I36" s="117">
        <v>0.98699999999999999</v>
      </c>
      <c r="J36" s="117">
        <v>0.98899999999999999</v>
      </c>
      <c r="K36" s="117">
        <v>0.99199999999999999</v>
      </c>
      <c r="L36" s="117">
        <v>0.995</v>
      </c>
      <c r="M36" s="117">
        <v>0.997</v>
      </c>
    </row>
    <row r="37" spans="1:13" x14ac:dyDescent="0.25">
      <c r="A37" s="99">
        <v>60</v>
      </c>
      <c r="B37" s="117">
        <v>1</v>
      </c>
      <c r="C37" s="117"/>
      <c r="D37" s="117"/>
      <c r="E37" s="117"/>
      <c r="F37" s="117"/>
      <c r="G37" s="117"/>
      <c r="H37" s="117"/>
      <c r="I37" s="117"/>
      <c r="J37" s="117"/>
      <c r="K37" s="117"/>
      <c r="L37" s="117"/>
      <c r="M37" s="117"/>
    </row>
    <row r="44" spans="1:13" ht="39.65" customHeight="1" x14ac:dyDescent="0.25"/>
    <row r="46" spans="1:13" ht="27.65" customHeight="1" x14ac:dyDescent="0.25"/>
  </sheetData>
  <sheetProtection algorithmName="SHA-512" hashValue="9Lzv+CK/v+l55gmZSrHhee3S/jpNpdjiKNoJYcUkFb6UdGcujYgmnkZ7D8I7ST/WWI0Yo0hNL+5t+ucvQrz2nw==" saltValue="oVLf2UHUvNS9uOhl4giXSQ==" spinCount="100000" sheet="1" objects="1" scenarios="1"/>
  <conditionalFormatting sqref="A6:A21">
    <cfRule type="expression" dxfId="801" priority="7" stopIfTrue="1">
      <formula>MOD(ROW(),2)=0</formula>
    </cfRule>
    <cfRule type="expression" dxfId="800" priority="8" stopIfTrue="1">
      <formula>MOD(ROW(),2)&lt;&gt;0</formula>
    </cfRule>
  </conditionalFormatting>
  <conditionalFormatting sqref="A26:A37">
    <cfRule type="expression" dxfId="799" priority="1" stopIfTrue="1">
      <formula>MOD(ROW(),2)=0</formula>
    </cfRule>
    <cfRule type="expression" dxfId="798" priority="2" stopIfTrue="1">
      <formula>MOD(ROW(),2)&lt;&gt;0</formula>
    </cfRule>
  </conditionalFormatting>
  <conditionalFormatting sqref="B17:B21">
    <cfRule type="expression" dxfId="797" priority="5" stopIfTrue="1">
      <formula>MOD(ROW(),2)=0</formula>
    </cfRule>
    <cfRule type="expression" dxfId="796" priority="6" stopIfTrue="1">
      <formula>MOD(ROW(),2)&lt;&gt;0</formula>
    </cfRule>
  </conditionalFormatting>
  <conditionalFormatting sqref="B6:M21">
    <cfRule type="expression" dxfId="795" priority="15" stopIfTrue="1">
      <formula>MOD(ROW(),2)=0</formula>
    </cfRule>
    <cfRule type="expression" dxfId="794" priority="16" stopIfTrue="1">
      <formula>MOD(ROW(),2)&lt;&gt;0</formula>
    </cfRule>
  </conditionalFormatting>
  <conditionalFormatting sqref="B26:M37">
    <cfRule type="expression" dxfId="793" priority="3" stopIfTrue="1">
      <formula>MOD(ROW(),2)=0</formula>
    </cfRule>
    <cfRule type="expression" dxfId="792" priority="4" stopIfTrue="1">
      <formula>MOD(ROW(),2)&lt;&gt;0</formula>
    </cfRule>
  </conditionalFormatting>
  <hyperlinks>
    <hyperlink ref="B24" location="Assumptions!A1" display="Assumptions" xr:uid="{12A4F987-D232-46E3-B34A-4015D8DA348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0"/>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x-406</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75</v>
      </c>
      <c r="C8" s="161"/>
      <c r="D8" s="161"/>
      <c r="E8" s="161"/>
      <c r="F8" s="161"/>
      <c r="G8" s="161"/>
      <c r="H8" s="161"/>
      <c r="I8" s="161"/>
      <c r="J8" s="161"/>
      <c r="K8" s="161"/>
      <c r="L8" s="161"/>
      <c r="M8" s="161"/>
    </row>
    <row r="9" spans="1:13" x14ac:dyDescent="0.25">
      <c r="A9" s="85" t="s">
        <v>282</v>
      </c>
      <c r="B9" s="161" t="s">
        <v>396</v>
      </c>
      <c r="C9" s="161"/>
      <c r="D9" s="161"/>
      <c r="E9" s="161"/>
      <c r="F9" s="161"/>
      <c r="G9" s="161"/>
      <c r="H9" s="161"/>
      <c r="I9" s="161"/>
      <c r="J9" s="161"/>
      <c r="K9" s="161"/>
      <c r="L9" s="161"/>
      <c r="M9" s="161"/>
    </row>
    <row r="10" spans="1:13" x14ac:dyDescent="0.25">
      <c r="A10" s="85" t="s">
        <v>6</v>
      </c>
      <c r="B10" s="161" t="s">
        <v>420</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398</v>
      </c>
      <c r="C12" s="161"/>
      <c r="D12" s="161"/>
      <c r="E12" s="161"/>
      <c r="F12" s="161"/>
      <c r="G12" s="161"/>
      <c r="H12" s="161"/>
      <c r="I12" s="161"/>
      <c r="J12" s="161"/>
      <c r="K12" s="161"/>
      <c r="L12" s="161"/>
      <c r="M12" s="161"/>
    </row>
    <row r="13" spans="1:13" x14ac:dyDescent="0.25">
      <c r="A13" s="85" t="s">
        <v>289</v>
      </c>
      <c r="B13" s="161">
        <v>1</v>
      </c>
      <c r="C13" s="161"/>
      <c r="D13" s="161"/>
      <c r="E13" s="161"/>
      <c r="F13" s="161"/>
      <c r="G13" s="161"/>
      <c r="H13" s="161"/>
      <c r="I13" s="161"/>
      <c r="J13" s="161"/>
      <c r="K13" s="161"/>
      <c r="L13" s="161"/>
      <c r="M13" s="161"/>
    </row>
    <row r="14" spans="1:13" x14ac:dyDescent="0.25">
      <c r="A14" s="85" t="s">
        <v>291</v>
      </c>
      <c r="B14" s="161">
        <v>406</v>
      </c>
      <c r="C14" s="161"/>
      <c r="D14" s="161"/>
      <c r="E14" s="161"/>
      <c r="F14" s="161"/>
      <c r="G14" s="161"/>
      <c r="H14" s="161"/>
      <c r="I14" s="161"/>
      <c r="J14" s="161"/>
      <c r="K14" s="161"/>
      <c r="L14" s="161"/>
      <c r="M14" s="161"/>
    </row>
    <row r="15" spans="1:13" x14ac:dyDescent="0.25">
      <c r="A15" s="85" t="s">
        <v>293</v>
      </c>
      <c r="B15" s="161" t="s">
        <v>421</v>
      </c>
      <c r="C15" s="161"/>
      <c r="D15" s="161"/>
      <c r="E15" s="161"/>
      <c r="F15" s="161"/>
      <c r="G15" s="161"/>
      <c r="H15" s="161"/>
      <c r="I15" s="161"/>
      <c r="J15" s="161"/>
      <c r="K15" s="161"/>
      <c r="L15" s="161"/>
      <c r="M15" s="161"/>
    </row>
    <row r="16" spans="1:13" x14ac:dyDescent="0.25">
      <c r="A16" s="85" t="s">
        <v>295</v>
      </c>
      <c r="B16" s="161" t="s">
        <v>422</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45107</v>
      </c>
      <c r="C18" s="161"/>
      <c r="D18" s="161"/>
      <c r="E18" s="161"/>
      <c r="F18" s="161"/>
      <c r="G18" s="161"/>
      <c r="H18" s="161"/>
      <c r="I18" s="161"/>
      <c r="J18" s="161"/>
      <c r="K18" s="161"/>
      <c r="L18" s="161"/>
      <c r="M18" s="161"/>
    </row>
    <row r="19" spans="1:13" x14ac:dyDescent="0.25">
      <c r="A19" s="85" t="s">
        <v>301</v>
      </c>
      <c r="B19" s="162">
        <v>45107</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50</v>
      </c>
      <c r="B27" s="117">
        <v>0.58399999999999996</v>
      </c>
      <c r="C27" s="117">
        <v>0.58499999999999996</v>
      </c>
      <c r="D27" s="117">
        <v>0.58699999999999997</v>
      </c>
      <c r="E27" s="117">
        <v>0.58899999999999997</v>
      </c>
      <c r="F27" s="117">
        <v>0.59</v>
      </c>
      <c r="G27" s="117">
        <v>0.59199999999999997</v>
      </c>
      <c r="H27" s="117">
        <v>0.59299999999999997</v>
      </c>
      <c r="I27" s="117">
        <v>0.59499999999999997</v>
      </c>
      <c r="J27" s="117">
        <v>0.59599999999999997</v>
      </c>
      <c r="K27" s="117">
        <v>0.59799999999999998</v>
      </c>
      <c r="L27" s="117">
        <v>0.59899999999999998</v>
      </c>
      <c r="M27" s="117">
        <v>0.60099999999999998</v>
      </c>
    </row>
    <row r="28" spans="1:13" x14ac:dyDescent="0.25">
      <c r="A28" s="99">
        <v>51</v>
      </c>
      <c r="B28" s="117">
        <v>0.60199999999999998</v>
      </c>
      <c r="C28" s="117">
        <v>0.60399999999999998</v>
      </c>
      <c r="D28" s="117">
        <v>0.60599999999999998</v>
      </c>
      <c r="E28" s="117">
        <v>0.60699999999999998</v>
      </c>
      <c r="F28" s="117">
        <v>0.60899999999999999</v>
      </c>
      <c r="G28" s="117">
        <v>0.61</v>
      </c>
      <c r="H28" s="117">
        <v>0.61199999999999999</v>
      </c>
      <c r="I28" s="117">
        <v>0.61399999999999999</v>
      </c>
      <c r="J28" s="117">
        <v>0.61499999999999999</v>
      </c>
      <c r="K28" s="117">
        <v>0.61699999999999999</v>
      </c>
      <c r="L28" s="117">
        <v>0.61899999999999999</v>
      </c>
      <c r="M28" s="117">
        <v>0.62</v>
      </c>
    </row>
    <row r="29" spans="1:13" x14ac:dyDescent="0.25">
      <c r="A29" s="99">
        <v>52</v>
      </c>
      <c r="B29" s="117">
        <v>0.622</v>
      </c>
      <c r="C29" s="117">
        <v>0.624</v>
      </c>
      <c r="D29" s="117">
        <v>0.625</v>
      </c>
      <c r="E29" s="117">
        <v>0.627</v>
      </c>
      <c r="F29" s="117">
        <v>0.629</v>
      </c>
      <c r="G29" s="117">
        <v>0.63100000000000001</v>
      </c>
      <c r="H29" s="117">
        <v>0.63200000000000001</v>
      </c>
      <c r="I29" s="117">
        <v>0.63400000000000001</v>
      </c>
      <c r="J29" s="117">
        <v>0.63600000000000001</v>
      </c>
      <c r="K29" s="117">
        <v>0.63800000000000001</v>
      </c>
      <c r="L29" s="117">
        <v>0.64</v>
      </c>
      <c r="M29" s="117">
        <v>0.64100000000000001</v>
      </c>
    </row>
    <row r="30" spans="1:13" x14ac:dyDescent="0.25">
      <c r="A30" s="99">
        <v>53</v>
      </c>
      <c r="B30" s="117">
        <v>0.64300000000000002</v>
      </c>
      <c r="C30" s="117">
        <v>0.64500000000000002</v>
      </c>
      <c r="D30" s="117">
        <v>0.64700000000000002</v>
      </c>
      <c r="E30" s="117">
        <v>0.64900000000000002</v>
      </c>
      <c r="F30" s="117">
        <v>0.65100000000000002</v>
      </c>
      <c r="G30" s="117">
        <v>0.65300000000000002</v>
      </c>
      <c r="H30" s="117">
        <v>0.65400000000000003</v>
      </c>
      <c r="I30" s="117">
        <v>0.65600000000000003</v>
      </c>
      <c r="J30" s="117">
        <v>0.65800000000000003</v>
      </c>
      <c r="K30" s="117">
        <v>0.66</v>
      </c>
      <c r="L30" s="117">
        <v>0.66200000000000003</v>
      </c>
      <c r="M30" s="117">
        <v>0.66400000000000003</v>
      </c>
    </row>
    <row r="31" spans="1:13" x14ac:dyDescent="0.25">
      <c r="A31" s="99">
        <v>54</v>
      </c>
      <c r="B31" s="117">
        <v>0.66600000000000004</v>
      </c>
      <c r="C31" s="117">
        <v>0.66800000000000004</v>
      </c>
      <c r="D31" s="117">
        <v>0.67</v>
      </c>
      <c r="E31" s="117">
        <v>0.67200000000000004</v>
      </c>
      <c r="F31" s="117">
        <v>0.67400000000000004</v>
      </c>
      <c r="G31" s="117">
        <v>0.67600000000000005</v>
      </c>
      <c r="H31" s="117">
        <v>0.67800000000000005</v>
      </c>
      <c r="I31" s="117">
        <v>0.68</v>
      </c>
      <c r="J31" s="117">
        <v>0.68200000000000005</v>
      </c>
      <c r="K31" s="117">
        <v>0.68400000000000005</v>
      </c>
      <c r="L31" s="117">
        <v>0.68700000000000006</v>
      </c>
      <c r="M31" s="117">
        <v>0.68899999999999995</v>
      </c>
    </row>
    <row r="32" spans="1:13" x14ac:dyDescent="0.25">
      <c r="A32" s="99">
        <v>55</v>
      </c>
      <c r="B32" s="117">
        <v>0.69099999999999995</v>
      </c>
      <c r="C32" s="117">
        <v>0.69299999999999995</v>
      </c>
      <c r="D32" s="117">
        <v>0.69499999999999995</v>
      </c>
      <c r="E32" s="117">
        <v>0.69699999999999995</v>
      </c>
      <c r="F32" s="117">
        <v>0.7</v>
      </c>
      <c r="G32" s="117">
        <v>0.70199999999999996</v>
      </c>
      <c r="H32" s="117">
        <v>0.70399999999999996</v>
      </c>
      <c r="I32" s="117">
        <v>0.70599999999999996</v>
      </c>
      <c r="J32" s="117">
        <v>0.70899999999999996</v>
      </c>
      <c r="K32" s="117">
        <v>0.71099999999999997</v>
      </c>
      <c r="L32" s="117">
        <v>0.71299999999999997</v>
      </c>
      <c r="M32" s="117">
        <v>0.71499999999999997</v>
      </c>
    </row>
    <row r="33" spans="1:13" x14ac:dyDescent="0.25">
      <c r="A33" s="99">
        <v>56</v>
      </c>
      <c r="B33" s="117">
        <v>0.71799999999999997</v>
      </c>
      <c r="C33" s="117">
        <v>0.72</v>
      </c>
      <c r="D33" s="117">
        <v>0.72199999999999998</v>
      </c>
      <c r="E33" s="117">
        <v>0.72499999999999998</v>
      </c>
      <c r="F33" s="117">
        <v>0.72699999999999998</v>
      </c>
      <c r="G33" s="117">
        <v>0.72899999999999998</v>
      </c>
      <c r="H33" s="117">
        <v>0.73199999999999998</v>
      </c>
      <c r="I33" s="117">
        <v>0.73399999999999999</v>
      </c>
      <c r="J33" s="117">
        <v>0.73699999999999999</v>
      </c>
      <c r="K33" s="117">
        <v>0.73899999999999999</v>
      </c>
      <c r="L33" s="117">
        <v>0.74099999999999999</v>
      </c>
      <c r="M33" s="117">
        <v>0.74399999999999999</v>
      </c>
    </row>
    <row r="34" spans="1:13" x14ac:dyDescent="0.25">
      <c r="A34" s="99">
        <v>57</v>
      </c>
      <c r="B34" s="117">
        <v>0.746</v>
      </c>
      <c r="C34" s="117">
        <v>0.749</v>
      </c>
      <c r="D34" s="117">
        <v>0.751</v>
      </c>
      <c r="E34" s="117">
        <v>0.754</v>
      </c>
      <c r="F34" s="117">
        <v>0.75600000000000001</v>
      </c>
      <c r="G34" s="117">
        <v>0.75900000000000001</v>
      </c>
      <c r="H34" s="117">
        <v>0.76100000000000001</v>
      </c>
      <c r="I34" s="117">
        <v>0.76400000000000001</v>
      </c>
      <c r="J34" s="117">
        <v>0.76700000000000002</v>
      </c>
      <c r="K34" s="117">
        <v>0.76900000000000002</v>
      </c>
      <c r="L34" s="117">
        <v>0.77200000000000002</v>
      </c>
      <c r="M34" s="117">
        <v>0.77400000000000002</v>
      </c>
    </row>
    <row r="35" spans="1:13" x14ac:dyDescent="0.25">
      <c r="A35" s="99">
        <v>58</v>
      </c>
      <c r="B35" s="117">
        <v>0.77700000000000002</v>
      </c>
      <c r="C35" s="117">
        <v>0.77900000000000003</v>
      </c>
      <c r="D35" s="117">
        <v>0.78200000000000003</v>
      </c>
      <c r="E35" s="117">
        <v>0.78500000000000003</v>
      </c>
      <c r="F35" s="117">
        <v>0.78800000000000003</v>
      </c>
      <c r="G35" s="117">
        <v>0.79</v>
      </c>
      <c r="H35" s="117">
        <v>0.79300000000000004</v>
      </c>
      <c r="I35" s="117">
        <v>0.79600000000000004</v>
      </c>
      <c r="J35" s="117">
        <v>0.79900000000000004</v>
      </c>
      <c r="K35" s="117">
        <v>0.80100000000000005</v>
      </c>
      <c r="L35" s="117">
        <v>0.80400000000000005</v>
      </c>
      <c r="M35" s="117">
        <v>0.80700000000000005</v>
      </c>
    </row>
    <row r="36" spans="1:13" x14ac:dyDescent="0.25">
      <c r="A36" s="99">
        <v>59</v>
      </c>
      <c r="B36" s="117">
        <v>0.80900000000000005</v>
      </c>
      <c r="C36" s="117">
        <v>0.81200000000000006</v>
      </c>
      <c r="D36" s="117">
        <v>0.81399999999999995</v>
      </c>
      <c r="E36" s="117">
        <v>0.81599999999999995</v>
      </c>
      <c r="F36" s="117">
        <v>0.81799999999999995</v>
      </c>
      <c r="G36" s="117">
        <v>0.82</v>
      </c>
      <c r="H36" s="117">
        <v>0.82199999999999995</v>
      </c>
      <c r="I36" s="117">
        <v>0.82499999999999996</v>
      </c>
      <c r="J36" s="117">
        <v>0.82699999999999996</v>
      </c>
      <c r="K36" s="117">
        <v>0.82899999999999996</v>
      </c>
      <c r="L36" s="117">
        <v>0.83099999999999996</v>
      </c>
      <c r="M36" s="117">
        <v>0.83299999999999996</v>
      </c>
    </row>
    <row r="37" spans="1:13" x14ac:dyDescent="0.25">
      <c r="A37" s="99">
        <v>60</v>
      </c>
      <c r="B37" s="117">
        <v>0.83499999999999996</v>
      </c>
      <c r="C37" s="117">
        <v>0.83799999999999997</v>
      </c>
      <c r="D37" s="117">
        <v>0.84</v>
      </c>
      <c r="E37" s="117">
        <v>0.84199999999999997</v>
      </c>
      <c r="F37" s="117">
        <v>0.84499999999999997</v>
      </c>
      <c r="G37" s="117">
        <v>0.84699999999999998</v>
      </c>
      <c r="H37" s="117">
        <v>0.84899999999999998</v>
      </c>
      <c r="I37" s="117">
        <v>0.85199999999999998</v>
      </c>
      <c r="J37" s="117">
        <v>0.85399999999999998</v>
      </c>
      <c r="K37" s="117">
        <v>0.85599999999999998</v>
      </c>
      <c r="L37" s="117">
        <v>0.85899999999999999</v>
      </c>
      <c r="M37" s="117">
        <v>0.86099999999999999</v>
      </c>
    </row>
    <row r="38" spans="1:13" x14ac:dyDescent="0.25">
      <c r="A38" s="99">
        <v>61</v>
      </c>
      <c r="B38" s="117">
        <v>0.86299999999999999</v>
      </c>
      <c r="C38" s="117">
        <v>0.86599999999999999</v>
      </c>
      <c r="D38" s="117">
        <v>0.86799999999999999</v>
      </c>
      <c r="E38" s="117">
        <v>0.871</v>
      </c>
      <c r="F38" s="117">
        <v>0.873</v>
      </c>
      <c r="G38" s="117">
        <v>0.876</v>
      </c>
      <c r="H38" s="117">
        <v>0.879</v>
      </c>
      <c r="I38" s="117">
        <v>0.88100000000000001</v>
      </c>
      <c r="J38" s="117">
        <v>0.88400000000000001</v>
      </c>
      <c r="K38" s="117">
        <v>0.88600000000000001</v>
      </c>
      <c r="L38" s="117">
        <v>0.88900000000000001</v>
      </c>
      <c r="M38" s="117">
        <v>0.89100000000000001</v>
      </c>
    </row>
    <row r="39" spans="1:13" x14ac:dyDescent="0.25">
      <c r="A39" s="99">
        <v>62</v>
      </c>
      <c r="B39" s="117">
        <v>0.89400000000000002</v>
      </c>
      <c r="C39" s="117">
        <v>0.89700000000000002</v>
      </c>
      <c r="D39" s="117">
        <v>0.89900000000000002</v>
      </c>
      <c r="E39" s="117">
        <v>0.90200000000000002</v>
      </c>
      <c r="F39" s="117">
        <v>0.90500000000000003</v>
      </c>
      <c r="G39" s="117">
        <v>0.90800000000000003</v>
      </c>
      <c r="H39" s="117">
        <v>0.91100000000000003</v>
      </c>
      <c r="I39" s="117">
        <v>0.91300000000000003</v>
      </c>
      <c r="J39" s="117">
        <v>0.91600000000000004</v>
      </c>
      <c r="K39" s="117">
        <v>0.91900000000000004</v>
      </c>
      <c r="L39" s="117">
        <v>0.92200000000000004</v>
      </c>
      <c r="M39" s="117">
        <v>0.92500000000000004</v>
      </c>
    </row>
    <row r="40" spans="1:13" x14ac:dyDescent="0.25">
      <c r="A40" s="99">
        <v>63</v>
      </c>
      <c r="B40" s="117">
        <v>0.92700000000000005</v>
      </c>
      <c r="C40" s="117">
        <v>0.93</v>
      </c>
      <c r="D40" s="117">
        <v>0.93300000000000005</v>
      </c>
      <c r="E40" s="117">
        <v>0.93700000000000006</v>
      </c>
      <c r="F40" s="117">
        <v>0.94</v>
      </c>
      <c r="G40" s="117">
        <v>0.94299999999999995</v>
      </c>
      <c r="H40" s="117">
        <v>0.94599999999999995</v>
      </c>
      <c r="I40" s="117">
        <v>0.94899999999999995</v>
      </c>
      <c r="J40" s="117">
        <v>0.95199999999999996</v>
      </c>
      <c r="K40" s="117">
        <v>0.95499999999999996</v>
      </c>
      <c r="L40" s="117">
        <v>0.95799999999999996</v>
      </c>
      <c r="M40" s="117">
        <v>0.96099999999999997</v>
      </c>
    </row>
    <row r="41" spans="1:13" x14ac:dyDescent="0.25">
      <c r="A41" s="99">
        <v>64</v>
      </c>
      <c r="B41" s="117">
        <v>0.96399999999999997</v>
      </c>
      <c r="C41" s="117">
        <v>0.96699999999999997</v>
      </c>
      <c r="D41" s="117">
        <v>0.97</v>
      </c>
      <c r="E41" s="117">
        <v>0.97299999999999998</v>
      </c>
      <c r="F41" s="117">
        <v>0.97599999999999998</v>
      </c>
      <c r="G41" s="117">
        <v>0.97899999999999998</v>
      </c>
      <c r="H41" s="117">
        <v>0.98199999999999998</v>
      </c>
      <c r="I41" s="117">
        <v>0.98499999999999999</v>
      </c>
      <c r="J41" s="117">
        <v>0.98799999999999999</v>
      </c>
      <c r="K41" s="117">
        <v>0.99099999999999999</v>
      </c>
      <c r="L41" s="117">
        <v>0.99399999999999999</v>
      </c>
      <c r="M41" s="117">
        <v>0.997</v>
      </c>
    </row>
    <row r="42" spans="1:13" x14ac:dyDescent="0.25">
      <c r="A42" s="99">
        <v>65</v>
      </c>
      <c r="B42" s="117">
        <v>1</v>
      </c>
      <c r="C42" s="117"/>
      <c r="D42" s="117"/>
      <c r="E42" s="117"/>
      <c r="F42" s="117"/>
      <c r="G42" s="117"/>
      <c r="H42" s="117"/>
      <c r="I42" s="117"/>
      <c r="J42" s="117"/>
      <c r="K42" s="117"/>
      <c r="L42" s="117"/>
      <c r="M42" s="117"/>
    </row>
    <row r="44" spans="1:13" ht="39.65" customHeight="1" x14ac:dyDescent="0.25"/>
    <row r="46" spans="1:13" ht="27.65" customHeight="1" x14ac:dyDescent="0.25"/>
  </sheetData>
  <sheetProtection algorithmName="SHA-512" hashValue="gm2O/bZCPGboEOc1ZwxVbLQ1il1JXX56I6FtbUkqBkdfS73uN/3Jo9JcyiepHx+a8I2wJPPSa468CWFOMratLQ==" saltValue="qLddahsF4ZU+fzMMSj/RJA==" spinCount="100000" sheet="1" objects="1" scenarios="1"/>
  <conditionalFormatting sqref="A6:A21">
    <cfRule type="expression" dxfId="791" priority="7" stopIfTrue="1">
      <formula>MOD(ROW(),2)=0</formula>
    </cfRule>
    <cfRule type="expression" dxfId="790" priority="8" stopIfTrue="1">
      <formula>MOD(ROW(),2)&lt;&gt;0</formula>
    </cfRule>
  </conditionalFormatting>
  <conditionalFormatting sqref="A26:A42">
    <cfRule type="expression" dxfId="789" priority="1" stopIfTrue="1">
      <formula>MOD(ROW(),2)=0</formula>
    </cfRule>
    <cfRule type="expression" dxfId="788" priority="2" stopIfTrue="1">
      <formula>MOD(ROW(),2)&lt;&gt;0</formula>
    </cfRule>
  </conditionalFormatting>
  <conditionalFormatting sqref="B17:B21">
    <cfRule type="expression" dxfId="787" priority="5" stopIfTrue="1">
      <formula>MOD(ROW(),2)=0</formula>
    </cfRule>
    <cfRule type="expression" dxfId="786" priority="6" stopIfTrue="1">
      <formula>MOD(ROW(),2)&lt;&gt;0</formula>
    </cfRule>
  </conditionalFormatting>
  <conditionalFormatting sqref="B6:M21">
    <cfRule type="expression" dxfId="785" priority="15" stopIfTrue="1">
      <formula>MOD(ROW(),2)=0</formula>
    </cfRule>
    <cfRule type="expression" dxfId="784" priority="16" stopIfTrue="1">
      <formula>MOD(ROW(),2)&lt;&gt;0</formula>
    </cfRule>
  </conditionalFormatting>
  <conditionalFormatting sqref="B26:M42">
    <cfRule type="expression" dxfId="783" priority="3" stopIfTrue="1">
      <formula>MOD(ROW(),2)=0</formula>
    </cfRule>
    <cfRule type="expression" dxfId="782" priority="4" stopIfTrue="1">
      <formula>MOD(ROW(),2)&lt;&gt;0</formula>
    </cfRule>
  </conditionalFormatting>
  <hyperlinks>
    <hyperlink ref="B24" location="Assumptions!A1" display="Assumptions" xr:uid="{1A6672C9-E77D-4A6D-812F-CE32452BB34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1"/>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x-407</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75</v>
      </c>
      <c r="C8" s="161"/>
      <c r="D8" s="161"/>
      <c r="E8" s="161"/>
      <c r="F8" s="161"/>
      <c r="G8" s="161"/>
      <c r="H8" s="161"/>
      <c r="I8" s="161"/>
      <c r="J8" s="161"/>
      <c r="K8" s="161"/>
      <c r="L8" s="161"/>
      <c r="M8" s="161"/>
    </row>
    <row r="9" spans="1:13" x14ac:dyDescent="0.25">
      <c r="A9" s="85" t="s">
        <v>282</v>
      </c>
      <c r="B9" s="161" t="s">
        <v>396</v>
      </c>
      <c r="C9" s="161"/>
      <c r="D9" s="161"/>
      <c r="E9" s="161"/>
      <c r="F9" s="161"/>
      <c r="G9" s="161"/>
      <c r="H9" s="161"/>
      <c r="I9" s="161"/>
      <c r="J9" s="161"/>
      <c r="K9" s="161"/>
      <c r="L9" s="161"/>
      <c r="M9" s="161"/>
    </row>
    <row r="10" spans="1:13" x14ac:dyDescent="0.25">
      <c r="A10" s="85" t="s">
        <v>6</v>
      </c>
      <c r="B10" s="161" t="s">
        <v>423</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398</v>
      </c>
      <c r="C12" s="161"/>
      <c r="D12" s="161"/>
      <c r="E12" s="161"/>
      <c r="F12" s="161"/>
      <c r="G12" s="161"/>
      <c r="H12" s="161"/>
      <c r="I12" s="161"/>
      <c r="J12" s="161"/>
      <c r="K12" s="161"/>
      <c r="L12" s="161"/>
      <c r="M12" s="161"/>
    </row>
    <row r="13" spans="1:13" x14ac:dyDescent="0.25">
      <c r="A13" s="85" t="s">
        <v>289</v>
      </c>
      <c r="B13" s="161">
        <v>1</v>
      </c>
      <c r="C13" s="161"/>
      <c r="D13" s="161"/>
      <c r="E13" s="161"/>
      <c r="F13" s="161"/>
      <c r="G13" s="161"/>
      <c r="H13" s="161"/>
      <c r="I13" s="161"/>
      <c r="J13" s="161"/>
      <c r="K13" s="161"/>
      <c r="L13" s="161"/>
      <c r="M13" s="161"/>
    </row>
    <row r="14" spans="1:13" x14ac:dyDescent="0.25">
      <c r="A14" s="85" t="s">
        <v>291</v>
      </c>
      <c r="B14" s="161">
        <v>407</v>
      </c>
      <c r="C14" s="161"/>
      <c r="D14" s="161"/>
      <c r="E14" s="161"/>
      <c r="F14" s="161"/>
      <c r="G14" s="161"/>
      <c r="H14" s="161"/>
      <c r="I14" s="161"/>
      <c r="J14" s="161"/>
      <c r="K14" s="161"/>
      <c r="L14" s="161"/>
      <c r="M14" s="161"/>
    </row>
    <row r="15" spans="1:13" x14ac:dyDescent="0.25">
      <c r="A15" s="85" t="s">
        <v>293</v>
      </c>
      <c r="B15" s="161" t="s">
        <v>424</v>
      </c>
      <c r="C15" s="161"/>
      <c r="D15" s="161"/>
      <c r="E15" s="161"/>
      <c r="F15" s="161"/>
      <c r="G15" s="161"/>
      <c r="H15" s="161"/>
      <c r="I15" s="161"/>
      <c r="J15" s="161"/>
      <c r="K15" s="161"/>
      <c r="L15" s="161"/>
      <c r="M15" s="161"/>
    </row>
    <row r="16" spans="1:13" x14ac:dyDescent="0.25">
      <c r="A16" s="85" t="s">
        <v>295</v>
      </c>
      <c r="B16" s="161" t="s">
        <v>425</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45107</v>
      </c>
      <c r="C18" s="161"/>
      <c r="D18" s="161"/>
      <c r="E18" s="161"/>
      <c r="F18" s="161"/>
      <c r="G18" s="161"/>
      <c r="H18" s="161"/>
      <c r="I18" s="161"/>
      <c r="J18" s="161"/>
      <c r="K18" s="161"/>
      <c r="L18" s="161"/>
      <c r="M18" s="161"/>
    </row>
    <row r="19" spans="1:13" x14ac:dyDescent="0.25">
      <c r="A19" s="85" t="s">
        <v>301</v>
      </c>
      <c r="B19" s="162">
        <v>45107</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50</v>
      </c>
      <c r="B27" s="117">
        <v>0.84499999999999997</v>
      </c>
      <c r="C27" s="117">
        <v>0.84599999999999997</v>
      </c>
      <c r="D27" s="117">
        <v>0.84699999999999998</v>
      </c>
      <c r="E27" s="117">
        <v>0.84799999999999998</v>
      </c>
      <c r="F27" s="117">
        <v>0.85</v>
      </c>
      <c r="G27" s="117">
        <v>0.85099999999999998</v>
      </c>
      <c r="H27" s="117">
        <v>0.85199999999999998</v>
      </c>
      <c r="I27" s="117">
        <v>0.85299999999999998</v>
      </c>
      <c r="J27" s="117">
        <v>0.85399999999999998</v>
      </c>
      <c r="K27" s="117">
        <v>0.85599999999999998</v>
      </c>
      <c r="L27" s="117">
        <v>0.85699999999999998</v>
      </c>
      <c r="M27" s="117">
        <v>0.85799999999999998</v>
      </c>
    </row>
    <row r="28" spans="1:13" x14ac:dyDescent="0.25">
      <c r="A28" s="99">
        <v>51</v>
      </c>
      <c r="B28" s="117">
        <v>0.85899999999999999</v>
      </c>
      <c r="C28" s="117">
        <v>0.86</v>
      </c>
      <c r="D28" s="117">
        <v>0.86199999999999999</v>
      </c>
      <c r="E28" s="117">
        <v>0.86299999999999999</v>
      </c>
      <c r="F28" s="117">
        <v>0.86399999999999999</v>
      </c>
      <c r="G28" s="117">
        <v>0.86499999999999999</v>
      </c>
      <c r="H28" s="117">
        <v>0.86699999999999999</v>
      </c>
      <c r="I28" s="117">
        <v>0.86799999999999999</v>
      </c>
      <c r="J28" s="117">
        <v>0.86899999999999999</v>
      </c>
      <c r="K28" s="117">
        <v>0.87</v>
      </c>
      <c r="L28" s="117">
        <v>0.871</v>
      </c>
      <c r="M28" s="117">
        <v>0.873</v>
      </c>
    </row>
    <row r="29" spans="1:13" x14ac:dyDescent="0.25">
      <c r="A29" s="99">
        <v>52</v>
      </c>
      <c r="B29" s="117">
        <v>0.874</v>
      </c>
      <c r="C29" s="117">
        <v>0.875</v>
      </c>
      <c r="D29" s="117">
        <v>0.876</v>
      </c>
      <c r="E29" s="117">
        <v>0.878</v>
      </c>
      <c r="F29" s="117">
        <v>0.879</v>
      </c>
      <c r="G29" s="117">
        <v>0.88</v>
      </c>
      <c r="H29" s="117">
        <v>0.88100000000000001</v>
      </c>
      <c r="I29" s="117">
        <v>0.88300000000000001</v>
      </c>
      <c r="J29" s="117">
        <v>0.88400000000000001</v>
      </c>
      <c r="K29" s="117">
        <v>0.88500000000000001</v>
      </c>
      <c r="L29" s="117">
        <v>0.88600000000000001</v>
      </c>
      <c r="M29" s="117">
        <v>0.88700000000000001</v>
      </c>
    </row>
    <row r="30" spans="1:13" x14ac:dyDescent="0.25">
      <c r="A30" s="99">
        <v>53</v>
      </c>
      <c r="B30" s="117">
        <v>0.88900000000000001</v>
      </c>
      <c r="C30" s="117">
        <v>0.89</v>
      </c>
      <c r="D30" s="117">
        <v>0.89100000000000001</v>
      </c>
      <c r="E30" s="117">
        <v>0.89200000000000002</v>
      </c>
      <c r="F30" s="117">
        <v>0.89400000000000002</v>
      </c>
      <c r="G30" s="117">
        <v>0.89500000000000002</v>
      </c>
      <c r="H30" s="117">
        <v>0.89600000000000002</v>
      </c>
      <c r="I30" s="117">
        <v>0.89800000000000002</v>
      </c>
      <c r="J30" s="117">
        <v>0.89900000000000002</v>
      </c>
      <c r="K30" s="117">
        <v>0.9</v>
      </c>
      <c r="L30" s="117">
        <v>0.90100000000000002</v>
      </c>
      <c r="M30" s="117">
        <v>0.90300000000000002</v>
      </c>
    </row>
    <row r="31" spans="1:13" x14ac:dyDescent="0.25">
      <c r="A31" s="99">
        <v>54</v>
      </c>
      <c r="B31" s="117">
        <v>0.90400000000000003</v>
      </c>
      <c r="C31" s="117">
        <v>0.90500000000000003</v>
      </c>
      <c r="D31" s="117">
        <v>0.90600000000000003</v>
      </c>
      <c r="E31" s="117">
        <v>0.90800000000000003</v>
      </c>
      <c r="F31" s="117">
        <v>0.90900000000000003</v>
      </c>
      <c r="G31" s="117">
        <v>0.91</v>
      </c>
      <c r="H31" s="117">
        <v>0.91100000000000003</v>
      </c>
      <c r="I31" s="117">
        <v>0.91300000000000003</v>
      </c>
      <c r="J31" s="117">
        <v>0.91400000000000003</v>
      </c>
      <c r="K31" s="117">
        <v>0.91500000000000004</v>
      </c>
      <c r="L31" s="117">
        <v>0.91700000000000004</v>
      </c>
      <c r="M31" s="117">
        <v>0.91800000000000004</v>
      </c>
    </row>
    <row r="32" spans="1:13" x14ac:dyDescent="0.25">
      <c r="A32" s="99">
        <v>55</v>
      </c>
      <c r="B32" s="117">
        <v>0.91900000000000004</v>
      </c>
      <c r="C32" s="117">
        <v>0.92</v>
      </c>
      <c r="D32" s="117">
        <v>0.92200000000000004</v>
      </c>
      <c r="E32" s="117">
        <v>0.92300000000000004</v>
      </c>
      <c r="F32" s="117">
        <v>0.92400000000000004</v>
      </c>
      <c r="G32" s="117">
        <v>0.92600000000000005</v>
      </c>
      <c r="H32" s="117">
        <v>0.92700000000000005</v>
      </c>
      <c r="I32" s="117">
        <v>0.92800000000000005</v>
      </c>
      <c r="J32" s="117">
        <v>0.93</v>
      </c>
      <c r="K32" s="117">
        <v>0.93100000000000005</v>
      </c>
      <c r="L32" s="117">
        <v>0.93200000000000005</v>
      </c>
      <c r="M32" s="117">
        <v>0.93300000000000005</v>
      </c>
    </row>
    <row r="33" spans="1:13" x14ac:dyDescent="0.25">
      <c r="A33" s="99">
        <v>56</v>
      </c>
      <c r="B33" s="117">
        <v>0.93500000000000005</v>
      </c>
      <c r="C33" s="117">
        <v>0.93600000000000005</v>
      </c>
      <c r="D33" s="117">
        <v>0.93700000000000006</v>
      </c>
      <c r="E33" s="117">
        <v>0.93899999999999995</v>
      </c>
      <c r="F33" s="117">
        <v>0.94</v>
      </c>
      <c r="G33" s="117">
        <v>0.94099999999999995</v>
      </c>
      <c r="H33" s="117">
        <v>0.94299999999999995</v>
      </c>
      <c r="I33" s="117">
        <v>0.94399999999999995</v>
      </c>
      <c r="J33" s="117">
        <v>0.94499999999999995</v>
      </c>
      <c r="K33" s="117">
        <v>0.94699999999999995</v>
      </c>
      <c r="L33" s="117">
        <v>0.94799999999999995</v>
      </c>
      <c r="M33" s="117">
        <v>0.94899999999999995</v>
      </c>
    </row>
    <row r="34" spans="1:13" x14ac:dyDescent="0.25">
      <c r="A34" s="99">
        <v>57</v>
      </c>
      <c r="B34" s="117">
        <v>0.95099999999999996</v>
      </c>
      <c r="C34" s="117">
        <v>0.95199999999999996</v>
      </c>
      <c r="D34" s="117">
        <v>0.95299999999999996</v>
      </c>
      <c r="E34" s="117">
        <v>0.95499999999999996</v>
      </c>
      <c r="F34" s="117">
        <v>0.95599999999999996</v>
      </c>
      <c r="G34" s="117">
        <v>0.95699999999999996</v>
      </c>
      <c r="H34" s="117">
        <v>0.95899999999999996</v>
      </c>
      <c r="I34" s="117">
        <v>0.96</v>
      </c>
      <c r="J34" s="117">
        <v>0.96099999999999997</v>
      </c>
      <c r="K34" s="117">
        <v>0.96299999999999997</v>
      </c>
      <c r="L34" s="117">
        <v>0.96399999999999997</v>
      </c>
      <c r="M34" s="117">
        <v>0.96599999999999997</v>
      </c>
    </row>
    <row r="35" spans="1:13" x14ac:dyDescent="0.25">
      <c r="A35" s="99">
        <v>58</v>
      </c>
      <c r="B35" s="117">
        <v>0.96699999999999997</v>
      </c>
      <c r="C35" s="117">
        <v>0.96799999999999997</v>
      </c>
      <c r="D35" s="117">
        <v>0.97</v>
      </c>
      <c r="E35" s="117">
        <v>0.97099999999999997</v>
      </c>
      <c r="F35" s="117">
        <v>0.97199999999999998</v>
      </c>
      <c r="G35" s="117">
        <v>0.97399999999999998</v>
      </c>
      <c r="H35" s="117">
        <v>0.97499999999999998</v>
      </c>
      <c r="I35" s="117">
        <v>0.97599999999999998</v>
      </c>
      <c r="J35" s="117">
        <v>0.97799999999999998</v>
      </c>
      <c r="K35" s="117">
        <v>0.97899999999999998</v>
      </c>
      <c r="L35" s="117">
        <v>0.98099999999999998</v>
      </c>
      <c r="M35" s="117">
        <v>0.98199999999999998</v>
      </c>
    </row>
    <row r="36" spans="1:13" x14ac:dyDescent="0.25">
      <c r="A36" s="99">
        <v>59</v>
      </c>
      <c r="B36" s="117">
        <v>0.98299999999999998</v>
      </c>
      <c r="C36" s="117">
        <v>0.98499999999999999</v>
      </c>
      <c r="D36" s="117">
        <v>0.98599999999999999</v>
      </c>
      <c r="E36" s="117">
        <v>0.98699999999999999</v>
      </c>
      <c r="F36" s="117">
        <v>0.98899999999999999</v>
      </c>
      <c r="G36" s="117">
        <v>0.99</v>
      </c>
      <c r="H36" s="117">
        <v>0.99199999999999999</v>
      </c>
      <c r="I36" s="117">
        <v>0.99299999999999999</v>
      </c>
      <c r="J36" s="117">
        <v>0.99399999999999999</v>
      </c>
      <c r="K36" s="117">
        <v>0.996</v>
      </c>
      <c r="L36" s="117">
        <v>0.997</v>
      </c>
      <c r="M36" s="117">
        <v>0.999</v>
      </c>
    </row>
    <row r="37" spans="1:13" x14ac:dyDescent="0.25">
      <c r="A37" s="99">
        <v>60</v>
      </c>
      <c r="B37" s="117">
        <v>1</v>
      </c>
      <c r="C37" s="117"/>
      <c r="D37" s="117"/>
      <c r="E37" s="117"/>
      <c r="F37" s="117"/>
      <c r="G37" s="117"/>
      <c r="H37" s="117"/>
      <c r="I37" s="117"/>
      <c r="J37" s="117"/>
      <c r="K37" s="117"/>
      <c r="L37" s="117"/>
      <c r="M37" s="117"/>
    </row>
    <row r="44" spans="1:13" ht="39.65" customHeight="1" x14ac:dyDescent="0.25"/>
    <row r="46" spans="1:13" ht="27.65" customHeight="1" x14ac:dyDescent="0.25"/>
  </sheetData>
  <sheetProtection algorithmName="SHA-512" hashValue="xvf+rPmjUPwzvJjWIgI1gjZ4yCdDmpFmDIewAL2MjqdouUwdWPr2J8jYFQrVY3Md6OyJEOrWsDDvexvy6fVXiQ==" saltValue="sdLumvIlPE0xLyCdGNUkbg==" spinCount="100000" sheet="1" objects="1" scenarios="1"/>
  <conditionalFormatting sqref="A6:A21">
    <cfRule type="expression" dxfId="781" priority="7" stopIfTrue="1">
      <formula>MOD(ROW(),2)=0</formula>
    </cfRule>
    <cfRule type="expression" dxfId="780" priority="8" stopIfTrue="1">
      <formula>MOD(ROW(),2)&lt;&gt;0</formula>
    </cfRule>
  </conditionalFormatting>
  <conditionalFormatting sqref="A26:A37">
    <cfRule type="expression" dxfId="779" priority="1" stopIfTrue="1">
      <formula>MOD(ROW(),2)=0</formula>
    </cfRule>
    <cfRule type="expression" dxfId="778" priority="2" stopIfTrue="1">
      <formula>MOD(ROW(),2)&lt;&gt;0</formula>
    </cfRule>
  </conditionalFormatting>
  <conditionalFormatting sqref="B17:B21">
    <cfRule type="expression" dxfId="777" priority="5" stopIfTrue="1">
      <formula>MOD(ROW(),2)=0</formula>
    </cfRule>
    <cfRule type="expression" dxfId="776" priority="6" stopIfTrue="1">
      <formula>MOD(ROW(),2)&lt;&gt;0</formula>
    </cfRule>
  </conditionalFormatting>
  <conditionalFormatting sqref="B6:M21">
    <cfRule type="expression" dxfId="775" priority="15" stopIfTrue="1">
      <formula>MOD(ROW(),2)=0</formula>
    </cfRule>
    <cfRule type="expression" dxfId="774" priority="16" stopIfTrue="1">
      <formula>MOD(ROW(),2)&lt;&gt;0</formula>
    </cfRule>
  </conditionalFormatting>
  <conditionalFormatting sqref="B26:M37">
    <cfRule type="expression" dxfId="773" priority="3" stopIfTrue="1">
      <formula>MOD(ROW(),2)=0</formula>
    </cfRule>
    <cfRule type="expression" dxfId="772" priority="4" stopIfTrue="1">
      <formula>MOD(ROW(),2)&lt;&gt;0</formula>
    </cfRule>
  </conditionalFormatting>
  <hyperlinks>
    <hyperlink ref="B24" location="Assumptions!A1" display="Assumptions" xr:uid="{D2E67966-2CAC-4292-BC27-2995D4012BA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theme="4"/>
  </sheetPr>
  <dimension ref="A1:H224"/>
  <sheetViews>
    <sheetView view="pageBreakPreview" zoomScale="60" zoomScaleNormal="100" workbookViewId="0">
      <selection activeCell="E10" sqref="E10:F224"/>
    </sheetView>
  </sheetViews>
  <sheetFormatPr defaultRowHeight="12.5" x14ac:dyDescent="0.25"/>
  <cols>
    <col min="2" max="2" width="3.453125" style="11" customWidth="1"/>
    <col min="3" max="3" width="7" style="11" customWidth="1"/>
    <col min="4" max="4" width="62" customWidth="1"/>
    <col min="5" max="5" width="13.90625" style="11" customWidth="1"/>
    <col min="6" max="6" width="14.08984375" style="11" customWidth="1"/>
  </cols>
  <sheetData>
    <row r="1" spans="1:8" ht="20" x14ac:dyDescent="0.4">
      <c r="A1" s="3" t="s">
        <v>0</v>
      </c>
      <c r="B1" s="12"/>
      <c r="C1" s="12"/>
      <c r="D1" s="9"/>
      <c r="E1" s="12"/>
      <c r="F1" s="12"/>
      <c r="G1" s="9"/>
      <c r="H1" s="9"/>
    </row>
    <row r="2" spans="1:8" ht="15.5" x14ac:dyDescent="0.35">
      <c r="A2" s="10" t="str">
        <f>IF(title="&gt; Enter workbook title here","Enter workbook title in Cover sheet",title)</f>
        <v>NHSPS_NI - Consolidated Factor Spreadsheet</v>
      </c>
      <c r="B2" s="13"/>
      <c r="C2" s="13"/>
      <c r="D2" s="8"/>
      <c r="E2" s="13"/>
      <c r="F2" s="13"/>
      <c r="G2" s="8"/>
      <c r="H2" s="8"/>
    </row>
    <row r="3" spans="1:8" ht="15.5" x14ac:dyDescent="0.35">
      <c r="A3" s="5" t="s">
        <v>70</v>
      </c>
      <c r="B3" s="13"/>
      <c r="C3" s="13"/>
      <c r="D3" s="8"/>
      <c r="E3" s="13"/>
      <c r="F3" s="13"/>
      <c r="G3" s="8"/>
      <c r="H3" s="8"/>
    </row>
    <row r="4" spans="1:8" x14ac:dyDescent="0.25">
      <c r="A4" s="6" t="str">
        <f ca="1">CELL("filename",A1)</f>
        <v>https://tris42.sharepoint.com/sites/gad_wrkgrp_actuarial/pspsactuarialwork/Central/Factors &amp; Guidance/2024 Guidance Review/4. Online portal/3. Import data/3. Factor tables/0_client_friendly/Ready to be uploaded/2025-03/[NHS NI Consolidated Factors 2025-02.xlsx]Summary - NHSPS_EW</v>
      </c>
    </row>
    <row r="7" spans="1:8" ht="13" x14ac:dyDescent="0.3">
      <c r="E7" s="28" t="s">
        <v>71</v>
      </c>
      <c r="F7" s="28" t="s">
        <v>72</v>
      </c>
    </row>
    <row r="8" spans="1:8" ht="13" x14ac:dyDescent="0.3">
      <c r="B8" s="30" t="s">
        <v>73</v>
      </c>
      <c r="C8" s="19"/>
      <c r="D8" s="14"/>
      <c r="E8" s="29" t="s">
        <v>74</v>
      </c>
      <c r="F8" s="29" t="s">
        <v>75</v>
      </c>
    </row>
    <row r="9" spans="1:8" x14ac:dyDescent="0.25">
      <c r="B9" s="21"/>
      <c r="C9" s="20"/>
      <c r="D9" s="16"/>
      <c r="E9" s="15"/>
      <c r="F9" s="15"/>
    </row>
    <row r="10" spans="1:8" ht="13" x14ac:dyDescent="0.3">
      <c r="B10" s="31" t="s">
        <v>76</v>
      </c>
      <c r="D10" s="17"/>
      <c r="E10" s="32"/>
      <c r="F10" s="32"/>
    </row>
    <row r="11" spans="1:8" x14ac:dyDescent="0.25">
      <c r="B11" s="22" t="s">
        <v>77</v>
      </c>
      <c r="C11" s="11">
        <v>101</v>
      </c>
      <c r="D11" s="17"/>
      <c r="E11" s="32"/>
      <c r="F11" s="32"/>
    </row>
    <row r="12" spans="1:8" x14ac:dyDescent="0.25">
      <c r="B12" s="22" t="s">
        <v>77</v>
      </c>
      <c r="C12" s="11">
        <v>102</v>
      </c>
      <c r="D12" s="17"/>
      <c r="E12" s="32"/>
      <c r="F12" s="32"/>
    </row>
    <row r="13" spans="1:8" x14ac:dyDescent="0.25">
      <c r="B13" s="22" t="s">
        <v>77</v>
      </c>
      <c r="C13" s="11">
        <v>103</v>
      </c>
      <c r="D13" s="17"/>
      <c r="E13" s="32"/>
      <c r="F13" s="32"/>
    </row>
    <row r="14" spans="1:8" x14ac:dyDescent="0.25">
      <c r="B14" s="22" t="s">
        <v>77</v>
      </c>
      <c r="C14" s="11">
        <v>104</v>
      </c>
      <c r="D14" s="17"/>
      <c r="E14" s="32"/>
      <c r="F14" s="32"/>
    </row>
    <row r="15" spans="1:8" x14ac:dyDescent="0.25">
      <c r="B15" s="22" t="s">
        <v>77</v>
      </c>
      <c r="C15" s="11">
        <v>105</v>
      </c>
      <c r="D15" s="17"/>
      <c r="E15" s="32"/>
      <c r="F15" s="32"/>
    </row>
    <row r="16" spans="1:8" x14ac:dyDescent="0.25">
      <c r="B16" s="22" t="s">
        <v>77</v>
      </c>
      <c r="C16" s="11">
        <v>106</v>
      </c>
      <c r="D16" s="17"/>
      <c r="E16" s="32"/>
      <c r="F16" s="32"/>
    </row>
    <row r="17" spans="2:7" x14ac:dyDescent="0.25">
      <c r="B17" s="22" t="s">
        <v>77</v>
      </c>
      <c r="C17" s="11">
        <v>107</v>
      </c>
      <c r="D17" s="17"/>
      <c r="E17" s="32"/>
      <c r="F17" s="32"/>
    </row>
    <row r="18" spans="2:7" x14ac:dyDescent="0.25">
      <c r="B18" s="22" t="s">
        <v>77</v>
      </c>
      <c r="C18" s="11">
        <v>108</v>
      </c>
      <c r="D18" s="17"/>
      <c r="E18" s="32"/>
      <c r="F18" s="32"/>
    </row>
    <row r="19" spans="2:7" x14ac:dyDescent="0.25">
      <c r="B19" s="22" t="s">
        <v>77</v>
      </c>
      <c r="C19" s="11">
        <v>109</v>
      </c>
      <c r="D19" s="17"/>
      <c r="E19" s="32"/>
      <c r="F19" s="32"/>
    </row>
    <row r="20" spans="2:7" x14ac:dyDescent="0.25">
      <c r="B20" s="22" t="s">
        <v>77</v>
      </c>
      <c r="C20" s="11">
        <v>110</v>
      </c>
      <c r="D20" s="17"/>
      <c r="E20" s="32"/>
      <c r="F20" s="32"/>
    </row>
    <row r="21" spans="2:7" x14ac:dyDescent="0.25">
      <c r="B21" s="22" t="s">
        <v>77</v>
      </c>
      <c r="C21" s="11">
        <v>111</v>
      </c>
      <c r="D21" s="17"/>
      <c r="E21" s="32"/>
      <c r="F21" s="32"/>
    </row>
    <row r="22" spans="2:7" x14ac:dyDescent="0.25">
      <c r="B22" s="22" t="s">
        <v>77</v>
      </c>
      <c r="C22" s="11">
        <v>112</v>
      </c>
      <c r="D22" s="17"/>
      <c r="E22" s="32"/>
      <c r="F22" s="32"/>
    </row>
    <row r="23" spans="2:7" x14ac:dyDescent="0.25">
      <c r="B23" s="22" t="s">
        <v>77</v>
      </c>
      <c r="C23" s="11">
        <v>113</v>
      </c>
      <c r="D23" s="17"/>
      <c r="E23" s="32"/>
      <c r="F23" s="32"/>
    </row>
    <row r="24" spans="2:7" x14ac:dyDescent="0.25">
      <c r="B24" s="22" t="s">
        <v>77</v>
      </c>
      <c r="C24" s="11">
        <v>114</v>
      </c>
      <c r="D24" s="17"/>
      <c r="E24" s="32"/>
      <c r="F24" s="32"/>
    </row>
    <row r="25" spans="2:7" x14ac:dyDescent="0.25">
      <c r="B25" s="22" t="s">
        <v>77</v>
      </c>
      <c r="C25" s="11">
        <v>115</v>
      </c>
      <c r="D25" s="17"/>
      <c r="E25" s="32"/>
      <c r="F25" s="32"/>
    </row>
    <row r="26" spans="2:7" x14ac:dyDescent="0.25">
      <c r="B26" s="22" t="s">
        <v>77</v>
      </c>
      <c r="C26" s="11">
        <v>116</v>
      </c>
      <c r="D26" s="17"/>
      <c r="E26" s="32"/>
      <c r="F26" s="32"/>
    </row>
    <row r="27" spans="2:7" x14ac:dyDescent="0.25">
      <c r="B27" s="22" t="s">
        <v>77</v>
      </c>
      <c r="C27" s="11">
        <v>117</v>
      </c>
      <c r="D27" s="17"/>
      <c r="E27" s="32"/>
      <c r="F27" s="32"/>
    </row>
    <row r="28" spans="2:7" x14ac:dyDescent="0.25">
      <c r="B28" s="22" t="s">
        <v>77</v>
      </c>
      <c r="C28" s="11">
        <v>118</v>
      </c>
      <c r="D28" s="17"/>
      <c r="E28" s="32"/>
      <c r="F28" s="32"/>
    </row>
    <row r="29" spans="2:7" x14ac:dyDescent="0.25">
      <c r="B29" s="22" t="s">
        <v>77</v>
      </c>
      <c r="C29" s="11">
        <v>119</v>
      </c>
      <c r="D29" s="17"/>
      <c r="E29" s="32"/>
      <c r="F29" s="32"/>
    </row>
    <row r="30" spans="2:7" x14ac:dyDescent="0.25">
      <c r="B30" s="22" t="s">
        <v>77</v>
      </c>
      <c r="C30" s="11">
        <v>120</v>
      </c>
      <c r="D30" s="17"/>
      <c r="E30" s="32"/>
      <c r="F30" s="32"/>
    </row>
    <row r="31" spans="2:7" x14ac:dyDescent="0.25">
      <c r="B31" s="22" t="s">
        <v>77</v>
      </c>
      <c r="C31" s="11">
        <v>121</v>
      </c>
      <c r="E31" s="33"/>
      <c r="F31" s="33"/>
      <c r="G31" s="27"/>
    </row>
    <row r="32" spans="2:7" x14ac:dyDescent="0.25">
      <c r="B32" s="22" t="s">
        <v>77</v>
      </c>
      <c r="C32" s="11">
        <v>122</v>
      </c>
      <c r="D32" s="17"/>
      <c r="E32" s="32"/>
      <c r="F32" s="32"/>
    </row>
    <row r="33" spans="2:7" x14ac:dyDescent="0.25">
      <c r="B33" s="22" t="s">
        <v>77</v>
      </c>
      <c r="C33" s="11">
        <v>123</v>
      </c>
      <c r="D33" s="17"/>
      <c r="E33" s="32"/>
      <c r="F33" s="32"/>
    </row>
    <row r="34" spans="2:7" x14ac:dyDescent="0.25">
      <c r="B34" s="22" t="s">
        <v>77</v>
      </c>
      <c r="C34" s="11">
        <v>124</v>
      </c>
      <c r="D34" s="17"/>
      <c r="E34" s="32"/>
      <c r="F34" s="32"/>
    </row>
    <row r="35" spans="2:7" x14ac:dyDescent="0.25">
      <c r="B35" s="22" t="s">
        <v>77</v>
      </c>
      <c r="C35" s="11">
        <v>125</v>
      </c>
      <c r="D35" s="17"/>
      <c r="E35" s="32"/>
      <c r="F35" s="32"/>
      <c r="G35" s="26"/>
    </row>
    <row r="36" spans="2:7" x14ac:dyDescent="0.25">
      <c r="B36" s="23"/>
      <c r="C36" s="20"/>
      <c r="D36" s="16"/>
      <c r="E36" s="34"/>
      <c r="F36" s="34"/>
    </row>
    <row r="37" spans="2:7" ht="13" x14ac:dyDescent="0.3">
      <c r="B37" s="31" t="s">
        <v>78</v>
      </c>
      <c r="D37" s="17"/>
      <c r="E37" s="32"/>
      <c r="F37" s="32"/>
    </row>
    <row r="38" spans="2:7" x14ac:dyDescent="0.25">
      <c r="B38" s="22" t="s">
        <v>77</v>
      </c>
      <c r="C38" s="11">
        <v>201</v>
      </c>
      <c r="D38" s="17"/>
      <c r="E38" s="32"/>
      <c r="F38" s="32"/>
    </row>
    <row r="39" spans="2:7" x14ac:dyDescent="0.25">
      <c r="B39" s="22" t="s">
        <v>77</v>
      </c>
      <c r="C39" s="11">
        <v>202</v>
      </c>
      <c r="D39" s="17"/>
      <c r="E39" s="32"/>
      <c r="F39" s="32"/>
    </row>
    <row r="40" spans="2:7" x14ac:dyDescent="0.25">
      <c r="B40" s="22" t="s">
        <v>77</v>
      </c>
      <c r="C40" s="11">
        <v>203</v>
      </c>
      <c r="D40" s="17"/>
      <c r="E40" s="32"/>
      <c r="F40" s="32"/>
    </row>
    <row r="41" spans="2:7" x14ac:dyDescent="0.25">
      <c r="B41" s="22" t="s">
        <v>77</v>
      </c>
      <c r="C41" s="11">
        <v>204</v>
      </c>
      <c r="D41" s="17"/>
      <c r="E41" s="32"/>
      <c r="F41" s="32"/>
    </row>
    <row r="42" spans="2:7" x14ac:dyDescent="0.25">
      <c r="B42" s="22" t="s">
        <v>77</v>
      </c>
      <c r="C42" s="11">
        <v>205</v>
      </c>
      <c r="D42" s="17"/>
      <c r="E42" s="32"/>
      <c r="F42" s="32"/>
    </row>
    <row r="43" spans="2:7" x14ac:dyDescent="0.25">
      <c r="B43" s="22" t="s">
        <v>77</v>
      </c>
      <c r="C43" s="11">
        <v>206</v>
      </c>
      <c r="D43" s="17"/>
      <c r="E43" s="32"/>
      <c r="F43" s="32"/>
    </row>
    <row r="44" spans="2:7" x14ac:dyDescent="0.25">
      <c r="B44" s="22" t="s">
        <v>77</v>
      </c>
      <c r="C44" s="11">
        <v>207</v>
      </c>
      <c r="D44" s="17"/>
      <c r="E44" s="32"/>
      <c r="F44" s="32"/>
    </row>
    <row r="45" spans="2:7" x14ac:dyDescent="0.25">
      <c r="B45" s="22" t="s">
        <v>77</v>
      </c>
      <c r="C45" s="11">
        <v>208</v>
      </c>
      <c r="D45" s="17"/>
      <c r="E45" s="32"/>
      <c r="F45" s="32"/>
    </row>
    <row r="46" spans="2:7" x14ac:dyDescent="0.25">
      <c r="B46" s="22" t="s">
        <v>77</v>
      </c>
      <c r="C46" s="11">
        <v>209</v>
      </c>
      <c r="D46" s="17"/>
      <c r="E46" s="32"/>
      <c r="F46" s="32"/>
    </row>
    <row r="47" spans="2:7" x14ac:dyDescent="0.25">
      <c r="B47" s="22" t="s">
        <v>77</v>
      </c>
      <c r="C47" s="11">
        <v>210</v>
      </c>
      <c r="D47" s="17"/>
      <c r="E47" s="32"/>
      <c r="F47" s="32"/>
    </row>
    <row r="48" spans="2:7" x14ac:dyDescent="0.25">
      <c r="B48" s="22" t="s">
        <v>77</v>
      </c>
      <c r="C48" s="11">
        <v>211</v>
      </c>
      <c r="D48" s="17"/>
      <c r="E48" s="32"/>
      <c r="F48" s="32"/>
    </row>
    <row r="49" spans="2:6" x14ac:dyDescent="0.25">
      <c r="B49" s="22" t="s">
        <v>77</v>
      </c>
      <c r="C49" s="11">
        <v>212</v>
      </c>
      <c r="D49" s="17"/>
      <c r="E49" s="32"/>
      <c r="F49" s="32"/>
    </row>
    <row r="50" spans="2:6" x14ac:dyDescent="0.25">
      <c r="B50" s="22" t="s">
        <v>77</v>
      </c>
      <c r="C50" s="11">
        <v>213</v>
      </c>
      <c r="D50" s="17"/>
      <c r="E50" s="32"/>
      <c r="F50" s="32"/>
    </row>
    <row r="51" spans="2:6" x14ac:dyDescent="0.25">
      <c r="B51" s="22" t="s">
        <v>77</v>
      </c>
      <c r="C51" s="11">
        <v>214</v>
      </c>
      <c r="D51" s="17"/>
      <c r="E51" s="32"/>
      <c r="F51" s="32"/>
    </row>
    <row r="52" spans="2:6" x14ac:dyDescent="0.25">
      <c r="B52" s="22" t="s">
        <v>77</v>
      </c>
      <c r="C52" s="11">
        <v>215</v>
      </c>
      <c r="D52" s="17"/>
      <c r="E52" s="32"/>
      <c r="F52" s="32"/>
    </row>
    <row r="53" spans="2:6" x14ac:dyDescent="0.25">
      <c r="B53" s="22" t="s">
        <v>77</v>
      </c>
      <c r="C53" s="11">
        <v>216</v>
      </c>
      <c r="D53" s="17"/>
      <c r="E53" s="32"/>
      <c r="F53" s="32"/>
    </row>
    <row r="54" spans="2:6" x14ac:dyDescent="0.25">
      <c r="B54" s="22" t="s">
        <v>77</v>
      </c>
      <c r="C54" s="11">
        <v>217</v>
      </c>
      <c r="D54" s="17"/>
      <c r="E54" s="32"/>
      <c r="F54" s="32"/>
    </row>
    <row r="55" spans="2:6" x14ac:dyDescent="0.25">
      <c r="B55" s="22" t="s">
        <v>77</v>
      </c>
      <c r="C55" s="11">
        <v>218</v>
      </c>
      <c r="D55" s="17"/>
      <c r="E55" s="32"/>
      <c r="F55" s="32"/>
    </row>
    <row r="56" spans="2:6" x14ac:dyDescent="0.25">
      <c r="B56" s="22" t="s">
        <v>77</v>
      </c>
      <c r="C56" s="11">
        <v>219</v>
      </c>
      <c r="D56" s="17"/>
      <c r="E56" s="32"/>
      <c r="F56" s="32"/>
    </row>
    <row r="57" spans="2:6" x14ac:dyDescent="0.25">
      <c r="B57" s="22" t="s">
        <v>77</v>
      </c>
      <c r="C57" s="11">
        <v>220</v>
      </c>
      <c r="D57" s="17"/>
      <c r="E57" s="32"/>
      <c r="F57" s="32"/>
    </row>
    <row r="58" spans="2:6" x14ac:dyDescent="0.25">
      <c r="B58" s="22" t="s">
        <v>77</v>
      </c>
      <c r="C58" s="11">
        <v>221</v>
      </c>
      <c r="D58" s="17"/>
      <c r="E58" s="32"/>
      <c r="F58" s="32"/>
    </row>
    <row r="59" spans="2:6" x14ac:dyDescent="0.25">
      <c r="B59" s="22" t="s">
        <v>77</v>
      </c>
      <c r="C59" s="11">
        <v>222</v>
      </c>
      <c r="D59" s="17"/>
      <c r="E59" s="32"/>
      <c r="F59" s="32"/>
    </row>
    <row r="60" spans="2:6" x14ac:dyDescent="0.25">
      <c r="B60" s="22" t="s">
        <v>77</v>
      </c>
      <c r="C60" s="11">
        <v>223</v>
      </c>
      <c r="D60" s="17"/>
      <c r="E60" s="32"/>
      <c r="F60" s="32"/>
    </row>
    <row r="61" spans="2:6" x14ac:dyDescent="0.25">
      <c r="B61" s="22" t="s">
        <v>77</v>
      </c>
      <c r="C61" s="11">
        <v>224</v>
      </c>
      <c r="D61" s="17"/>
      <c r="E61" s="32"/>
      <c r="F61" s="32"/>
    </row>
    <row r="62" spans="2:6" x14ac:dyDescent="0.25">
      <c r="B62" s="22" t="s">
        <v>77</v>
      </c>
      <c r="C62" s="11">
        <v>225</v>
      </c>
      <c r="D62" s="18"/>
      <c r="E62" s="35"/>
      <c r="F62" s="35"/>
    </row>
    <row r="63" spans="2:6" x14ac:dyDescent="0.25">
      <c r="B63" s="23"/>
      <c r="C63" s="20"/>
      <c r="D63" s="16"/>
      <c r="E63" s="34"/>
      <c r="F63" s="34"/>
    </row>
    <row r="64" spans="2:6" ht="13" x14ac:dyDescent="0.3">
      <c r="B64" s="31" t="s">
        <v>79</v>
      </c>
      <c r="D64" s="17"/>
      <c r="E64" s="32"/>
      <c r="F64" s="32"/>
    </row>
    <row r="65" spans="2:6" x14ac:dyDescent="0.25">
      <c r="B65" s="22" t="s">
        <v>77</v>
      </c>
      <c r="C65" s="11">
        <v>301</v>
      </c>
      <c r="D65" s="17"/>
      <c r="E65" s="32"/>
      <c r="F65" s="32"/>
    </row>
    <row r="66" spans="2:6" x14ac:dyDescent="0.25">
      <c r="B66" s="22" t="s">
        <v>77</v>
      </c>
      <c r="C66" s="11">
        <v>302</v>
      </c>
      <c r="D66" s="17"/>
      <c r="E66" s="32"/>
      <c r="F66" s="32"/>
    </row>
    <row r="67" spans="2:6" x14ac:dyDescent="0.25">
      <c r="B67" s="22" t="s">
        <v>77</v>
      </c>
      <c r="C67" s="11">
        <v>303</v>
      </c>
      <c r="D67" s="17"/>
      <c r="E67" s="32"/>
      <c r="F67" s="32"/>
    </row>
    <row r="68" spans="2:6" x14ac:dyDescent="0.25">
      <c r="B68" s="22" t="s">
        <v>77</v>
      </c>
      <c r="C68" s="11">
        <v>304</v>
      </c>
      <c r="D68" s="17"/>
      <c r="E68" s="32"/>
      <c r="F68" s="32"/>
    </row>
    <row r="69" spans="2:6" x14ac:dyDescent="0.25">
      <c r="B69" s="22" t="s">
        <v>77</v>
      </c>
      <c r="C69" s="11">
        <v>305</v>
      </c>
      <c r="D69" s="17"/>
      <c r="E69" s="32"/>
      <c r="F69" s="32"/>
    </row>
    <row r="70" spans="2:6" x14ac:dyDescent="0.25">
      <c r="B70" s="22" t="s">
        <v>77</v>
      </c>
      <c r="C70" s="11">
        <v>306</v>
      </c>
      <c r="D70" s="17"/>
      <c r="E70" s="32"/>
      <c r="F70" s="32"/>
    </row>
    <row r="71" spans="2:6" x14ac:dyDescent="0.25">
      <c r="B71" s="22" t="s">
        <v>77</v>
      </c>
      <c r="C71" s="11">
        <v>307</v>
      </c>
      <c r="D71" s="17"/>
      <c r="E71" s="32"/>
      <c r="F71" s="32"/>
    </row>
    <row r="72" spans="2:6" x14ac:dyDescent="0.25">
      <c r="B72" s="22" t="s">
        <v>77</v>
      </c>
      <c r="C72" s="11">
        <v>308</v>
      </c>
      <c r="D72" s="17"/>
      <c r="E72" s="32"/>
      <c r="F72" s="32"/>
    </row>
    <row r="73" spans="2:6" x14ac:dyDescent="0.25">
      <c r="B73" s="22" t="s">
        <v>77</v>
      </c>
      <c r="C73" s="11">
        <v>309</v>
      </c>
      <c r="D73" s="17"/>
      <c r="E73" s="32"/>
      <c r="F73" s="32"/>
    </row>
    <row r="74" spans="2:6" x14ac:dyDescent="0.25">
      <c r="B74" s="22" t="s">
        <v>77</v>
      </c>
      <c r="C74" s="11">
        <v>310</v>
      </c>
      <c r="D74" s="17"/>
      <c r="E74" s="32"/>
      <c r="F74" s="32"/>
    </row>
    <row r="75" spans="2:6" x14ac:dyDescent="0.25">
      <c r="B75" s="22" t="s">
        <v>77</v>
      </c>
      <c r="C75" s="11">
        <v>311</v>
      </c>
      <c r="D75" s="17"/>
      <c r="E75" s="32"/>
      <c r="F75" s="32"/>
    </row>
    <row r="76" spans="2:6" x14ac:dyDescent="0.25">
      <c r="B76" s="22" t="s">
        <v>77</v>
      </c>
      <c r="C76" s="11">
        <v>312</v>
      </c>
      <c r="D76" s="17"/>
      <c r="E76" s="32"/>
      <c r="F76" s="32"/>
    </row>
    <row r="77" spans="2:6" x14ac:dyDescent="0.25">
      <c r="B77" s="22" t="s">
        <v>77</v>
      </c>
      <c r="C77" s="11">
        <v>313</v>
      </c>
      <c r="D77" s="17"/>
      <c r="E77" s="32"/>
      <c r="F77" s="32"/>
    </row>
    <row r="78" spans="2:6" x14ac:dyDescent="0.25">
      <c r="B78" s="22" t="s">
        <v>77</v>
      </c>
      <c r="C78" s="11">
        <v>314</v>
      </c>
      <c r="D78" s="17"/>
      <c r="E78" s="32"/>
      <c r="F78" s="32"/>
    </row>
    <row r="79" spans="2:6" x14ac:dyDescent="0.25">
      <c r="B79" s="22" t="s">
        <v>77</v>
      </c>
      <c r="C79" s="11">
        <v>315</v>
      </c>
      <c r="D79" s="17"/>
      <c r="E79" s="32"/>
      <c r="F79" s="32"/>
    </row>
    <row r="80" spans="2:6" x14ac:dyDescent="0.25">
      <c r="B80" s="22" t="s">
        <v>77</v>
      </c>
      <c r="C80" s="11">
        <v>316</v>
      </c>
      <c r="D80" s="17"/>
      <c r="E80" s="32"/>
      <c r="F80" s="32"/>
    </row>
    <row r="81" spans="2:6" x14ac:dyDescent="0.25">
      <c r="B81" s="22" t="s">
        <v>77</v>
      </c>
      <c r="C81" s="11">
        <v>317</v>
      </c>
      <c r="D81" s="17"/>
      <c r="E81" s="32"/>
      <c r="F81" s="32"/>
    </row>
    <row r="82" spans="2:6" x14ac:dyDescent="0.25">
      <c r="B82" s="22" t="s">
        <v>77</v>
      </c>
      <c r="C82" s="11">
        <v>318</v>
      </c>
      <c r="D82" s="17"/>
      <c r="E82" s="32"/>
      <c r="F82" s="32"/>
    </row>
    <row r="83" spans="2:6" x14ac:dyDescent="0.25">
      <c r="B83" s="22" t="s">
        <v>77</v>
      </c>
      <c r="C83" s="11">
        <v>319</v>
      </c>
      <c r="D83" s="17"/>
      <c r="E83" s="32"/>
      <c r="F83" s="32"/>
    </row>
    <row r="84" spans="2:6" x14ac:dyDescent="0.25">
      <c r="B84" s="22" t="s">
        <v>77</v>
      </c>
      <c r="C84" s="11">
        <v>320</v>
      </c>
      <c r="D84" s="17"/>
      <c r="E84" s="32"/>
      <c r="F84" s="32"/>
    </row>
    <row r="85" spans="2:6" x14ac:dyDescent="0.25">
      <c r="B85" s="22" t="s">
        <v>77</v>
      </c>
      <c r="C85" s="11">
        <v>321</v>
      </c>
      <c r="D85" s="17"/>
      <c r="E85" s="32"/>
      <c r="F85" s="32"/>
    </row>
    <row r="86" spans="2:6" x14ac:dyDescent="0.25">
      <c r="B86" s="22" t="s">
        <v>77</v>
      </c>
      <c r="C86" s="11">
        <v>322</v>
      </c>
      <c r="D86" s="17"/>
      <c r="E86" s="32"/>
      <c r="F86" s="32"/>
    </row>
    <row r="87" spans="2:6" x14ac:dyDescent="0.25">
      <c r="B87" s="22" t="s">
        <v>77</v>
      </c>
      <c r="C87" s="11">
        <v>323</v>
      </c>
      <c r="D87" s="17"/>
      <c r="E87" s="32"/>
      <c r="F87" s="32"/>
    </row>
    <row r="88" spans="2:6" x14ac:dyDescent="0.25">
      <c r="B88" s="22" t="s">
        <v>77</v>
      </c>
      <c r="C88" s="11">
        <v>324</v>
      </c>
      <c r="D88" s="17"/>
      <c r="E88" s="32"/>
      <c r="F88" s="32"/>
    </row>
    <row r="89" spans="2:6" x14ac:dyDescent="0.25">
      <c r="B89" s="22" t="s">
        <v>77</v>
      </c>
      <c r="C89" s="11">
        <v>325</v>
      </c>
      <c r="D89" s="18"/>
      <c r="E89" s="35"/>
      <c r="F89" s="35"/>
    </row>
    <row r="90" spans="2:6" x14ac:dyDescent="0.25">
      <c r="B90" s="23"/>
      <c r="C90" s="20"/>
      <c r="D90" s="16"/>
      <c r="E90" s="34"/>
      <c r="F90" s="34"/>
    </row>
    <row r="91" spans="2:6" ht="13" x14ac:dyDescent="0.3">
      <c r="B91" s="31" t="s">
        <v>80</v>
      </c>
      <c r="D91" s="17"/>
      <c r="E91" s="32"/>
      <c r="F91" s="32"/>
    </row>
    <row r="92" spans="2:6" x14ac:dyDescent="0.25">
      <c r="B92" s="22" t="s">
        <v>77</v>
      </c>
      <c r="C92" s="11">
        <v>401</v>
      </c>
      <c r="D92" s="17"/>
      <c r="E92" s="32"/>
      <c r="F92" s="32"/>
    </row>
    <row r="93" spans="2:6" x14ac:dyDescent="0.25">
      <c r="B93" s="22" t="s">
        <v>77</v>
      </c>
      <c r="C93" s="11">
        <v>402</v>
      </c>
      <c r="D93" s="17"/>
      <c r="E93" s="32"/>
      <c r="F93" s="32"/>
    </row>
    <row r="94" spans="2:6" x14ac:dyDescent="0.25">
      <c r="B94" s="22" t="s">
        <v>77</v>
      </c>
      <c r="C94" s="11">
        <v>403</v>
      </c>
      <c r="D94" s="17"/>
      <c r="E94" s="32"/>
      <c r="F94" s="32"/>
    </row>
    <row r="95" spans="2:6" x14ac:dyDescent="0.25">
      <c r="B95" s="22" t="s">
        <v>77</v>
      </c>
      <c r="C95" s="11">
        <v>404</v>
      </c>
      <c r="D95" s="17"/>
      <c r="E95" s="32"/>
      <c r="F95" s="32"/>
    </row>
    <row r="96" spans="2:6" x14ac:dyDescent="0.25">
      <c r="B96" s="22" t="s">
        <v>77</v>
      </c>
      <c r="C96" s="11">
        <v>405</v>
      </c>
      <c r="D96" s="17"/>
      <c r="E96" s="32"/>
      <c r="F96" s="32"/>
    </row>
    <row r="97" spans="2:6" x14ac:dyDescent="0.25">
      <c r="B97" s="22" t="s">
        <v>77</v>
      </c>
      <c r="C97" s="11">
        <v>406</v>
      </c>
      <c r="D97" s="17"/>
      <c r="E97" s="32"/>
      <c r="F97" s="32"/>
    </row>
    <row r="98" spans="2:6" x14ac:dyDescent="0.25">
      <c r="B98" s="22" t="s">
        <v>77</v>
      </c>
      <c r="C98" s="11">
        <v>407</v>
      </c>
      <c r="D98" s="17"/>
      <c r="E98" s="32"/>
      <c r="F98" s="32"/>
    </row>
    <row r="99" spans="2:6" x14ac:dyDescent="0.25">
      <c r="B99" s="22" t="s">
        <v>77</v>
      </c>
      <c r="C99" s="11">
        <v>408</v>
      </c>
      <c r="D99" s="17"/>
      <c r="E99" s="32"/>
      <c r="F99" s="32"/>
    </row>
    <row r="100" spans="2:6" x14ac:dyDescent="0.25">
      <c r="B100" s="22" t="s">
        <v>77</v>
      </c>
      <c r="C100" s="11">
        <v>409</v>
      </c>
      <c r="D100" s="17"/>
      <c r="E100" s="32"/>
      <c r="F100" s="32"/>
    </row>
    <row r="101" spans="2:6" x14ac:dyDescent="0.25">
      <c r="B101" s="22" t="s">
        <v>77</v>
      </c>
      <c r="C101" s="11">
        <v>410</v>
      </c>
      <c r="D101" s="17"/>
      <c r="E101" s="32"/>
      <c r="F101" s="32"/>
    </row>
    <row r="102" spans="2:6" x14ac:dyDescent="0.25">
      <c r="B102" s="22" t="s">
        <v>77</v>
      </c>
      <c r="C102" s="11">
        <v>411</v>
      </c>
      <c r="D102" s="17"/>
      <c r="E102" s="32"/>
      <c r="F102" s="32"/>
    </row>
    <row r="103" spans="2:6" x14ac:dyDescent="0.25">
      <c r="B103" s="22" t="s">
        <v>77</v>
      </c>
      <c r="C103" s="11">
        <v>412</v>
      </c>
      <c r="D103" s="17"/>
      <c r="E103" s="32"/>
      <c r="F103" s="32"/>
    </row>
    <row r="104" spans="2:6" x14ac:dyDescent="0.25">
      <c r="B104" s="22" t="s">
        <v>77</v>
      </c>
      <c r="C104" s="11">
        <v>413</v>
      </c>
      <c r="D104" s="17"/>
      <c r="E104" s="32"/>
      <c r="F104" s="32"/>
    </row>
    <row r="105" spans="2:6" x14ac:dyDescent="0.25">
      <c r="B105" s="22" t="s">
        <v>77</v>
      </c>
      <c r="C105" s="11">
        <v>414</v>
      </c>
      <c r="D105" s="17"/>
      <c r="E105" s="32"/>
      <c r="F105" s="32"/>
    </row>
    <row r="106" spans="2:6" x14ac:dyDescent="0.25">
      <c r="B106" s="22" t="s">
        <v>77</v>
      </c>
      <c r="C106" s="11">
        <v>415</v>
      </c>
      <c r="D106" s="17"/>
      <c r="E106" s="32"/>
      <c r="F106" s="32"/>
    </row>
    <row r="107" spans="2:6" x14ac:dyDescent="0.25">
      <c r="B107" s="22" t="s">
        <v>77</v>
      </c>
      <c r="C107" s="11">
        <v>416</v>
      </c>
      <c r="D107" s="17"/>
      <c r="E107" s="32"/>
      <c r="F107" s="32"/>
    </row>
    <row r="108" spans="2:6" x14ac:dyDescent="0.25">
      <c r="B108" s="22" t="s">
        <v>77</v>
      </c>
      <c r="C108" s="11">
        <v>417</v>
      </c>
      <c r="D108" s="17"/>
      <c r="E108" s="32"/>
      <c r="F108" s="32"/>
    </row>
    <row r="109" spans="2:6" x14ac:dyDescent="0.25">
      <c r="B109" s="22" t="s">
        <v>77</v>
      </c>
      <c r="C109" s="11">
        <v>418</v>
      </c>
      <c r="D109" s="17"/>
      <c r="E109" s="32"/>
      <c r="F109" s="32"/>
    </row>
    <row r="110" spans="2:6" x14ac:dyDescent="0.25">
      <c r="B110" s="22" t="s">
        <v>77</v>
      </c>
      <c r="C110" s="11">
        <v>419</v>
      </c>
      <c r="D110" s="17"/>
      <c r="E110" s="32"/>
      <c r="F110" s="32"/>
    </row>
    <row r="111" spans="2:6" x14ac:dyDescent="0.25">
      <c r="B111" s="22" t="s">
        <v>77</v>
      </c>
      <c r="C111" s="11">
        <v>420</v>
      </c>
      <c r="D111" s="17"/>
      <c r="E111" s="32"/>
      <c r="F111" s="32"/>
    </row>
    <row r="112" spans="2:6" x14ac:dyDescent="0.25">
      <c r="B112" s="22" t="s">
        <v>77</v>
      </c>
      <c r="C112" s="11">
        <v>421</v>
      </c>
      <c r="D112" s="17"/>
      <c r="E112" s="32"/>
      <c r="F112" s="32"/>
    </row>
    <row r="113" spans="2:6" x14ac:dyDescent="0.25">
      <c r="B113" s="22" t="s">
        <v>77</v>
      </c>
      <c r="C113" s="11">
        <v>422</v>
      </c>
      <c r="D113" s="17"/>
      <c r="E113" s="32"/>
      <c r="F113" s="32"/>
    </row>
    <row r="114" spans="2:6" x14ac:dyDescent="0.25">
      <c r="B114" s="22" t="s">
        <v>77</v>
      </c>
      <c r="C114" s="11">
        <v>423</v>
      </c>
      <c r="D114" s="17"/>
      <c r="E114" s="32"/>
      <c r="F114" s="32"/>
    </row>
    <row r="115" spans="2:6" x14ac:dyDescent="0.25">
      <c r="B115" s="22" t="s">
        <v>77</v>
      </c>
      <c r="C115" s="11">
        <v>424</v>
      </c>
      <c r="D115" s="17"/>
      <c r="E115" s="32"/>
      <c r="F115" s="32"/>
    </row>
    <row r="116" spans="2:6" x14ac:dyDescent="0.25">
      <c r="B116" s="22" t="s">
        <v>77</v>
      </c>
      <c r="C116" s="11">
        <v>425</v>
      </c>
      <c r="D116" s="18"/>
      <c r="E116" s="35"/>
      <c r="F116" s="35"/>
    </row>
    <row r="117" spans="2:6" x14ac:dyDescent="0.25">
      <c r="B117" s="23"/>
      <c r="C117" s="20"/>
      <c r="D117" s="16"/>
      <c r="E117" s="34"/>
      <c r="F117" s="34"/>
    </row>
    <row r="118" spans="2:6" ht="13" x14ac:dyDescent="0.3">
      <c r="B118" s="31" t="s">
        <v>81</v>
      </c>
      <c r="D118" s="17"/>
      <c r="E118" s="32"/>
      <c r="F118" s="32"/>
    </row>
    <row r="119" spans="2:6" x14ac:dyDescent="0.25">
      <c r="B119" s="22" t="s">
        <v>77</v>
      </c>
      <c r="C119" s="11">
        <v>501</v>
      </c>
      <c r="D119" s="17"/>
      <c r="E119" s="32"/>
      <c r="F119" s="32"/>
    </row>
    <row r="120" spans="2:6" x14ac:dyDescent="0.25">
      <c r="B120" s="22" t="s">
        <v>77</v>
      </c>
      <c r="C120" s="11">
        <v>502</v>
      </c>
      <c r="D120" s="17"/>
      <c r="E120" s="32"/>
      <c r="F120" s="32"/>
    </row>
    <row r="121" spans="2:6" x14ac:dyDescent="0.25">
      <c r="B121" s="22" t="s">
        <v>77</v>
      </c>
      <c r="C121" s="11">
        <v>503</v>
      </c>
      <c r="D121" s="17"/>
      <c r="E121" s="32"/>
      <c r="F121" s="32"/>
    </row>
    <row r="122" spans="2:6" x14ac:dyDescent="0.25">
      <c r="B122" s="22" t="s">
        <v>77</v>
      </c>
      <c r="C122" s="11">
        <v>504</v>
      </c>
      <c r="D122" s="17"/>
      <c r="E122" s="32"/>
      <c r="F122" s="32"/>
    </row>
    <row r="123" spans="2:6" x14ac:dyDescent="0.25">
      <c r="B123" s="22" t="s">
        <v>77</v>
      </c>
      <c r="C123" s="11">
        <v>505</v>
      </c>
      <c r="D123" s="17"/>
      <c r="E123" s="32"/>
      <c r="F123" s="32"/>
    </row>
    <row r="124" spans="2:6" x14ac:dyDescent="0.25">
      <c r="B124" s="22" t="s">
        <v>77</v>
      </c>
      <c r="C124" s="11">
        <v>506</v>
      </c>
      <c r="D124" s="17"/>
      <c r="E124" s="32"/>
      <c r="F124" s="32"/>
    </row>
    <row r="125" spans="2:6" x14ac:dyDescent="0.25">
      <c r="B125" s="22" t="s">
        <v>77</v>
      </c>
      <c r="C125" s="11">
        <v>507</v>
      </c>
      <c r="D125" s="17"/>
      <c r="E125" s="32"/>
      <c r="F125" s="32"/>
    </row>
    <row r="126" spans="2:6" x14ac:dyDescent="0.25">
      <c r="B126" s="22" t="s">
        <v>77</v>
      </c>
      <c r="C126" s="11">
        <v>508</v>
      </c>
      <c r="D126" s="17"/>
      <c r="E126" s="32"/>
      <c r="F126" s="32"/>
    </row>
    <row r="127" spans="2:6" x14ac:dyDescent="0.25">
      <c r="B127" s="22" t="s">
        <v>77</v>
      </c>
      <c r="C127" s="11">
        <v>509</v>
      </c>
      <c r="D127" s="17"/>
      <c r="E127" s="32"/>
      <c r="F127" s="32"/>
    </row>
    <row r="128" spans="2:6" x14ac:dyDescent="0.25">
      <c r="B128" s="22" t="s">
        <v>77</v>
      </c>
      <c r="C128" s="11">
        <v>510</v>
      </c>
      <c r="D128" s="17"/>
      <c r="E128" s="32"/>
      <c r="F128" s="32"/>
    </row>
    <row r="129" spans="2:6" x14ac:dyDescent="0.25">
      <c r="B129" s="22" t="s">
        <v>77</v>
      </c>
      <c r="C129" s="11">
        <v>511</v>
      </c>
      <c r="D129" s="17"/>
      <c r="E129" s="32"/>
      <c r="F129" s="32"/>
    </row>
    <row r="130" spans="2:6" x14ac:dyDescent="0.25">
      <c r="B130" s="22" t="s">
        <v>77</v>
      </c>
      <c r="C130" s="11">
        <v>512</v>
      </c>
      <c r="D130" s="17"/>
      <c r="E130" s="32"/>
      <c r="F130" s="32"/>
    </row>
    <row r="131" spans="2:6" x14ac:dyDescent="0.25">
      <c r="B131" s="22" t="s">
        <v>77</v>
      </c>
      <c r="C131" s="11">
        <v>513</v>
      </c>
      <c r="D131" s="17"/>
      <c r="E131" s="32"/>
      <c r="F131" s="32"/>
    </row>
    <row r="132" spans="2:6" x14ac:dyDescent="0.25">
      <c r="B132" s="22" t="s">
        <v>77</v>
      </c>
      <c r="C132" s="11">
        <v>514</v>
      </c>
      <c r="D132" s="17"/>
      <c r="E132" s="32"/>
      <c r="F132" s="32"/>
    </row>
    <row r="133" spans="2:6" x14ac:dyDescent="0.25">
      <c r="B133" s="22" t="s">
        <v>77</v>
      </c>
      <c r="C133" s="11">
        <v>515</v>
      </c>
      <c r="D133" s="17"/>
      <c r="E133" s="32"/>
      <c r="F133" s="32"/>
    </row>
    <row r="134" spans="2:6" x14ac:dyDescent="0.25">
      <c r="B134" s="22" t="s">
        <v>77</v>
      </c>
      <c r="C134" s="11">
        <v>516</v>
      </c>
      <c r="D134" s="17"/>
      <c r="E134" s="32"/>
      <c r="F134" s="32"/>
    </row>
    <row r="135" spans="2:6" x14ac:dyDescent="0.25">
      <c r="B135" s="22" t="s">
        <v>77</v>
      </c>
      <c r="C135" s="11">
        <v>517</v>
      </c>
      <c r="D135" s="17"/>
      <c r="E135" s="32"/>
      <c r="F135" s="32"/>
    </row>
    <row r="136" spans="2:6" x14ac:dyDescent="0.25">
      <c r="B136" s="22" t="s">
        <v>77</v>
      </c>
      <c r="C136" s="11">
        <v>518</v>
      </c>
      <c r="D136" s="17"/>
      <c r="E136" s="32"/>
      <c r="F136" s="32"/>
    </row>
    <row r="137" spans="2:6" x14ac:dyDescent="0.25">
      <c r="B137" s="22" t="s">
        <v>77</v>
      </c>
      <c r="C137" s="11">
        <v>519</v>
      </c>
      <c r="D137" s="17"/>
      <c r="E137" s="32"/>
      <c r="F137" s="32"/>
    </row>
    <row r="138" spans="2:6" x14ac:dyDescent="0.25">
      <c r="B138" s="22" t="s">
        <v>77</v>
      </c>
      <c r="C138" s="11">
        <v>520</v>
      </c>
      <c r="D138" s="17"/>
      <c r="E138" s="32"/>
      <c r="F138" s="32"/>
    </row>
    <row r="139" spans="2:6" x14ac:dyDescent="0.25">
      <c r="B139" s="22" t="s">
        <v>77</v>
      </c>
      <c r="C139" s="11">
        <v>521</v>
      </c>
      <c r="D139" s="17"/>
      <c r="E139" s="32"/>
      <c r="F139" s="32"/>
    </row>
    <row r="140" spans="2:6" x14ac:dyDescent="0.25">
      <c r="B140" s="22" t="s">
        <v>77</v>
      </c>
      <c r="C140" s="11">
        <v>522</v>
      </c>
      <c r="D140" s="17"/>
      <c r="E140" s="32"/>
      <c r="F140" s="32"/>
    </row>
    <row r="141" spans="2:6" x14ac:dyDescent="0.25">
      <c r="B141" s="22" t="s">
        <v>77</v>
      </c>
      <c r="C141" s="11">
        <v>523</v>
      </c>
      <c r="D141" s="17"/>
      <c r="E141" s="32"/>
      <c r="F141" s="32"/>
    </row>
    <row r="142" spans="2:6" x14ac:dyDescent="0.25">
      <c r="B142" s="22" t="s">
        <v>77</v>
      </c>
      <c r="C142" s="11">
        <v>524</v>
      </c>
      <c r="D142" s="17"/>
      <c r="E142" s="32"/>
      <c r="F142" s="32"/>
    </row>
    <row r="143" spans="2:6" x14ac:dyDescent="0.25">
      <c r="B143" s="22" t="s">
        <v>77</v>
      </c>
      <c r="C143" s="11">
        <v>525</v>
      </c>
      <c r="D143" s="18"/>
      <c r="E143" s="35"/>
      <c r="F143" s="35"/>
    </row>
    <row r="144" spans="2:6" x14ac:dyDescent="0.25">
      <c r="B144" s="23"/>
      <c r="C144" s="20"/>
      <c r="D144" s="16"/>
      <c r="E144" s="34"/>
      <c r="F144" s="34"/>
    </row>
    <row r="145" spans="2:6" ht="13" x14ac:dyDescent="0.3">
      <c r="B145" s="31" t="s">
        <v>82</v>
      </c>
      <c r="D145" s="17"/>
      <c r="E145" s="32"/>
      <c r="F145" s="32"/>
    </row>
    <row r="146" spans="2:6" x14ac:dyDescent="0.25">
      <c r="B146" s="22" t="s">
        <v>77</v>
      </c>
      <c r="C146" s="11">
        <v>601</v>
      </c>
      <c r="D146" s="17"/>
      <c r="E146" s="32"/>
      <c r="F146" s="32"/>
    </row>
    <row r="147" spans="2:6" x14ac:dyDescent="0.25">
      <c r="B147" s="22" t="s">
        <v>77</v>
      </c>
      <c r="C147" s="11">
        <v>602</v>
      </c>
      <c r="D147" s="17"/>
      <c r="E147" s="32"/>
      <c r="F147" s="32"/>
    </row>
    <row r="148" spans="2:6" x14ac:dyDescent="0.25">
      <c r="B148" s="22" t="s">
        <v>77</v>
      </c>
      <c r="C148" s="11">
        <v>603</v>
      </c>
      <c r="D148" s="17"/>
      <c r="E148" s="32"/>
      <c r="F148" s="32"/>
    </row>
    <row r="149" spans="2:6" x14ac:dyDescent="0.25">
      <c r="B149" s="22" t="s">
        <v>77</v>
      </c>
      <c r="C149" s="11">
        <v>604</v>
      </c>
      <c r="D149" s="17"/>
      <c r="E149" s="32"/>
      <c r="F149" s="32"/>
    </row>
    <row r="150" spans="2:6" x14ac:dyDescent="0.25">
      <c r="B150" s="22" t="s">
        <v>77</v>
      </c>
      <c r="C150" s="11">
        <v>605</v>
      </c>
      <c r="D150" s="17"/>
      <c r="E150" s="32"/>
      <c r="F150" s="32"/>
    </row>
    <row r="151" spans="2:6" x14ac:dyDescent="0.25">
      <c r="B151" s="22" t="s">
        <v>77</v>
      </c>
      <c r="C151" s="11">
        <v>606</v>
      </c>
      <c r="D151" s="17"/>
      <c r="E151" s="32"/>
      <c r="F151" s="32"/>
    </row>
    <row r="152" spans="2:6" x14ac:dyDescent="0.25">
      <c r="B152" s="22" t="s">
        <v>77</v>
      </c>
      <c r="C152" s="11">
        <v>607</v>
      </c>
      <c r="D152" s="17"/>
      <c r="E152" s="32"/>
      <c r="F152" s="32"/>
    </row>
    <row r="153" spans="2:6" x14ac:dyDescent="0.25">
      <c r="B153" s="22" t="s">
        <v>77</v>
      </c>
      <c r="C153" s="11">
        <v>608</v>
      </c>
      <c r="D153" s="17"/>
      <c r="E153" s="32"/>
      <c r="F153" s="32"/>
    </row>
    <row r="154" spans="2:6" x14ac:dyDescent="0.25">
      <c r="B154" s="22" t="s">
        <v>77</v>
      </c>
      <c r="C154" s="11">
        <v>609</v>
      </c>
      <c r="D154" s="17"/>
      <c r="E154" s="32"/>
      <c r="F154" s="32"/>
    </row>
    <row r="155" spans="2:6" x14ac:dyDescent="0.25">
      <c r="B155" s="22" t="s">
        <v>77</v>
      </c>
      <c r="C155" s="11">
        <v>610</v>
      </c>
      <c r="D155" s="17"/>
      <c r="E155" s="32"/>
      <c r="F155" s="32"/>
    </row>
    <row r="156" spans="2:6" x14ac:dyDescent="0.25">
      <c r="B156" s="22" t="s">
        <v>77</v>
      </c>
      <c r="C156" s="11">
        <v>611</v>
      </c>
      <c r="D156" s="17"/>
      <c r="E156" s="32"/>
      <c r="F156" s="32"/>
    </row>
    <row r="157" spans="2:6" x14ac:dyDescent="0.25">
      <c r="B157" s="22" t="s">
        <v>77</v>
      </c>
      <c r="C157" s="11">
        <v>612</v>
      </c>
      <c r="D157" s="17"/>
      <c r="E157" s="32"/>
      <c r="F157" s="32"/>
    </row>
    <row r="158" spans="2:6" x14ac:dyDescent="0.25">
      <c r="B158" s="22" t="s">
        <v>77</v>
      </c>
      <c r="C158" s="11">
        <v>613</v>
      </c>
      <c r="D158" s="17"/>
      <c r="E158" s="32"/>
      <c r="F158" s="32"/>
    </row>
    <row r="159" spans="2:6" x14ac:dyDescent="0.25">
      <c r="B159" s="22" t="s">
        <v>77</v>
      </c>
      <c r="C159" s="11">
        <v>614</v>
      </c>
      <c r="D159" s="17"/>
      <c r="E159" s="32"/>
      <c r="F159" s="32"/>
    </row>
    <row r="160" spans="2:6" x14ac:dyDescent="0.25">
      <c r="B160" s="22" t="s">
        <v>77</v>
      </c>
      <c r="C160" s="11">
        <v>615</v>
      </c>
      <c r="D160" s="17"/>
      <c r="E160" s="32"/>
      <c r="F160" s="32"/>
    </row>
    <row r="161" spans="2:6" x14ac:dyDescent="0.25">
      <c r="B161" s="22" t="s">
        <v>77</v>
      </c>
      <c r="C161" s="11">
        <v>616</v>
      </c>
      <c r="D161" s="17"/>
      <c r="E161" s="32"/>
      <c r="F161" s="32"/>
    </row>
    <row r="162" spans="2:6" x14ac:dyDescent="0.25">
      <c r="B162" s="22" t="s">
        <v>77</v>
      </c>
      <c r="C162" s="11">
        <v>617</v>
      </c>
      <c r="D162" s="17"/>
      <c r="E162" s="32"/>
      <c r="F162" s="32"/>
    </row>
    <row r="163" spans="2:6" x14ac:dyDescent="0.25">
      <c r="B163" s="22" t="s">
        <v>77</v>
      </c>
      <c r="C163" s="11">
        <v>618</v>
      </c>
      <c r="D163" s="17"/>
      <c r="E163" s="32"/>
      <c r="F163" s="32"/>
    </row>
    <row r="164" spans="2:6" x14ac:dyDescent="0.25">
      <c r="B164" s="22" t="s">
        <v>77</v>
      </c>
      <c r="C164" s="11">
        <v>619</v>
      </c>
      <c r="D164" s="17"/>
      <c r="E164" s="32"/>
      <c r="F164" s="32"/>
    </row>
    <row r="165" spans="2:6" x14ac:dyDescent="0.25">
      <c r="B165" s="22" t="s">
        <v>77</v>
      </c>
      <c r="C165" s="11">
        <v>620</v>
      </c>
      <c r="D165" s="17"/>
      <c r="E165" s="32"/>
      <c r="F165" s="32"/>
    </row>
    <row r="166" spans="2:6" x14ac:dyDescent="0.25">
      <c r="B166" s="22" t="s">
        <v>77</v>
      </c>
      <c r="C166" s="11">
        <v>621</v>
      </c>
      <c r="D166" s="17"/>
      <c r="E166" s="32"/>
      <c r="F166" s="32"/>
    </row>
    <row r="167" spans="2:6" x14ac:dyDescent="0.25">
      <c r="B167" s="22" t="s">
        <v>77</v>
      </c>
      <c r="C167" s="11">
        <v>622</v>
      </c>
      <c r="D167" s="17"/>
      <c r="E167" s="32"/>
      <c r="F167" s="32"/>
    </row>
    <row r="168" spans="2:6" x14ac:dyDescent="0.25">
      <c r="B168" s="22" t="s">
        <v>77</v>
      </c>
      <c r="C168" s="11">
        <v>623</v>
      </c>
      <c r="D168" s="17"/>
      <c r="E168" s="32"/>
      <c r="F168" s="32"/>
    </row>
    <row r="169" spans="2:6" x14ac:dyDescent="0.25">
      <c r="B169" s="22" t="s">
        <v>77</v>
      </c>
      <c r="C169" s="11">
        <v>624</v>
      </c>
      <c r="D169" s="17"/>
      <c r="E169" s="32"/>
      <c r="F169" s="32"/>
    </row>
    <row r="170" spans="2:6" x14ac:dyDescent="0.25">
      <c r="B170" s="22" t="s">
        <v>77</v>
      </c>
      <c r="C170" s="11">
        <v>625</v>
      </c>
      <c r="D170" s="18"/>
      <c r="E170" s="35"/>
      <c r="F170" s="35"/>
    </row>
    <row r="171" spans="2:6" x14ac:dyDescent="0.25">
      <c r="B171" s="23"/>
      <c r="C171" s="20"/>
      <c r="D171" s="16"/>
      <c r="E171" s="34"/>
      <c r="F171" s="34"/>
    </row>
    <row r="172" spans="2:6" ht="13" x14ac:dyDescent="0.3">
      <c r="B172" s="31" t="s">
        <v>83</v>
      </c>
      <c r="D172" s="17"/>
      <c r="E172" s="32"/>
      <c r="F172" s="32"/>
    </row>
    <row r="173" spans="2:6" x14ac:dyDescent="0.25">
      <c r="B173" s="22" t="s">
        <v>77</v>
      </c>
      <c r="C173" s="11">
        <v>701</v>
      </c>
      <c r="D173" s="17"/>
      <c r="E173" s="32"/>
      <c r="F173" s="32"/>
    </row>
    <row r="174" spans="2:6" x14ac:dyDescent="0.25">
      <c r="B174" s="22" t="s">
        <v>77</v>
      </c>
      <c r="C174" s="11">
        <v>702</v>
      </c>
      <c r="D174" s="17"/>
      <c r="E174" s="32"/>
      <c r="F174" s="32"/>
    </row>
    <row r="175" spans="2:6" x14ac:dyDescent="0.25">
      <c r="B175" s="22" t="s">
        <v>77</v>
      </c>
      <c r="C175" s="11">
        <v>703</v>
      </c>
      <c r="D175" s="17"/>
      <c r="E175" s="32"/>
      <c r="F175" s="32"/>
    </row>
    <row r="176" spans="2:6" x14ac:dyDescent="0.25">
      <c r="B176" s="22" t="s">
        <v>77</v>
      </c>
      <c r="C176" s="11">
        <v>704</v>
      </c>
      <c r="D176" s="17"/>
      <c r="E176" s="32"/>
      <c r="F176" s="32"/>
    </row>
    <row r="177" spans="2:6" x14ac:dyDescent="0.25">
      <c r="B177" s="22" t="s">
        <v>77</v>
      </c>
      <c r="C177" s="11">
        <v>705</v>
      </c>
      <c r="D177" s="17"/>
      <c r="E177" s="32"/>
      <c r="F177" s="32"/>
    </row>
    <row r="178" spans="2:6" x14ac:dyDescent="0.25">
      <c r="B178" s="22" t="s">
        <v>77</v>
      </c>
      <c r="C178" s="11">
        <v>706</v>
      </c>
      <c r="D178" s="17"/>
      <c r="E178" s="32"/>
      <c r="F178" s="32"/>
    </row>
    <row r="179" spans="2:6" x14ac:dyDescent="0.25">
      <c r="B179" s="22" t="s">
        <v>77</v>
      </c>
      <c r="C179" s="11">
        <v>707</v>
      </c>
      <c r="D179" s="17"/>
      <c r="E179" s="32"/>
      <c r="F179" s="32"/>
    </row>
    <row r="180" spans="2:6" x14ac:dyDescent="0.25">
      <c r="B180" s="22" t="s">
        <v>77</v>
      </c>
      <c r="C180" s="11">
        <v>708</v>
      </c>
      <c r="D180" s="17"/>
      <c r="E180" s="32"/>
      <c r="F180" s="32"/>
    </row>
    <row r="181" spans="2:6" x14ac:dyDescent="0.25">
      <c r="B181" s="22" t="s">
        <v>77</v>
      </c>
      <c r="C181" s="11">
        <v>709</v>
      </c>
      <c r="D181" s="17"/>
      <c r="E181" s="32"/>
      <c r="F181" s="32"/>
    </row>
    <row r="182" spans="2:6" x14ac:dyDescent="0.25">
      <c r="B182" s="22" t="s">
        <v>77</v>
      </c>
      <c r="C182" s="11">
        <v>710</v>
      </c>
      <c r="D182" s="17"/>
      <c r="E182" s="32"/>
      <c r="F182" s="32"/>
    </row>
    <row r="183" spans="2:6" x14ac:dyDescent="0.25">
      <c r="B183" s="22" t="s">
        <v>77</v>
      </c>
      <c r="C183" s="11">
        <v>711</v>
      </c>
      <c r="D183" s="17"/>
      <c r="E183" s="32"/>
      <c r="F183" s="32"/>
    </row>
    <row r="184" spans="2:6" x14ac:dyDescent="0.25">
      <c r="B184" s="22" t="s">
        <v>77</v>
      </c>
      <c r="C184" s="11">
        <v>712</v>
      </c>
      <c r="D184" s="17"/>
      <c r="E184" s="32"/>
      <c r="F184" s="32"/>
    </row>
    <row r="185" spans="2:6" x14ac:dyDescent="0.25">
      <c r="B185" s="22" t="s">
        <v>77</v>
      </c>
      <c r="C185" s="11">
        <v>713</v>
      </c>
      <c r="D185" s="17"/>
      <c r="E185" s="32"/>
      <c r="F185" s="32"/>
    </row>
    <row r="186" spans="2:6" x14ac:dyDescent="0.25">
      <c r="B186" s="22" t="s">
        <v>77</v>
      </c>
      <c r="C186" s="11">
        <v>714</v>
      </c>
      <c r="D186" s="17"/>
      <c r="E186" s="32"/>
      <c r="F186" s="32"/>
    </row>
    <row r="187" spans="2:6" x14ac:dyDescent="0.25">
      <c r="B187" s="22" t="s">
        <v>77</v>
      </c>
      <c r="C187" s="11">
        <v>715</v>
      </c>
      <c r="D187" s="17"/>
      <c r="E187" s="32"/>
      <c r="F187" s="32"/>
    </row>
    <row r="188" spans="2:6" x14ac:dyDescent="0.25">
      <c r="B188" s="22" t="s">
        <v>77</v>
      </c>
      <c r="C188" s="11">
        <v>716</v>
      </c>
      <c r="D188" s="17"/>
      <c r="E188" s="32"/>
      <c r="F188" s="32"/>
    </row>
    <row r="189" spans="2:6" x14ac:dyDescent="0.25">
      <c r="B189" s="22" t="s">
        <v>77</v>
      </c>
      <c r="C189" s="11">
        <v>717</v>
      </c>
      <c r="D189" s="17"/>
      <c r="E189" s="32"/>
      <c r="F189" s="32"/>
    </row>
    <row r="190" spans="2:6" x14ac:dyDescent="0.25">
      <c r="B190" s="22" t="s">
        <v>77</v>
      </c>
      <c r="C190" s="11">
        <v>718</v>
      </c>
      <c r="D190" s="17"/>
      <c r="E190" s="32"/>
      <c r="F190" s="32"/>
    </row>
    <row r="191" spans="2:6" x14ac:dyDescent="0.25">
      <c r="B191" s="22" t="s">
        <v>77</v>
      </c>
      <c r="C191" s="11">
        <v>719</v>
      </c>
      <c r="D191" s="17"/>
      <c r="E191" s="32"/>
      <c r="F191" s="32"/>
    </row>
    <row r="192" spans="2:6" x14ac:dyDescent="0.25">
      <c r="B192" s="22" t="s">
        <v>77</v>
      </c>
      <c r="C192" s="11">
        <v>720</v>
      </c>
      <c r="D192" s="17"/>
      <c r="E192" s="32"/>
      <c r="F192" s="32"/>
    </row>
    <row r="193" spans="2:6" x14ac:dyDescent="0.25">
      <c r="B193" s="22" t="s">
        <v>77</v>
      </c>
      <c r="C193" s="11">
        <v>721</v>
      </c>
      <c r="D193" s="17"/>
      <c r="E193" s="32"/>
      <c r="F193" s="32"/>
    </row>
    <row r="194" spans="2:6" x14ac:dyDescent="0.25">
      <c r="B194" s="22" t="s">
        <v>77</v>
      </c>
      <c r="C194" s="11">
        <v>722</v>
      </c>
      <c r="D194" s="17"/>
      <c r="E194" s="32"/>
      <c r="F194" s="32"/>
    </row>
    <row r="195" spans="2:6" x14ac:dyDescent="0.25">
      <c r="B195" s="22" t="s">
        <v>77</v>
      </c>
      <c r="C195" s="11">
        <v>723</v>
      </c>
      <c r="D195" s="17"/>
      <c r="E195" s="32"/>
      <c r="F195" s="32"/>
    </row>
    <row r="196" spans="2:6" x14ac:dyDescent="0.25">
      <c r="B196" s="22" t="s">
        <v>77</v>
      </c>
      <c r="C196" s="11">
        <v>724</v>
      </c>
      <c r="D196" s="17"/>
      <c r="E196" s="32"/>
      <c r="F196" s="32"/>
    </row>
    <row r="197" spans="2:6" x14ac:dyDescent="0.25">
      <c r="B197" s="22" t="s">
        <v>77</v>
      </c>
      <c r="C197" s="11">
        <v>725</v>
      </c>
      <c r="D197" s="17"/>
      <c r="E197" s="32"/>
      <c r="F197" s="32"/>
    </row>
    <row r="198" spans="2:6" x14ac:dyDescent="0.25">
      <c r="B198" s="23"/>
      <c r="C198" s="20"/>
      <c r="D198" s="16"/>
      <c r="E198" s="34"/>
      <c r="F198" s="34"/>
    </row>
    <row r="199" spans="2:6" ht="13" x14ac:dyDescent="0.3">
      <c r="B199" s="31" t="s">
        <v>84</v>
      </c>
      <c r="D199" s="17"/>
      <c r="E199" s="32"/>
      <c r="F199" s="32"/>
    </row>
    <row r="200" spans="2:6" x14ac:dyDescent="0.25">
      <c r="B200" s="22" t="s">
        <v>77</v>
      </c>
      <c r="C200" s="11">
        <v>801</v>
      </c>
      <c r="D200" s="17"/>
      <c r="E200" s="32"/>
      <c r="F200" s="32"/>
    </row>
    <row r="201" spans="2:6" x14ac:dyDescent="0.25">
      <c r="B201" s="22" t="s">
        <v>77</v>
      </c>
      <c r="C201" s="11">
        <v>802</v>
      </c>
      <c r="D201" s="17"/>
      <c r="E201" s="32"/>
      <c r="F201" s="32"/>
    </row>
    <row r="202" spans="2:6" x14ac:dyDescent="0.25">
      <c r="B202" s="22" t="s">
        <v>77</v>
      </c>
      <c r="C202" s="11">
        <v>803</v>
      </c>
      <c r="D202" s="17"/>
      <c r="E202" s="32"/>
      <c r="F202" s="32"/>
    </row>
    <row r="203" spans="2:6" x14ac:dyDescent="0.25">
      <c r="B203" s="22" t="s">
        <v>77</v>
      </c>
      <c r="C203" s="11">
        <v>804</v>
      </c>
      <c r="D203" s="17"/>
      <c r="E203" s="32"/>
      <c r="F203" s="32"/>
    </row>
    <row r="204" spans="2:6" x14ac:dyDescent="0.25">
      <c r="B204" s="22" t="s">
        <v>77</v>
      </c>
      <c r="C204" s="11">
        <v>805</v>
      </c>
      <c r="D204" s="17"/>
      <c r="E204" s="32"/>
      <c r="F204" s="32"/>
    </row>
    <row r="205" spans="2:6" x14ac:dyDescent="0.25">
      <c r="B205" s="22" t="s">
        <v>77</v>
      </c>
      <c r="C205" s="11">
        <v>806</v>
      </c>
      <c r="D205" s="17"/>
      <c r="E205" s="32"/>
      <c r="F205" s="32"/>
    </row>
    <row r="206" spans="2:6" x14ac:dyDescent="0.25">
      <c r="B206" s="22" t="s">
        <v>77</v>
      </c>
      <c r="C206" s="11">
        <v>807</v>
      </c>
      <c r="D206" s="17"/>
      <c r="E206" s="32"/>
      <c r="F206" s="32"/>
    </row>
    <row r="207" spans="2:6" x14ac:dyDescent="0.25">
      <c r="B207" s="22" t="s">
        <v>77</v>
      </c>
      <c r="C207" s="11">
        <v>808</v>
      </c>
      <c r="D207" s="17"/>
      <c r="E207" s="32"/>
      <c r="F207" s="32"/>
    </row>
    <row r="208" spans="2:6" x14ac:dyDescent="0.25">
      <c r="B208" s="22" t="s">
        <v>77</v>
      </c>
      <c r="C208" s="11">
        <v>809</v>
      </c>
      <c r="D208" s="17"/>
      <c r="E208" s="32"/>
      <c r="F208" s="32"/>
    </row>
    <row r="209" spans="2:6" x14ac:dyDescent="0.25">
      <c r="B209" s="22" t="s">
        <v>77</v>
      </c>
      <c r="C209" s="11">
        <v>810</v>
      </c>
      <c r="D209" s="17"/>
      <c r="E209" s="32"/>
      <c r="F209" s="32"/>
    </row>
    <row r="210" spans="2:6" x14ac:dyDescent="0.25">
      <c r="B210" s="22" t="s">
        <v>77</v>
      </c>
      <c r="C210" s="11">
        <v>811</v>
      </c>
      <c r="D210" s="17"/>
      <c r="E210" s="32"/>
      <c r="F210" s="32"/>
    </row>
    <row r="211" spans="2:6" x14ac:dyDescent="0.25">
      <c r="B211" s="22" t="s">
        <v>77</v>
      </c>
      <c r="C211" s="11">
        <v>812</v>
      </c>
      <c r="D211" s="17"/>
      <c r="E211" s="32"/>
      <c r="F211" s="32"/>
    </row>
    <row r="212" spans="2:6" x14ac:dyDescent="0.25">
      <c r="B212" s="22" t="s">
        <v>77</v>
      </c>
      <c r="C212" s="11">
        <v>813</v>
      </c>
      <c r="D212" s="17"/>
      <c r="E212" s="32"/>
      <c r="F212" s="32"/>
    </row>
    <row r="213" spans="2:6" x14ac:dyDescent="0.25">
      <c r="B213" s="22" t="s">
        <v>77</v>
      </c>
      <c r="C213" s="11">
        <v>814</v>
      </c>
      <c r="D213" s="17"/>
      <c r="E213" s="32"/>
      <c r="F213" s="32"/>
    </row>
    <row r="214" spans="2:6" x14ac:dyDescent="0.25">
      <c r="B214" s="22" t="s">
        <v>77</v>
      </c>
      <c r="C214" s="11">
        <v>815</v>
      </c>
      <c r="D214" s="17"/>
      <c r="E214" s="32"/>
      <c r="F214" s="32"/>
    </row>
    <row r="215" spans="2:6" x14ac:dyDescent="0.25">
      <c r="B215" s="22" t="s">
        <v>77</v>
      </c>
      <c r="C215" s="11">
        <v>816</v>
      </c>
      <c r="D215" s="17"/>
      <c r="E215" s="32"/>
      <c r="F215" s="32"/>
    </row>
    <row r="216" spans="2:6" x14ac:dyDescent="0.25">
      <c r="B216" s="22" t="s">
        <v>77</v>
      </c>
      <c r="C216" s="11">
        <v>817</v>
      </c>
      <c r="D216" s="17"/>
      <c r="E216" s="32"/>
      <c r="F216" s="32"/>
    </row>
    <row r="217" spans="2:6" x14ac:dyDescent="0.25">
      <c r="B217" s="22" t="s">
        <v>77</v>
      </c>
      <c r="C217" s="11">
        <v>818</v>
      </c>
      <c r="D217" s="17"/>
      <c r="E217" s="32"/>
      <c r="F217" s="32"/>
    </row>
    <row r="218" spans="2:6" x14ac:dyDescent="0.25">
      <c r="B218" s="22" t="s">
        <v>77</v>
      </c>
      <c r="C218" s="11">
        <v>819</v>
      </c>
      <c r="D218" s="17"/>
      <c r="E218" s="32"/>
      <c r="F218" s="32"/>
    </row>
    <row r="219" spans="2:6" x14ac:dyDescent="0.25">
      <c r="B219" s="22" t="s">
        <v>77</v>
      </c>
      <c r="C219" s="11">
        <v>820</v>
      </c>
      <c r="D219" s="17"/>
      <c r="E219" s="32"/>
      <c r="F219" s="32"/>
    </row>
    <row r="220" spans="2:6" x14ac:dyDescent="0.25">
      <c r="B220" s="22" t="s">
        <v>77</v>
      </c>
      <c r="C220" s="11">
        <v>821</v>
      </c>
      <c r="D220" s="17"/>
      <c r="E220" s="32"/>
      <c r="F220" s="32"/>
    </row>
    <row r="221" spans="2:6" x14ac:dyDescent="0.25">
      <c r="B221" s="22" t="s">
        <v>77</v>
      </c>
      <c r="C221" s="11">
        <v>822</v>
      </c>
      <c r="D221" s="17"/>
      <c r="E221" s="32"/>
      <c r="F221" s="32"/>
    </row>
    <row r="222" spans="2:6" x14ac:dyDescent="0.25">
      <c r="B222" s="22" t="s">
        <v>77</v>
      </c>
      <c r="C222" s="11">
        <v>823</v>
      </c>
      <c r="D222" s="17"/>
      <c r="E222" s="32"/>
      <c r="F222" s="32"/>
    </row>
    <row r="223" spans="2:6" x14ac:dyDescent="0.25">
      <c r="B223" s="22" t="s">
        <v>77</v>
      </c>
      <c r="C223" s="11">
        <v>824</v>
      </c>
      <c r="D223" s="17"/>
      <c r="E223" s="32"/>
      <c r="F223" s="32"/>
    </row>
    <row r="224" spans="2:6" x14ac:dyDescent="0.25">
      <c r="B224" s="22" t="s">
        <v>77</v>
      </c>
      <c r="C224" s="11">
        <v>825</v>
      </c>
      <c r="D224" s="18"/>
      <c r="E224" s="35"/>
      <c r="F224" s="35"/>
    </row>
  </sheetData>
  <sheetProtection algorithmName="SHA-512" hashValue="/uNt7KbLAPTeCBoqDTvXI9WdRtBKCV9QoSsplVjFM8DdeB35UCpvln7aEf+iSZ9i+jGHmzIpNJ0031YSvhrBWA==" saltValue="AIELY6XNqDbgaEboat2V8A==" spinCount="100000" sheet="1" objects="1" scenarios="1"/>
  <pageMargins left="0.7" right="0.7" top="0.75" bottom="0.75" header="0.3" footer="0.3"/>
  <pageSetup paperSize="9" scale="53"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7"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2"/>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x-408</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75</v>
      </c>
      <c r="C8" s="161"/>
      <c r="D8" s="161"/>
      <c r="E8" s="161"/>
      <c r="F8" s="161"/>
      <c r="G8" s="161"/>
      <c r="H8" s="161"/>
      <c r="I8" s="161"/>
      <c r="J8" s="161"/>
      <c r="K8" s="161"/>
      <c r="L8" s="161"/>
      <c r="M8" s="161"/>
    </row>
    <row r="9" spans="1:13" x14ac:dyDescent="0.25">
      <c r="A9" s="85" t="s">
        <v>282</v>
      </c>
      <c r="B9" s="161" t="s">
        <v>396</v>
      </c>
      <c r="C9" s="161"/>
      <c r="D9" s="161"/>
      <c r="E9" s="161"/>
      <c r="F9" s="161"/>
      <c r="G9" s="161"/>
      <c r="H9" s="161"/>
      <c r="I9" s="161"/>
      <c r="J9" s="161"/>
      <c r="K9" s="161"/>
      <c r="L9" s="161"/>
      <c r="M9" s="161"/>
    </row>
    <row r="10" spans="1:13" x14ac:dyDescent="0.25">
      <c r="A10" s="85" t="s">
        <v>6</v>
      </c>
      <c r="B10" s="161" t="s">
        <v>426</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398</v>
      </c>
      <c r="C12" s="161"/>
      <c r="D12" s="161"/>
      <c r="E12" s="161"/>
      <c r="F12" s="161"/>
      <c r="G12" s="161"/>
      <c r="H12" s="161"/>
      <c r="I12" s="161"/>
      <c r="J12" s="161"/>
      <c r="K12" s="161"/>
      <c r="L12" s="161"/>
      <c r="M12" s="161"/>
    </row>
    <row r="13" spans="1:13" x14ac:dyDescent="0.25">
      <c r="A13" s="85" t="s">
        <v>289</v>
      </c>
      <c r="B13" s="161">
        <v>1</v>
      </c>
      <c r="C13" s="161"/>
      <c r="D13" s="161"/>
      <c r="E13" s="161"/>
      <c r="F13" s="161"/>
      <c r="G13" s="161"/>
      <c r="H13" s="161"/>
      <c r="I13" s="161"/>
      <c r="J13" s="161"/>
      <c r="K13" s="161"/>
      <c r="L13" s="161"/>
      <c r="M13" s="161"/>
    </row>
    <row r="14" spans="1:13" x14ac:dyDescent="0.25">
      <c r="A14" s="85" t="s">
        <v>291</v>
      </c>
      <c r="B14" s="161">
        <v>408</v>
      </c>
      <c r="C14" s="161"/>
      <c r="D14" s="161"/>
      <c r="E14" s="161"/>
      <c r="F14" s="161"/>
      <c r="G14" s="161"/>
      <c r="H14" s="161"/>
      <c r="I14" s="161"/>
      <c r="J14" s="161"/>
      <c r="K14" s="161"/>
      <c r="L14" s="161"/>
      <c r="M14" s="161"/>
    </row>
    <row r="15" spans="1:13" x14ac:dyDescent="0.25">
      <c r="A15" s="85" t="s">
        <v>293</v>
      </c>
      <c r="B15" s="161" t="s">
        <v>427</v>
      </c>
      <c r="C15" s="161"/>
      <c r="D15" s="161"/>
      <c r="E15" s="161"/>
      <c r="F15" s="161"/>
      <c r="G15" s="161"/>
      <c r="H15" s="161"/>
      <c r="I15" s="161"/>
      <c r="J15" s="161"/>
      <c r="K15" s="161"/>
      <c r="L15" s="161"/>
      <c r="M15" s="161"/>
    </row>
    <row r="16" spans="1:13" x14ac:dyDescent="0.25">
      <c r="A16" s="85" t="s">
        <v>295</v>
      </c>
      <c r="B16" s="161" t="s">
        <v>428</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45107</v>
      </c>
      <c r="C18" s="161"/>
      <c r="D18" s="161"/>
      <c r="E18" s="161"/>
      <c r="F18" s="161"/>
      <c r="G18" s="161"/>
      <c r="H18" s="161"/>
      <c r="I18" s="161"/>
      <c r="J18" s="161"/>
      <c r="K18" s="161"/>
      <c r="L18" s="161"/>
      <c r="M18" s="161"/>
    </row>
    <row r="19" spans="1:13" x14ac:dyDescent="0.25">
      <c r="A19" s="85" t="s">
        <v>301</v>
      </c>
      <c r="B19" s="162">
        <v>45107</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50</v>
      </c>
      <c r="B27" s="117">
        <v>0.77700000000000002</v>
      </c>
      <c r="C27" s="117">
        <v>0.77800000000000002</v>
      </c>
      <c r="D27" s="117">
        <v>0.77900000000000003</v>
      </c>
      <c r="E27" s="117">
        <v>0.78</v>
      </c>
      <c r="F27" s="117">
        <v>0.78100000000000003</v>
      </c>
      <c r="G27" s="117">
        <v>0.78200000000000003</v>
      </c>
      <c r="H27" s="117">
        <v>0.78300000000000003</v>
      </c>
      <c r="I27" s="117">
        <v>0.78400000000000003</v>
      </c>
      <c r="J27" s="117">
        <v>0.78500000000000003</v>
      </c>
      <c r="K27" s="117">
        <v>0.78600000000000003</v>
      </c>
      <c r="L27" s="117">
        <v>0.78800000000000003</v>
      </c>
      <c r="M27" s="117">
        <v>0.78900000000000003</v>
      </c>
    </row>
    <row r="28" spans="1:13" x14ac:dyDescent="0.25">
      <c r="A28" s="99">
        <v>51</v>
      </c>
      <c r="B28" s="117">
        <v>0.79</v>
      </c>
      <c r="C28" s="117">
        <v>0.79100000000000004</v>
      </c>
      <c r="D28" s="117">
        <v>0.79200000000000004</v>
      </c>
      <c r="E28" s="117">
        <v>0.79300000000000004</v>
      </c>
      <c r="F28" s="117">
        <v>0.79400000000000004</v>
      </c>
      <c r="G28" s="117">
        <v>0.79500000000000004</v>
      </c>
      <c r="H28" s="117">
        <v>0.79600000000000004</v>
      </c>
      <c r="I28" s="117">
        <v>0.79800000000000004</v>
      </c>
      <c r="J28" s="117">
        <v>0.79900000000000004</v>
      </c>
      <c r="K28" s="117">
        <v>0.8</v>
      </c>
      <c r="L28" s="117">
        <v>0.80100000000000005</v>
      </c>
      <c r="M28" s="117">
        <v>0.80200000000000005</v>
      </c>
    </row>
    <row r="29" spans="1:13" x14ac:dyDescent="0.25">
      <c r="A29" s="99">
        <v>52</v>
      </c>
      <c r="B29" s="117">
        <v>0.80300000000000005</v>
      </c>
      <c r="C29" s="117">
        <v>0.80400000000000005</v>
      </c>
      <c r="D29" s="117">
        <v>0.80500000000000005</v>
      </c>
      <c r="E29" s="117">
        <v>0.80700000000000005</v>
      </c>
      <c r="F29" s="117">
        <v>0.80800000000000005</v>
      </c>
      <c r="G29" s="117">
        <v>0.80900000000000005</v>
      </c>
      <c r="H29" s="117">
        <v>0.81</v>
      </c>
      <c r="I29" s="117">
        <v>0.81100000000000005</v>
      </c>
      <c r="J29" s="117">
        <v>0.81200000000000006</v>
      </c>
      <c r="K29" s="117">
        <v>0.81299999999999994</v>
      </c>
      <c r="L29" s="117">
        <v>0.81499999999999995</v>
      </c>
      <c r="M29" s="117">
        <v>0.81599999999999995</v>
      </c>
    </row>
    <row r="30" spans="1:13" x14ac:dyDescent="0.25">
      <c r="A30" s="99">
        <v>53</v>
      </c>
      <c r="B30" s="117">
        <v>0.81699999999999995</v>
      </c>
      <c r="C30" s="117">
        <v>0.81799999999999995</v>
      </c>
      <c r="D30" s="117">
        <v>0.81899999999999995</v>
      </c>
      <c r="E30" s="117">
        <v>0.82</v>
      </c>
      <c r="F30" s="117">
        <v>0.82099999999999995</v>
      </c>
      <c r="G30" s="117">
        <v>0.82299999999999995</v>
      </c>
      <c r="H30" s="117">
        <v>0.82399999999999995</v>
      </c>
      <c r="I30" s="117">
        <v>0.82499999999999996</v>
      </c>
      <c r="J30" s="117">
        <v>0.82599999999999996</v>
      </c>
      <c r="K30" s="117">
        <v>0.82699999999999996</v>
      </c>
      <c r="L30" s="117">
        <v>0.82799999999999996</v>
      </c>
      <c r="M30" s="117">
        <v>0.83</v>
      </c>
    </row>
    <row r="31" spans="1:13" x14ac:dyDescent="0.25">
      <c r="A31" s="99">
        <v>54</v>
      </c>
      <c r="B31" s="117">
        <v>0.83099999999999996</v>
      </c>
      <c r="C31" s="117">
        <v>0.83199999999999996</v>
      </c>
      <c r="D31" s="117">
        <v>0.83299999999999996</v>
      </c>
      <c r="E31" s="117">
        <v>0.83399999999999996</v>
      </c>
      <c r="F31" s="117">
        <v>0.83499999999999996</v>
      </c>
      <c r="G31" s="117">
        <v>0.83699999999999997</v>
      </c>
      <c r="H31" s="117">
        <v>0.83799999999999997</v>
      </c>
      <c r="I31" s="117">
        <v>0.83899999999999997</v>
      </c>
      <c r="J31" s="117">
        <v>0.84</v>
      </c>
      <c r="K31" s="117">
        <v>0.84099999999999997</v>
      </c>
      <c r="L31" s="117">
        <v>0.84299999999999997</v>
      </c>
      <c r="M31" s="117">
        <v>0.84399999999999997</v>
      </c>
    </row>
    <row r="32" spans="1:13" x14ac:dyDescent="0.25">
      <c r="A32" s="99">
        <v>55</v>
      </c>
      <c r="B32" s="117">
        <v>0.84499999999999997</v>
      </c>
      <c r="C32" s="117">
        <v>0.84599999999999997</v>
      </c>
      <c r="D32" s="117">
        <v>0.84699999999999998</v>
      </c>
      <c r="E32" s="117">
        <v>0.84799999999999998</v>
      </c>
      <c r="F32" s="117">
        <v>0.85</v>
      </c>
      <c r="G32" s="117">
        <v>0.85099999999999998</v>
      </c>
      <c r="H32" s="117">
        <v>0.85199999999999998</v>
      </c>
      <c r="I32" s="117">
        <v>0.85299999999999998</v>
      </c>
      <c r="J32" s="117">
        <v>0.85399999999999998</v>
      </c>
      <c r="K32" s="117">
        <v>0.85599999999999998</v>
      </c>
      <c r="L32" s="117">
        <v>0.85699999999999998</v>
      </c>
      <c r="M32" s="117">
        <v>0.85799999999999998</v>
      </c>
    </row>
    <row r="33" spans="1:13" x14ac:dyDescent="0.25">
      <c r="A33" s="99">
        <v>56</v>
      </c>
      <c r="B33" s="117">
        <v>0.85899999999999999</v>
      </c>
      <c r="C33" s="117">
        <v>0.86</v>
      </c>
      <c r="D33" s="117">
        <v>0.86199999999999999</v>
      </c>
      <c r="E33" s="117">
        <v>0.86299999999999999</v>
      </c>
      <c r="F33" s="117">
        <v>0.86399999999999999</v>
      </c>
      <c r="G33" s="117">
        <v>0.86499999999999999</v>
      </c>
      <c r="H33" s="117">
        <v>0.86699999999999999</v>
      </c>
      <c r="I33" s="117">
        <v>0.86799999999999999</v>
      </c>
      <c r="J33" s="117">
        <v>0.86899999999999999</v>
      </c>
      <c r="K33" s="117">
        <v>0.87</v>
      </c>
      <c r="L33" s="117">
        <v>0.871</v>
      </c>
      <c r="M33" s="117">
        <v>0.873</v>
      </c>
    </row>
    <row r="34" spans="1:13" x14ac:dyDescent="0.25">
      <c r="A34" s="99">
        <v>57</v>
      </c>
      <c r="B34" s="117">
        <v>0.874</v>
      </c>
      <c r="C34" s="117">
        <v>0.875</v>
      </c>
      <c r="D34" s="117">
        <v>0.876</v>
      </c>
      <c r="E34" s="117">
        <v>0.878</v>
      </c>
      <c r="F34" s="117">
        <v>0.879</v>
      </c>
      <c r="G34" s="117">
        <v>0.88</v>
      </c>
      <c r="H34" s="117">
        <v>0.88100000000000001</v>
      </c>
      <c r="I34" s="117">
        <v>0.88300000000000001</v>
      </c>
      <c r="J34" s="117">
        <v>0.88400000000000001</v>
      </c>
      <c r="K34" s="117">
        <v>0.88500000000000001</v>
      </c>
      <c r="L34" s="117">
        <v>0.88600000000000001</v>
      </c>
      <c r="M34" s="117">
        <v>0.88700000000000001</v>
      </c>
    </row>
    <row r="35" spans="1:13" x14ac:dyDescent="0.25">
      <c r="A35" s="99">
        <v>58</v>
      </c>
      <c r="B35" s="117">
        <v>0.88900000000000001</v>
      </c>
      <c r="C35" s="117">
        <v>0.89</v>
      </c>
      <c r="D35" s="117">
        <v>0.89100000000000001</v>
      </c>
      <c r="E35" s="117">
        <v>0.89200000000000002</v>
      </c>
      <c r="F35" s="117">
        <v>0.89400000000000002</v>
      </c>
      <c r="G35" s="117">
        <v>0.89500000000000002</v>
      </c>
      <c r="H35" s="117">
        <v>0.89600000000000002</v>
      </c>
      <c r="I35" s="117">
        <v>0.89800000000000002</v>
      </c>
      <c r="J35" s="117">
        <v>0.89900000000000002</v>
      </c>
      <c r="K35" s="117">
        <v>0.9</v>
      </c>
      <c r="L35" s="117">
        <v>0.90100000000000002</v>
      </c>
      <c r="M35" s="117">
        <v>0.90300000000000002</v>
      </c>
    </row>
    <row r="36" spans="1:13" x14ac:dyDescent="0.25">
      <c r="A36" s="99">
        <v>59</v>
      </c>
      <c r="B36" s="117">
        <v>0.90400000000000003</v>
      </c>
      <c r="C36" s="117">
        <v>0.90500000000000003</v>
      </c>
      <c r="D36" s="117">
        <v>0.90600000000000003</v>
      </c>
      <c r="E36" s="117">
        <v>0.90800000000000003</v>
      </c>
      <c r="F36" s="117">
        <v>0.90900000000000003</v>
      </c>
      <c r="G36" s="117">
        <v>0.91</v>
      </c>
      <c r="H36" s="117">
        <v>0.91100000000000003</v>
      </c>
      <c r="I36" s="117">
        <v>0.91300000000000003</v>
      </c>
      <c r="J36" s="117">
        <v>0.91400000000000003</v>
      </c>
      <c r="K36" s="117">
        <v>0.91500000000000004</v>
      </c>
      <c r="L36" s="117">
        <v>0.91700000000000004</v>
      </c>
      <c r="M36" s="117">
        <v>0.91800000000000004</v>
      </c>
    </row>
    <row r="37" spans="1:13" x14ac:dyDescent="0.25">
      <c r="A37" s="99">
        <v>60</v>
      </c>
      <c r="B37" s="117">
        <v>0.91900000000000004</v>
      </c>
      <c r="C37" s="117">
        <v>0.92</v>
      </c>
      <c r="D37" s="117">
        <v>0.92200000000000004</v>
      </c>
      <c r="E37" s="117">
        <v>0.92300000000000004</v>
      </c>
      <c r="F37" s="117">
        <v>0.92400000000000004</v>
      </c>
      <c r="G37" s="117">
        <v>0.92600000000000005</v>
      </c>
      <c r="H37" s="117">
        <v>0.92700000000000005</v>
      </c>
      <c r="I37" s="117">
        <v>0.92800000000000005</v>
      </c>
      <c r="J37" s="117">
        <v>0.93</v>
      </c>
      <c r="K37" s="117">
        <v>0.93100000000000005</v>
      </c>
      <c r="L37" s="117">
        <v>0.93200000000000005</v>
      </c>
      <c r="M37" s="117">
        <v>0.93300000000000005</v>
      </c>
    </row>
    <row r="38" spans="1:13" x14ac:dyDescent="0.25">
      <c r="A38" s="99">
        <v>61</v>
      </c>
      <c r="B38" s="117">
        <v>0.93500000000000005</v>
      </c>
      <c r="C38" s="117">
        <v>0.93600000000000005</v>
      </c>
      <c r="D38" s="117">
        <v>0.93700000000000006</v>
      </c>
      <c r="E38" s="117">
        <v>0.93899999999999995</v>
      </c>
      <c r="F38" s="117">
        <v>0.94</v>
      </c>
      <c r="G38" s="117">
        <v>0.94099999999999995</v>
      </c>
      <c r="H38" s="117">
        <v>0.94299999999999995</v>
      </c>
      <c r="I38" s="117">
        <v>0.94399999999999995</v>
      </c>
      <c r="J38" s="117">
        <v>0.94499999999999995</v>
      </c>
      <c r="K38" s="117">
        <v>0.94699999999999995</v>
      </c>
      <c r="L38" s="117">
        <v>0.94799999999999995</v>
      </c>
      <c r="M38" s="117">
        <v>0.94899999999999995</v>
      </c>
    </row>
    <row r="39" spans="1:13" x14ac:dyDescent="0.25">
      <c r="A39" s="99">
        <v>62</v>
      </c>
      <c r="B39" s="117">
        <v>0.95099999999999996</v>
      </c>
      <c r="C39" s="117">
        <v>0.95199999999999996</v>
      </c>
      <c r="D39" s="117">
        <v>0.95299999999999996</v>
      </c>
      <c r="E39" s="117">
        <v>0.95499999999999996</v>
      </c>
      <c r="F39" s="117">
        <v>0.95599999999999996</v>
      </c>
      <c r="G39" s="117">
        <v>0.95699999999999996</v>
      </c>
      <c r="H39" s="117">
        <v>0.95899999999999996</v>
      </c>
      <c r="I39" s="117">
        <v>0.96</v>
      </c>
      <c r="J39" s="117">
        <v>0.96099999999999997</v>
      </c>
      <c r="K39" s="117">
        <v>0.96299999999999997</v>
      </c>
      <c r="L39" s="117">
        <v>0.96399999999999997</v>
      </c>
      <c r="M39" s="117">
        <v>0.96599999999999997</v>
      </c>
    </row>
    <row r="40" spans="1:13" x14ac:dyDescent="0.25">
      <c r="A40" s="99">
        <v>63</v>
      </c>
      <c r="B40" s="117">
        <v>0.96699999999999997</v>
      </c>
      <c r="C40" s="117">
        <v>0.96799999999999997</v>
      </c>
      <c r="D40" s="117">
        <v>0.97</v>
      </c>
      <c r="E40" s="117">
        <v>0.97099999999999997</v>
      </c>
      <c r="F40" s="117">
        <v>0.97199999999999998</v>
      </c>
      <c r="G40" s="117">
        <v>0.97399999999999998</v>
      </c>
      <c r="H40" s="117">
        <v>0.97499999999999998</v>
      </c>
      <c r="I40" s="117">
        <v>0.97599999999999998</v>
      </c>
      <c r="J40" s="117">
        <v>0.97799999999999998</v>
      </c>
      <c r="K40" s="117">
        <v>0.97899999999999998</v>
      </c>
      <c r="L40" s="117">
        <v>0.98099999999999998</v>
      </c>
      <c r="M40" s="117">
        <v>0.98199999999999998</v>
      </c>
    </row>
    <row r="41" spans="1:13" x14ac:dyDescent="0.25">
      <c r="A41" s="99">
        <v>64</v>
      </c>
      <c r="B41" s="117">
        <v>0.98299999999999998</v>
      </c>
      <c r="C41" s="117">
        <v>0.98499999999999999</v>
      </c>
      <c r="D41" s="117">
        <v>0.98599999999999999</v>
      </c>
      <c r="E41" s="117">
        <v>0.98699999999999999</v>
      </c>
      <c r="F41" s="117">
        <v>0.98899999999999999</v>
      </c>
      <c r="G41" s="117">
        <v>0.99</v>
      </c>
      <c r="H41" s="117">
        <v>0.99199999999999999</v>
      </c>
      <c r="I41" s="117">
        <v>0.99299999999999999</v>
      </c>
      <c r="J41" s="117">
        <v>0.99399999999999999</v>
      </c>
      <c r="K41" s="117">
        <v>0.996</v>
      </c>
      <c r="L41" s="117">
        <v>0.997</v>
      </c>
      <c r="M41" s="117">
        <v>0.999</v>
      </c>
    </row>
    <row r="42" spans="1:13" x14ac:dyDescent="0.25">
      <c r="A42" s="99">
        <v>65</v>
      </c>
      <c r="B42" s="117">
        <v>1</v>
      </c>
      <c r="C42" s="117"/>
      <c r="D42" s="117"/>
      <c r="E42" s="117"/>
      <c r="F42" s="117"/>
      <c r="G42" s="117"/>
      <c r="H42" s="117"/>
      <c r="I42" s="117"/>
      <c r="J42" s="117"/>
      <c r="K42" s="117"/>
      <c r="L42" s="117"/>
      <c r="M42" s="117"/>
    </row>
    <row r="44" spans="1:13" ht="39.65" customHeight="1" x14ac:dyDescent="0.25"/>
    <row r="46" spans="1:13" ht="27.65" customHeight="1" x14ac:dyDescent="0.25"/>
  </sheetData>
  <sheetProtection algorithmName="SHA-512" hashValue="CC+jXaZScznWwBYqH5SRY2tMHKWFvEF2ESPFmXyHHIXkahra+xqkTqoohuA8j1PjYzp/YSmGTI77SKoc0G57Gw==" saltValue="wrDVpqG4ECk5m8DyQ8npxw==" spinCount="100000" sheet="1" objects="1" scenarios="1"/>
  <conditionalFormatting sqref="A6:A21">
    <cfRule type="expression" dxfId="771" priority="7" stopIfTrue="1">
      <formula>MOD(ROW(),2)=0</formula>
    </cfRule>
    <cfRule type="expression" dxfId="770" priority="8" stopIfTrue="1">
      <formula>MOD(ROW(),2)&lt;&gt;0</formula>
    </cfRule>
  </conditionalFormatting>
  <conditionalFormatting sqref="A26:A42">
    <cfRule type="expression" dxfId="769" priority="1" stopIfTrue="1">
      <formula>MOD(ROW(),2)=0</formula>
    </cfRule>
    <cfRule type="expression" dxfId="768" priority="2" stopIfTrue="1">
      <formula>MOD(ROW(),2)&lt;&gt;0</formula>
    </cfRule>
  </conditionalFormatting>
  <conditionalFormatting sqref="B17:B21">
    <cfRule type="expression" dxfId="767" priority="5" stopIfTrue="1">
      <formula>MOD(ROW(),2)=0</formula>
    </cfRule>
    <cfRule type="expression" dxfId="766" priority="6" stopIfTrue="1">
      <formula>MOD(ROW(),2)&lt;&gt;0</formula>
    </cfRule>
  </conditionalFormatting>
  <conditionalFormatting sqref="B6:M21">
    <cfRule type="expression" dxfId="765" priority="15" stopIfTrue="1">
      <formula>MOD(ROW(),2)=0</formula>
    </cfRule>
    <cfRule type="expression" dxfId="764" priority="16" stopIfTrue="1">
      <formula>MOD(ROW(),2)&lt;&gt;0</formula>
    </cfRule>
  </conditionalFormatting>
  <conditionalFormatting sqref="B26:M42">
    <cfRule type="expression" dxfId="763" priority="3" stopIfTrue="1">
      <formula>MOD(ROW(),2)=0</formula>
    </cfRule>
    <cfRule type="expression" dxfId="762" priority="4" stopIfTrue="1">
      <formula>MOD(ROW(),2)&lt;&gt;0</formula>
    </cfRule>
  </conditionalFormatting>
  <hyperlinks>
    <hyperlink ref="B24" location="Assumptions!A1" display="Assumptions" xr:uid="{A46A44AB-966B-4416-B1D1-D5A1307A042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3"/>
  <dimension ref="A1:AB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5" width="10" style="25"/>
    <col min="16" max="16" width="31.90625" style="25" customWidth="1"/>
    <col min="17" max="28" width="22.90625" style="25" customWidth="1"/>
    <col min="29" max="16384" width="10" style="25"/>
  </cols>
  <sheetData>
    <row r="1" spans="1:28" ht="20" x14ac:dyDescent="0.4">
      <c r="A1" s="36" t="s">
        <v>0</v>
      </c>
      <c r="B1" s="37"/>
      <c r="C1" s="37"/>
      <c r="D1" s="37"/>
      <c r="E1" s="37"/>
      <c r="F1" s="37"/>
      <c r="G1" s="37"/>
      <c r="H1" s="37"/>
      <c r="I1" s="37"/>
    </row>
    <row r="2" spans="1:28" ht="15.5" x14ac:dyDescent="0.35">
      <c r="A2" s="38" t="str">
        <f>IF(title="&gt; Enter workbook title here","Enter workbook title in Cover sheet",title)</f>
        <v>NHSPS_NI - Consolidated Factor Spreadsheet</v>
      </c>
      <c r="B2" s="39"/>
      <c r="C2" s="39"/>
      <c r="D2" s="39"/>
      <c r="E2" s="39"/>
      <c r="F2" s="39"/>
      <c r="G2" s="39"/>
      <c r="H2" s="39"/>
      <c r="I2" s="39"/>
    </row>
    <row r="3" spans="1:28" ht="15.5" x14ac:dyDescent="0.35">
      <c r="A3" s="40" t="str">
        <f>TABLE_FACTOR_TYPE_1&amp;" - x-"&amp;TABLE_SERIES_NUMBER_1</f>
        <v>ERF - x-409</v>
      </c>
      <c r="B3" s="39"/>
      <c r="C3" s="39"/>
      <c r="D3" s="39"/>
      <c r="E3" s="39"/>
      <c r="F3" s="39"/>
      <c r="G3" s="39"/>
      <c r="H3" s="39"/>
      <c r="I3" s="39"/>
    </row>
    <row r="4" spans="1:28" x14ac:dyDescent="0.25">
      <c r="A4" s="41"/>
    </row>
    <row r="6" spans="1:28" ht="13" x14ac:dyDescent="0.3">
      <c r="A6" s="83" t="s">
        <v>276</v>
      </c>
      <c r="B6" s="161" t="s">
        <v>277</v>
      </c>
      <c r="C6" s="161"/>
      <c r="D6" s="161"/>
      <c r="E6" s="161"/>
      <c r="F6" s="161"/>
      <c r="G6" s="161"/>
      <c r="H6" s="161"/>
      <c r="I6" s="161"/>
      <c r="J6" s="161"/>
      <c r="K6" s="161"/>
      <c r="L6" s="161"/>
      <c r="M6" s="161"/>
      <c r="P6" s="83" t="s">
        <v>276</v>
      </c>
      <c r="Q6" s="161" t="s">
        <v>277</v>
      </c>
      <c r="R6" s="161"/>
      <c r="S6" s="161"/>
      <c r="T6" s="161"/>
      <c r="U6" s="161"/>
      <c r="V6" s="161"/>
      <c r="W6" s="161"/>
      <c r="X6" s="161"/>
      <c r="Y6" s="161"/>
      <c r="Z6" s="161"/>
      <c r="AA6" s="161"/>
      <c r="AB6" s="161"/>
    </row>
    <row r="7" spans="1:28" x14ac:dyDescent="0.25">
      <c r="A7" s="85" t="s">
        <v>278</v>
      </c>
      <c r="B7" s="161" t="s">
        <v>310</v>
      </c>
      <c r="C7" s="161"/>
      <c r="D7" s="161"/>
      <c r="E7" s="161"/>
      <c r="F7" s="161"/>
      <c r="G7" s="161"/>
      <c r="H7" s="161"/>
      <c r="I7" s="161"/>
      <c r="J7" s="161"/>
      <c r="K7" s="161"/>
      <c r="L7" s="161"/>
      <c r="M7" s="161"/>
      <c r="P7" s="85" t="s">
        <v>278</v>
      </c>
      <c r="Q7" s="161" t="s">
        <v>310</v>
      </c>
      <c r="R7" s="161"/>
      <c r="S7" s="161"/>
      <c r="T7" s="161"/>
      <c r="U7" s="161"/>
      <c r="V7" s="161"/>
      <c r="W7" s="161"/>
      <c r="X7" s="161"/>
      <c r="Y7" s="161"/>
      <c r="Z7" s="161"/>
      <c r="AA7" s="161"/>
      <c r="AB7" s="161"/>
    </row>
    <row r="8" spans="1:28" x14ac:dyDescent="0.25">
      <c r="A8" s="85" t="s">
        <v>280</v>
      </c>
      <c r="B8" s="161" t="s">
        <v>75</v>
      </c>
      <c r="C8" s="161"/>
      <c r="D8" s="161"/>
      <c r="E8" s="161"/>
      <c r="F8" s="161"/>
      <c r="G8" s="161"/>
      <c r="H8" s="161"/>
      <c r="I8" s="161"/>
      <c r="J8" s="161"/>
      <c r="K8" s="161"/>
      <c r="L8" s="161"/>
      <c r="M8" s="161"/>
      <c r="P8" s="85" t="s">
        <v>280</v>
      </c>
      <c r="Q8" s="161" t="s">
        <v>75</v>
      </c>
      <c r="R8" s="161"/>
      <c r="S8" s="161"/>
      <c r="T8" s="161"/>
      <c r="U8" s="161"/>
      <c r="V8" s="161"/>
      <c r="W8" s="161"/>
      <c r="X8" s="161"/>
      <c r="Y8" s="161"/>
      <c r="Z8" s="161"/>
      <c r="AA8" s="161"/>
      <c r="AB8" s="161"/>
    </row>
    <row r="9" spans="1:28" x14ac:dyDescent="0.25">
      <c r="A9" s="85" t="s">
        <v>282</v>
      </c>
      <c r="B9" s="161" t="s">
        <v>396</v>
      </c>
      <c r="C9" s="161"/>
      <c r="D9" s="161"/>
      <c r="E9" s="161"/>
      <c r="F9" s="161"/>
      <c r="G9" s="161"/>
      <c r="H9" s="161"/>
      <c r="I9" s="161"/>
      <c r="J9" s="161"/>
      <c r="K9" s="161"/>
      <c r="L9" s="161"/>
      <c r="M9" s="161"/>
      <c r="P9" s="85" t="s">
        <v>282</v>
      </c>
      <c r="Q9" s="161" t="s">
        <v>396</v>
      </c>
      <c r="R9" s="161"/>
      <c r="S9" s="161"/>
      <c r="T9" s="161"/>
      <c r="U9" s="161"/>
      <c r="V9" s="161"/>
      <c r="W9" s="161"/>
      <c r="X9" s="161"/>
      <c r="Y9" s="161"/>
      <c r="Z9" s="161"/>
      <c r="AA9" s="161"/>
      <c r="AB9" s="161"/>
    </row>
    <row r="10" spans="1:28" x14ac:dyDescent="0.25">
      <c r="A10" s="85" t="s">
        <v>6</v>
      </c>
      <c r="B10" s="161" t="s">
        <v>429</v>
      </c>
      <c r="C10" s="161"/>
      <c r="D10" s="161"/>
      <c r="E10" s="161"/>
      <c r="F10" s="161"/>
      <c r="G10" s="161"/>
      <c r="H10" s="161"/>
      <c r="I10" s="161"/>
      <c r="J10" s="161"/>
      <c r="K10" s="161"/>
      <c r="L10" s="161"/>
      <c r="M10" s="161"/>
      <c r="P10" s="85" t="s">
        <v>6</v>
      </c>
      <c r="Q10" s="161" t="s">
        <v>432</v>
      </c>
      <c r="R10" s="161"/>
      <c r="S10" s="161"/>
      <c r="T10" s="161"/>
      <c r="U10" s="161"/>
      <c r="V10" s="161"/>
      <c r="W10" s="161"/>
      <c r="X10" s="161"/>
      <c r="Y10" s="161"/>
      <c r="Z10" s="161"/>
      <c r="AA10" s="161"/>
      <c r="AB10" s="161"/>
    </row>
    <row r="11" spans="1:28" x14ac:dyDescent="0.25">
      <c r="A11" s="85" t="s">
        <v>285</v>
      </c>
      <c r="B11" s="161" t="s">
        <v>359</v>
      </c>
      <c r="C11" s="161"/>
      <c r="D11" s="161"/>
      <c r="E11" s="161"/>
      <c r="F11" s="161"/>
      <c r="G11" s="161"/>
      <c r="H11" s="161"/>
      <c r="I11" s="161"/>
      <c r="J11" s="161"/>
      <c r="K11" s="161"/>
      <c r="L11" s="161"/>
      <c r="M11" s="161"/>
      <c r="P11" s="85" t="s">
        <v>285</v>
      </c>
      <c r="Q11" s="161" t="s">
        <v>359</v>
      </c>
      <c r="R11" s="161"/>
      <c r="S11" s="161"/>
      <c r="T11" s="161"/>
      <c r="U11" s="161"/>
      <c r="V11" s="161"/>
      <c r="W11" s="161"/>
      <c r="X11" s="161"/>
      <c r="Y11" s="161"/>
      <c r="Z11" s="161"/>
      <c r="AA11" s="161"/>
      <c r="AB11" s="161"/>
    </row>
    <row r="12" spans="1:28" x14ac:dyDescent="0.25">
      <c r="A12" s="85" t="s">
        <v>287</v>
      </c>
      <c r="B12" s="161" t="s">
        <v>398</v>
      </c>
      <c r="C12" s="161"/>
      <c r="D12" s="161"/>
      <c r="E12" s="161"/>
      <c r="F12" s="161"/>
      <c r="G12" s="161"/>
      <c r="H12" s="161"/>
      <c r="I12" s="161"/>
      <c r="J12" s="161"/>
      <c r="K12" s="161"/>
      <c r="L12" s="161"/>
      <c r="M12" s="161"/>
      <c r="P12" s="85" t="s">
        <v>287</v>
      </c>
      <c r="Q12" s="161" t="s">
        <v>398</v>
      </c>
      <c r="R12" s="161"/>
      <c r="S12" s="161"/>
      <c r="T12" s="161"/>
      <c r="U12" s="161"/>
      <c r="V12" s="161"/>
      <c r="W12" s="161"/>
      <c r="X12" s="161"/>
      <c r="Y12" s="161"/>
      <c r="Z12" s="161"/>
      <c r="AA12" s="161"/>
      <c r="AB12" s="161"/>
    </row>
    <row r="13" spans="1:28" x14ac:dyDescent="0.25">
      <c r="A13" s="85" t="s">
        <v>289</v>
      </c>
      <c r="B13" s="161">
        <v>1</v>
      </c>
      <c r="C13" s="161"/>
      <c r="D13" s="161"/>
      <c r="E13" s="161"/>
      <c r="F13" s="161"/>
      <c r="G13" s="161"/>
      <c r="H13" s="161"/>
      <c r="I13" s="161"/>
      <c r="J13" s="161"/>
      <c r="K13" s="161"/>
      <c r="L13" s="161"/>
      <c r="M13" s="161"/>
      <c r="P13" s="85" t="s">
        <v>289</v>
      </c>
      <c r="Q13" s="161">
        <v>1</v>
      </c>
      <c r="R13" s="161"/>
      <c r="S13" s="161"/>
      <c r="T13" s="161"/>
      <c r="U13" s="161"/>
      <c r="V13" s="161"/>
      <c r="W13" s="161"/>
      <c r="X13" s="161"/>
      <c r="Y13" s="161"/>
      <c r="Z13" s="161"/>
      <c r="AA13" s="161"/>
      <c r="AB13" s="161"/>
    </row>
    <row r="14" spans="1:28" x14ac:dyDescent="0.25">
      <c r="A14" s="85" t="s">
        <v>291</v>
      </c>
      <c r="B14" s="161">
        <v>409</v>
      </c>
      <c r="C14" s="161"/>
      <c r="D14" s="161"/>
      <c r="E14" s="161"/>
      <c r="F14" s="161"/>
      <c r="G14" s="161"/>
      <c r="H14" s="161"/>
      <c r="I14" s="161"/>
      <c r="J14" s="161"/>
      <c r="K14" s="161"/>
      <c r="L14" s="161"/>
      <c r="M14" s="161"/>
      <c r="P14" s="85" t="s">
        <v>291</v>
      </c>
      <c r="Q14" s="161">
        <v>409</v>
      </c>
      <c r="R14" s="161"/>
      <c r="S14" s="161"/>
      <c r="T14" s="161"/>
      <c r="U14" s="161"/>
      <c r="V14" s="161"/>
      <c r="W14" s="161"/>
      <c r="X14" s="161"/>
      <c r="Y14" s="161"/>
      <c r="Z14" s="161"/>
      <c r="AA14" s="161"/>
      <c r="AB14" s="161"/>
    </row>
    <row r="15" spans="1:28" x14ac:dyDescent="0.25">
      <c r="A15" s="85" t="s">
        <v>293</v>
      </c>
      <c r="B15" s="161" t="s">
        <v>430</v>
      </c>
      <c r="C15" s="161"/>
      <c r="D15" s="161"/>
      <c r="E15" s="161"/>
      <c r="F15" s="161"/>
      <c r="G15" s="161"/>
      <c r="H15" s="161"/>
      <c r="I15" s="161"/>
      <c r="J15" s="161"/>
      <c r="K15" s="161"/>
      <c r="L15" s="161"/>
      <c r="M15" s="161"/>
      <c r="P15" s="85" t="s">
        <v>293</v>
      </c>
      <c r="Q15" s="161" t="s">
        <v>433</v>
      </c>
      <c r="R15" s="161"/>
      <c r="S15" s="161"/>
      <c r="T15" s="161"/>
      <c r="U15" s="161"/>
      <c r="V15" s="161"/>
      <c r="W15" s="161"/>
      <c r="X15" s="161"/>
      <c r="Y15" s="161"/>
      <c r="Z15" s="161"/>
      <c r="AA15" s="161"/>
      <c r="AB15" s="161"/>
    </row>
    <row r="16" spans="1:28" x14ac:dyDescent="0.25">
      <c r="A16" s="85" t="s">
        <v>295</v>
      </c>
      <c r="B16" s="161" t="s">
        <v>431</v>
      </c>
      <c r="C16" s="161"/>
      <c r="D16" s="161"/>
      <c r="E16" s="161"/>
      <c r="F16" s="161"/>
      <c r="G16" s="161"/>
      <c r="H16" s="161"/>
      <c r="I16" s="161"/>
      <c r="J16" s="161"/>
      <c r="K16" s="161"/>
      <c r="L16" s="161"/>
      <c r="M16" s="161"/>
      <c r="P16" s="85" t="s">
        <v>295</v>
      </c>
      <c r="Q16" s="161" t="s">
        <v>434</v>
      </c>
      <c r="R16" s="161"/>
      <c r="S16" s="161"/>
      <c r="T16" s="161"/>
      <c r="U16" s="161"/>
      <c r="V16" s="161"/>
      <c r="W16" s="161"/>
      <c r="X16" s="161"/>
      <c r="Y16" s="161"/>
      <c r="Z16" s="161"/>
      <c r="AA16" s="161"/>
      <c r="AB16" s="161"/>
    </row>
    <row r="17" spans="1:28" x14ac:dyDescent="0.25">
      <c r="A17" s="69" t="s">
        <v>725</v>
      </c>
      <c r="B17" s="161"/>
      <c r="C17" s="161"/>
      <c r="D17" s="161"/>
      <c r="E17" s="161"/>
      <c r="F17" s="161"/>
      <c r="G17" s="161"/>
      <c r="H17" s="161"/>
      <c r="I17" s="161"/>
      <c r="J17" s="161"/>
      <c r="K17" s="161"/>
      <c r="L17" s="161"/>
      <c r="M17" s="161"/>
      <c r="P17" s="69" t="s">
        <v>725</v>
      </c>
      <c r="Q17" s="161"/>
      <c r="R17" s="161"/>
      <c r="S17" s="161"/>
      <c r="T17" s="161"/>
      <c r="U17" s="161"/>
      <c r="V17" s="161"/>
      <c r="W17" s="161"/>
      <c r="X17" s="161"/>
      <c r="Y17" s="161"/>
      <c r="Z17" s="161"/>
      <c r="AA17" s="161"/>
      <c r="AB17" s="161"/>
    </row>
    <row r="18" spans="1:28" x14ac:dyDescent="0.25">
      <c r="A18" s="85" t="s">
        <v>299</v>
      </c>
      <c r="B18" s="162">
        <v>45107</v>
      </c>
      <c r="C18" s="161"/>
      <c r="D18" s="161"/>
      <c r="E18" s="161"/>
      <c r="F18" s="161"/>
      <c r="G18" s="161"/>
      <c r="H18" s="161"/>
      <c r="I18" s="161"/>
      <c r="J18" s="161"/>
      <c r="K18" s="161"/>
      <c r="L18" s="161"/>
      <c r="M18" s="161"/>
      <c r="P18" s="85" t="s">
        <v>299</v>
      </c>
      <c r="Q18" s="162">
        <v>45107</v>
      </c>
      <c r="R18" s="161"/>
      <c r="S18" s="161"/>
      <c r="T18" s="161"/>
      <c r="U18" s="161"/>
      <c r="V18" s="161"/>
      <c r="W18" s="161"/>
      <c r="X18" s="161"/>
      <c r="Y18" s="161"/>
      <c r="Z18" s="161"/>
      <c r="AA18" s="161"/>
      <c r="AB18" s="161"/>
    </row>
    <row r="19" spans="1:28" x14ac:dyDescent="0.25">
      <c r="A19" s="85" t="s">
        <v>301</v>
      </c>
      <c r="B19" s="162">
        <v>45107</v>
      </c>
      <c r="C19" s="161"/>
      <c r="D19" s="161"/>
      <c r="E19" s="161"/>
      <c r="F19" s="161"/>
      <c r="G19" s="161"/>
      <c r="H19" s="161"/>
      <c r="I19" s="161"/>
      <c r="J19" s="161"/>
      <c r="K19" s="161"/>
      <c r="L19" s="161"/>
      <c r="M19" s="161"/>
      <c r="P19" s="85" t="s">
        <v>301</v>
      </c>
      <c r="Q19" s="162">
        <v>45107</v>
      </c>
      <c r="R19" s="161"/>
      <c r="S19" s="161"/>
      <c r="T19" s="161"/>
      <c r="U19" s="161"/>
      <c r="V19" s="161"/>
      <c r="W19" s="161"/>
      <c r="X19" s="161"/>
      <c r="Y19" s="161"/>
      <c r="Z19" s="161"/>
      <c r="AA19" s="161"/>
      <c r="AB19" s="161"/>
    </row>
    <row r="20" spans="1:28" x14ac:dyDescent="0.25">
      <c r="A20" s="85" t="s">
        <v>303</v>
      </c>
      <c r="B20" s="161" t="s">
        <v>317</v>
      </c>
      <c r="C20" s="161"/>
      <c r="D20" s="161"/>
      <c r="E20" s="161"/>
      <c r="F20" s="161"/>
      <c r="G20" s="161"/>
      <c r="H20" s="161"/>
      <c r="I20" s="161"/>
      <c r="J20" s="161"/>
      <c r="K20" s="161"/>
      <c r="L20" s="161"/>
      <c r="M20" s="161"/>
      <c r="P20" s="85" t="s">
        <v>303</v>
      </c>
      <c r="Q20" s="161" t="s">
        <v>317</v>
      </c>
      <c r="R20" s="161"/>
      <c r="S20" s="161"/>
      <c r="T20" s="161"/>
      <c r="U20" s="161"/>
      <c r="V20" s="161"/>
      <c r="W20" s="161"/>
      <c r="X20" s="161"/>
      <c r="Y20" s="161"/>
      <c r="Z20" s="161"/>
      <c r="AA20" s="161"/>
      <c r="AB20" s="161"/>
    </row>
    <row r="21" spans="1:28" x14ac:dyDescent="0.25">
      <c r="A21" s="85" t="s">
        <v>309</v>
      </c>
      <c r="B21" s="161" t="s">
        <v>318</v>
      </c>
      <c r="C21" s="161"/>
      <c r="D21" s="161"/>
      <c r="E21" s="161"/>
      <c r="F21" s="161"/>
      <c r="G21" s="161"/>
      <c r="H21" s="161"/>
      <c r="I21" s="161"/>
      <c r="J21" s="161"/>
      <c r="K21" s="161"/>
      <c r="L21" s="161"/>
      <c r="M21" s="161"/>
      <c r="P21" s="85" t="s">
        <v>309</v>
      </c>
      <c r="Q21" s="161" t="s">
        <v>318</v>
      </c>
      <c r="R21" s="161"/>
      <c r="S21" s="161"/>
      <c r="T21" s="161"/>
      <c r="U21" s="161"/>
      <c r="V21" s="161"/>
      <c r="W21" s="161"/>
      <c r="X21" s="161"/>
      <c r="Y21" s="161"/>
      <c r="Z21" s="161"/>
      <c r="AA21" s="161"/>
      <c r="AB21" s="161"/>
    </row>
    <row r="23" spans="1:28" x14ac:dyDescent="0.25">
      <c r="B23" s="103" t="str">
        <f>HYPERLINK("#'Factor List'!A1","Back to Factor List")</f>
        <v>Back to Factor List</v>
      </c>
    </row>
    <row r="24" spans="1:28" x14ac:dyDescent="0.25">
      <c r="B24" s="103" t="s">
        <v>15</v>
      </c>
    </row>
    <row r="26" spans="1:28" ht="13" x14ac:dyDescent="0.25">
      <c r="A26" s="98" t="s">
        <v>763</v>
      </c>
      <c r="B26" s="98">
        <v>0</v>
      </c>
      <c r="C26" s="98">
        <v>1</v>
      </c>
      <c r="D26" s="98">
        <v>2</v>
      </c>
      <c r="E26" s="98">
        <v>3</v>
      </c>
      <c r="F26" s="98">
        <v>4</v>
      </c>
      <c r="G26" s="98">
        <v>5</v>
      </c>
      <c r="H26" s="98">
        <v>6</v>
      </c>
      <c r="I26" s="98">
        <v>7</v>
      </c>
      <c r="J26" s="98">
        <v>8</v>
      </c>
      <c r="K26" s="98">
        <v>9</v>
      </c>
      <c r="L26" s="98">
        <v>10</v>
      </c>
      <c r="M26" s="98">
        <v>11</v>
      </c>
      <c r="P26" s="98" t="s">
        <v>763</v>
      </c>
      <c r="Q26" s="98">
        <v>0</v>
      </c>
      <c r="R26" s="98">
        <v>1</v>
      </c>
      <c r="S26" s="98">
        <v>2</v>
      </c>
      <c r="T26" s="98">
        <v>3</v>
      </c>
      <c r="U26" s="98">
        <v>4</v>
      </c>
      <c r="V26" s="98">
        <v>5</v>
      </c>
      <c r="W26" s="98">
        <v>6</v>
      </c>
      <c r="X26" s="98">
        <v>7</v>
      </c>
      <c r="Y26" s="98">
        <v>8</v>
      </c>
      <c r="Z26" s="98">
        <v>9</v>
      </c>
      <c r="AA26" s="98">
        <v>10</v>
      </c>
      <c r="AB26" s="98">
        <v>11</v>
      </c>
    </row>
    <row r="27" spans="1:28" x14ac:dyDescent="0.25">
      <c r="A27" s="99">
        <v>50</v>
      </c>
      <c r="B27" s="117">
        <v>0.19800000000000001</v>
      </c>
      <c r="C27" s="117">
        <v>0.19500000000000001</v>
      </c>
      <c r="D27" s="117">
        <v>0.192</v>
      </c>
      <c r="E27" s="117">
        <v>0.188</v>
      </c>
      <c r="F27" s="117">
        <v>0.185</v>
      </c>
      <c r="G27" s="117">
        <v>0.182</v>
      </c>
      <c r="H27" s="117">
        <v>0.17799999999999999</v>
      </c>
      <c r="I27" s="117">
        <v>0.17499999999999999</v>
      </c>
      <c r="J27" s="117">
        <v>0.17199999999999999</v>
      </c>
      <c r="K27" s="117">
        <v>0.16900000000000001</v>
      </c>
      <c r="L27" s="117">
        <v>0.16500000000000001</v>
      </c>
      <c r="M27" s="117">
        <v>0.16200000000000001</v>
      </c>
      <c r="P27" s="99">
        <v>50</v>
      </c>
      <c r="Q27" s="117">
        <v>0.98499999999999999</v>
      </c>
      <c r="R27" s="117">
        <v>0.98699999999999999</v>
      </c>
      <c r="S27" s="117">
        <v>0.98899999999999999</v>
      </c>
      <c r="T27" s="117">
        <v>0.99</v>
      </c>
      <c r="U27" s="117">
        <v>0.99199999999999999</v>
      </c>
      <c r="V27" s="117">
        <v>0.99399999999999999</v>
      </c>
      <c r="W27" s="117">
        <v>0.995</v>
      </c>
      <c r="X27" s="117">
        <v>0.997</v>
      </c>
      <c r="Y27" s="117">
        <v>0.999</v>
      </c>
      <c r="Z27" s="117">
        <v>1</v>
      </c>
      <c r="AA27" s="117">
        <v>1.002</v>
      </c>
      <c r="AB27" s="117">
        <v>1.0029999999999999</v>
      </c>
    </row>
    <row r="28" spans="1:28" x14ac:dyDescent="0.25">
      <c r="A28" s="99">
        <v>51</v>
      </c>
      <c r="B28" s="117">
        <v>0.159</v>
      </c>
      <c r="C28" s="117">
        <v>0.155</v>
      </c>
      <c r="D28" s="117">
        <v>0.152</v>
      </c>
      <c r="E28" s="117">
        <v>0.14899999999999999</v>
      </c>
      <c r="F28" s="117">
        <v>0.14599999999999999</v>
      </c>
      <c r="G28" s="117">
        <v>0.14199999999999999</v>
      </c>
      <c r="H28" s="117">
        <v>0.13900000000000001</v>
      </c>
      <c r="I28" s="117">
        <v>0.13600000000000001</v>
      </c>
      <c r="J28" s="117">
        <v>0.13200000000000001</v>
      </c>
      <c r="K28" s="117">
        <v>0.129</v>
      </c>
      <c r="L28" s="117">
        <v>0.126</v>
      </c>
      <c r="M28" s="117">
        <v>0.122</v>
      </c>
      <c r="P28" s="99">
        <v>51</v>
      </c>
      <c r="Q28" s="117">
        <v>1.0049999999999999</v>
      </c>
      <c r="R28" s="117">
        <v>1.0069999999999999</v>
      </c>
      <c r="S28" s="117">
        <v>1.008</v>
      </c>
      <c r="T28" s="117">
        <v>1.01</v>
      </c>
      <c r="U28" s="117">
        <v>1.012</v>
      </c>
      <c r="V28" s="117">
        <v>1.0129999999999999</v>
      </c>
      <c r="W28" s="117">
        <v>1.0149999999999999</v>
      </c>
      <c r="X28" s="117">
        <v>1.0169999999999999</v>
      </c>
      <c r="Y28" s="117">
        <v>1.018</v>
      </c>
      <c r="Z28" s="117">
        <v>1.02</v>
      </c>
      <c r="AA28" s="117">
        <v>1.022</v>
      </c>
      <c r="AB28" s="117">
        <v>1.024</v>
      </c>
    </row>
    <row r="29" spans="1:28" x14ac:dyDescent="0.25">
      <c r="A29" s="99">
        <v>52</v>
      </c>
      <c r="B29" s="117">
        <v>0.11899999999999999</v>
      </c>
      <c r="C29" s="117">
        <v>0.11600000000000001</v>
      </c>
      <c r="D29" s="117">
        <v>0.113</v>
      </c>
      <c r="E29" s="117">
        <v>0.109</v>
      </c>
      <c r="F29" s="117">
        <v>0.106</v>
      </c>
      <c r="G29" s="117">
        <v>0.10299999999999999</v>
      </c>
      <c r="H29" s="117">
        <v>9.9000000000000005E-2</v>
      </c>
      <c r="I29" s="117">
        <v>9.6000000000000002E-2</v>
      </c>
      <c r="J29" s="117">
        <v>9.2999999999999999E-2</v>
      </c>
      <c r="K29" s="117">
        <v>8.8999999999999996E-2</v>
      </c>
      <c r="L29" s="117">
        <v>8.5999999999999993E-2</v>
      </c>
      <c r="M29" s="117">
        <v>8.3000000000000004E-2</v>
      </c>
      <c r="P29" s="99">
        <v>52</v>
      </c>
      <c r="Q29" s="117">
        <v>1.0249999999999999</v>
      </c>
      <c r="R29" s="117">
        <v>1.0269999999999999</v>
      </c>
      <c r="S29" s="117">
        <v>1.0289999999999999</v>
      </c>
      <c r="T29" s="117">
        <v>1.03</v>
      </c>
      <c r="U29" s="117">
        <v>1.032</v>
      </c>
      <c r="V29" s="117">
        <v>1.034</v>
      </c>
      <c r="W29" s="117">
        <v>1.0349999999999999</v>
      </c>
      <c r="X29" s="117">
        <v>1.0369999999999999</v>
      </c>
      <c r="Y29" s="117">
        <v>1.0389999999999999</v>
      </c>
      <c r="Z29" s="117">
        <v>1.0409999999999999</v>
      </c>
      <c r="AA29" s="117">
        <v>1.042</v>
      </c>
      <c r="AB29" s="117">
        <v>1.044</v>
      </c>
    </row>
    <row r="30" spans="1:28" x14ac:dyDescent="0.25">
      <c r="A30" s="99">
        <v>53</v>
      </c>
      <c r="B30" s="117">
        <v>0.08</v>
      </c>
      <c r="C30" s="117">
        <v>7.5999999999999998E-2</v>
      </c>
      <c r="D30" s="117">
        <v>7.2999999999999995E-2</v>
      </c>
      <c r="E30" s="117">
        <v>7.0000000000000007E-2</v>
      </c>
      <c r="F30" s="117">
        <v>6.6000000000000003E-2</v>
      </c>
      <c r="G30" s="117">
        <v>6.3E-2</v>
      </c>
      <c r="H30" s="117">
        <v>0.06</v>
      </c>
      <c r="I30" s="117">
        <v>5.6000000000000001E-2</v>
      </c>
      <c r="J30" s="117">
        <v>5.2999999999999999E-2</v>
      </c>
      <c r="K30" s="117">
        <v>0.05</v>
      </c>
      <c r="L30" s="117">
        <v>4.5999999999999999E-2</v>
      </c>
      <c r="M30" s="117">
        <v>4.2999999999999997E-2</v>
      </c>
      <c r="P30" s="99">
        <v>53</v>
      </c>
      <c r="Q30" s="117">
        <v>1.046</v>
      </c>
      <c r="R30" s="117">
        <v>1.0469999999999999</v>
      </c>
      <c r="S30" s="117">
        <v>1.0489999999999999</v>
      </c>
      <c r="T30" s="117">
        <v>1.0509999999999999</v>
      </c>
      <c r="U30" s="117">
        <v>1.0529999999999999</v>
      </c>
      <c r="V30" s="117">
        <v>1.054</v>
      </c>
      <c r="W30" s="117">
        <v>1.056</v>
      </c>
      <c r="X30" s="117">
        <v>1.0580000000000001</v>
      </c>
      <c r="Y30" s="117">
        <v>1.06</v>
      </c>
      <c r="Z30" s="117">
        <v>1.0609999999999999</v>
      </c>
      <c r="AA30" s="117">
        <v>1.0629999999999999</v>
      </c>
      <c r="AB30" s="117">
        <v>1.0649999999999999</v>
      </c>
    </row>
    <row r="31" spans="1:28" x14ac:dyDescent="0.25">
      <c r="A31" s="99">
        <v>54</v>
      </c>
      <c r="B31" s="117">
        <v>0.04</v>
      </c>
      <c r="C31" s="117">
        <v>3.6999999999999998E-2</v>
      </c>
      <c r="D31" s="117">
        <v>3.3000000000000002E-2</v>
      </c>
      <c r="E31" s="117">
        <v>0.03</v>
      </c>
      <c r="F31" s="117">
        <v>2.7E-2</v>
      </c>
      <c r="G31" s="117">
        <v>2.3E-2</v>
      </c>
      <c r="H31" s="117">
        <v>0.02</v>
      </c>
      <c r="I31" s="117">
        <v>1.7000000000000001E-2</v>
      </c>
      <c r="J31" s="117">
        <v>1.2999999999999999E-2</v>
      </c>
      <c r="K31" s="117">
        <v>0.01</v>
      </c>
      <c r="L31" s="117">
        <v>7.0000000000000001E-3</v>
      </c>
      <c r="M31" s="117">
        <v>3.0000000000000001E-3</v>
      </c>
      <c r="P31" s="99">
        <v>54</v>
      </c>
      <c r="Q31" s="117">
        <v>1.0669999999999999</v>
      </c>
      <c r="R31" s="117">
        <v>1.0680000000000001</v>
      </c>
      <c r="S31" s="117">
        <v>1.07</v>
      </c>
      <c r="T31" s="117">
        <v>1.0720000000000001</v>
      </c>
      <c r="U31" s="117">
        <v>1.0740000000000001</v>
      </c>
      <c r="V31" s="117">
        <v>1.075</v>
      </c>
      <c r="W31" s="117">
        <v>1.077</v>
      </c>
      <c r="X31" s="117">
        <v>1.079</v>
      </c>
      <c r="Y31" s="117">
        <v>1.081</v>
      </c>
      <c r="Z31" s="117">
        <v>1.083</v>
      </c>
      <c r="AA31" s="117">
        <v>1.0840000000000001</v>
      </c>
      <c r="AB31" s="117">
        <v>1.0860000000000001</v>
      </c>
    </row>
    <row r="32" spans="1:28" x14ac:dyDescent="0.25">
      <c r="A32" s="99">
        <v>55</v>
      </c>
      <c r="B32" s="117">
        <v>0</v>
      </c>
      <c r="C32" s="117"/>
      <c r="D32" s="117"/>
      <c r="E32" s="117"/>
      <c r="F32" s="117"/>
      <c r="G32" s="117"/>
      <c r="H32" s="117"/>
      <c r="I32" s="117"/>
      <c r="J32" s="117"/>
      <c r="K32" s="117"/>
      <c r="L32" s="117"/>
      <c r="M32" s="117"/>
      <c r="P32" s="99">
        <v>55</v>
      </c>
      <c r="Q32" s="117">
        <v>1.0880000000000001</v>
      </c>
      <c r="R32" s="117"/>
      <c r="S32" s="117"/>
      <c r="T32" s="117"/>
      <c r="U32" s="117"/>
      <c r="V32" s="117"/>
      <c r="W32" s="117"/>
      <c r="X32" s="117"/>
      <c r="Y32" s="117"/>
      <c r="Z32" s="117"/>
      <c r="AA32" s="117"/>
      <c r="AB32" s="117"/>
    </row>
    <row r="44" ht="39.65" customHeight="1" x14ac:dyDescent="0.25"/>
    <row r="46" ht="27.65" customHeight="1" x14ac:dyDescent="0.25"/>
  </sheetData>
  <sheetProtection algorithmName="SHA-512" hashValue="LR7R+P1hHOiIXdH9CbMAm9SZSM5TaShFyefgNyNAjZxKABFhObJMctoI+r1vB0lq30SWFINyd+kHdvdRKVLl3w==" saltValue="K00n88p2sySCTUV6xg/hpQ==" spinCount="100000" sheet="1" objects="1" scenarios="1"/>
  <conditionalFormatting sqref="A6:A21">
    <cfRule type="expression" dxfId="761" priority="17" stopIfTrue="1">
      <formula>MOD(ROW(),2)=0</formula>
    </cfRule>
    <cfRule type="expression" dxfId="760" priority="18" stopIfTrue="1">
      <formula>MOD(ROW(),2)&lt;&gt;0</formula>
    </cfRule>
  </conditionalFormatting>
  <conditionalFormatting sqref="A26:A32">
    <cfRule type="expression" dxfId="759" priority="7" stopIfTrue="1">
      <formula>MOD(ROW(),2)=0</formula>
    </cfRule>
    <cfRule type="expression" dxfId="758" priority="8" stopIfTrue="1">
      <formula>MOD(ROW(),2)&lt;&gt;0</formula>
    </cfRule>
  </conditionalFormatting>
  <conditionalFormatting sqref="B17:B21">
    <cfRule type="expression" dxfId="757" priority="13" stopIfTrue="1">
      <formula>MOD(ROW(),2)=0</formula>
    </cfRule>
    <cfRule type="expression" dxfId="756" priority="14" stopIfTrue="1">
      <formula>MOD(ROW(),2)&lt;&gt;0</formula>
    </cfRule>
  </conditionalFormatting>
  <conditionalFormatting sqref="B6:M21">
    <cfRule type="expression" dxfId="755" priority="25" stopIfTrue="1">
      <formula>MOD(ROW(),2)=0</formula>
    </cfRule>
    <cfRule type="expression" dxfId="754" priority="26" stopIfTrue="1">
      <formula>MOD(ROW(),2)&lt;&gt;0</formula>
    </cfRule>
  </conditionalFormatting>
  <conditionalFormatting sqref="B26:M32">
    <cfRule type="expression" dxfId="753" priority="9" stopIfTrue="1">
      <formula>MOD(ROW(),2)=0</formula>
    </cfRule>
    <cfRule type="expression" dxfId="752" priority="10" stopIfTrue="1">
      <formula>MOD(ROW(),2)&lt;&gt;0</formula>
    </cfRule>
  </conditionalFormatting>
  <conditionalFormatting sqref="P6:P21">
    <cfRule type="expression" dxfId="751" priority="15" stopIfTrue="1">
      <formula>MOD(ROW(),2)=0</formula>
    </cfRule>
    <cfRule type="expression" dxfId="750" priority="16" stopIfTrue="1">
      <formula>MOD(ROW(),2)&lt;&gt;0</formula>
    </cfRule>
  </conditionalFormatting>
  <conditionalFormatting sqref="P26:P32">
    <cfRule type="expression" dxfId="749" priority="3" stopIfTrue="1">
      <formula>MOD(ROW(),2)=0</formula>
    </cfRule>
    <cfRule type="expression" dxfId="748" priority="4" stopIfTrue="1">
      <formula>MOD(ROW(),2)&lt;&gt;0</formula>
    </cfRule>
  </conditionalFormatting>
  <conditionalFormatting sqref="Q17:Q21">
    <cfRule type="expression" dxfId="747" priority="1" stopIfTrue="1">
      <formula>MOD(ROW(),2)=0</formula>
    </cfRule>
    <cfRule type="expression" dxfId="746" priority="2" stopIfTrue="1">
      <formula>MOD(ROW(),2)&lt;&gt;0</formula>
    </cfRule>
  </conditionalFormatting>
  <conditionalFormatting sqref="Q6:AB21">
    <cfRule type="expression" dxfId="745" priority="33" stopIfTrue="1">
      <formula>MOD(ROW(),2)=0</formula>
    </cfRule>
    <cfRule type="expression" dxfId="744" priority="34" stopIfTrue="1">
      <formula>MOD(ROW(),2)&lt;&gt;0</formula>
    </cfRule>
  </conditionalFormatting>
  <conditionalFormatting sqref="Q26:AB32">
    <cfRule type="expression" dxfId="743" priority="5" stopIfTrue="1">
      <formula>MOD(ROW(),2)=0</formula>
    </cfRule>
    <cfRule type="expression" dxfId="742" priority="6" stopIfTrue="1">
      <formula>MOD(ROW(),2)&lt;&gt;0</formula>
    </cfRule>
  </conditionalFormatting>
  <hyperlinks>
    <hyperlink ref="B24" location="Assumptions!A1" display="Assumptions" xr:uid="{96EB4F6C-FC63-459B-B1F5-F8B0868379F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4"/>
  <dimension ref="A1:AB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5" width="10" style="25"/>
    <col min="16" max="16" width="31.90625" style="25" customWidth="1"/>
    <col min="17" max="28" width="22.90625" style="25" customWidth="1"/>
    <col min="29" max="16384" width="10" style="25"/>
  </cols>
  <sheetData>
    <row r="1" spans="1:28" ht="20" x14ac:dyDescent="0.4">
      <c r="A1" s="36" t="s">
        <v>0</v>
      </c>
      <c r="B1" s="37"/>
      <c r="C1" s="37"/>
      <c r="D1" s="37"/>
      <c r="E1" s="37"/>
      <c r="F1" s="37"/>
      <c r="G1" s="37"/>
      <c r="H1" s="37"/>
      <c r="I1" s="37"/>
    </row>
    <row r="2" spans="1:28" ht="15.5" x14ac:dyDescent="0.35">
      <c r="A2" s="38" t="str">
        <f>IF(title="&gt; Enter workbook title here","Enter workbook title in Cover sheet",title)</f>
        <v>NHSPS_NI - Consolidated Factor Spreadsheet</v>
      </c>
      <c r="B2" s="39"/>
      <c r="C2" s="39"/>
      <c r="D2" s="39"/>
      <c r="E2" s="39"/>
      <c r="F2" s="39"/>
      <c r="G2" s="39"/>
      <c r="H2" s="39"/>
      <c r="I2" s="39"/>
    </row>
    <row r="3" spans="1:28" ht="15.5" x14ac:dyDescent="0.35">
      <c r="A3" s="40" t="str">
        <f>TABLE_FACTOR_TYPE_1&amp;" - x-"&amp;TABLE_SERIES_NUMBER_1</f>
        <v>ERF - x-410</v>
      </c>
      <c r="B3" s="39"/>
      <c r="C3" s="39"/>
      <c r="D3" s="39"/>
      <c r="E3" s="39"/>
      <c r="F3" s="39"/>
      <c r="G3" s="39"/>
      <c r="H3" s="39"/>
      <c r="I3" s="39"/>
    </row>
    <row r="4" spans="1:28" x14ac:dyDescent="0.25">
      <c r="A4" s="41"/>
    </row>
    <row r="6" spans="1:28" ht="13" x14ac:dyDescent="0.3">
      <c r="A6" s="83" t="s">
        <v>276</v>
      </c>
      <c r="B6" s="161" t="s">
        <v>277</v>
      </c>
      <c r="C6" s="161"/>
      <c r="D6" s="161"/>
      <c r="E6" s="161"/>
      <c r="F6" s="161"/>
      <c r="G6" s="161"/>
      <c r="H6" s="161"/>
      <c r="I6" s="161"/>
      <c r="J6" s="161"/>
      <c r="K6" s="161"/>
      <c r="L6" s="161"/>
      <c r="M6" s="161"/>
      <c r="P6" s="83" t="s">
        <v>276</v>
      </c>
      <c r="Q6" s="161" t="s">
        <v>277</v>
      </c>
      <c r="R6" s="161"/>
      <c r="S6" s="161"/>
      <c r="T6" s="161"/>
      <c r="U6" s="161"/>
      <c r="V6" s="161"/>
      <c r="W6" s="161"/>
      <c r="X6" s="161"/>
      <c r="Y6" s="161"/>
      <c r="Z6" s="161"/>
      <c r="AA6" s="161"/>
      <c r="AB6" s="161"/>
    </row>
    <row r="7" spans="1:28" x14ac:dyDescent="0.25">
      <c r="A7" s="85" t="s">
        <v>278</v>
      </c>
      <c r="B7" s="161" t="s">
        <v>310</v>
      </c>
      <c r="C7" s="161"/>
      <c r="D7" s="161"/>
      <c r="E7" s="161"/>
      <c r="F7" s="161"/>
      <c r="G7" s="161"/>
      <c r="H7" s="161"/>
      <c r="I7" s="161"/>
      <c r="J7" s="161"/>
      <c r="K7" s="161"/>
      <c r="L7" s="161"/>
      <c r="M7" s="161"/>
      <c r="P7" s="85" t="s">
        <v>278</v>
      </c>
      <c r="Q7" s="161" t="s">
        <v>310</v>
      </c>
      <c r="R7" s="161"/>
      <c r="S7" s="161"/>
      <c r="T7" s="161"/>
      <c r="U7" s="161"/>
      <c r="V7" s="161"/>
      <c r="W7" s="161"/>
      <c r="X7" s="161"/>
      <c r="Y7" s="161"/>
      <c r="Z7" s="161"/>
      <c r="AA7" s="161"/>
      <c r="AB7" s="161"/>
    </row>
    <row r="8" spans="1:28" x14ac:dyDescent="0.25">
      <c r="A8" s="85" t="s">
        <v>280</v>
      </c>
      <c r="B8" s="161" t="s">
        <v>75</v>
      </c>
      <c r="C8" s="161"/>
      <c r="D8" s="161"/>
      <c r="E8" s="161"/>
      <c r="F8" s="161"/>
      <c r="G8" s="161"/>
      <c r="H8" s="161"/>
      <c r="I8" s="161"/>
      <c r="J8" s="161"/>
      <c r="K8" s="161"/>
      <c r="L8" s="161"/>
      <c r="M8" s="161"/>
      <c r="P8" s="85" t="s">
        <v>280</v>
      </c>
      <c r="Q8" s="161" t="s">
        <v>75</v>
      </c>
      <c r="R8" s="161"/>
      <c r="S8" s="161"/>
      <c r="T8" s="161"/>
      <c r="U8" s="161"/>
      <c r="V8" s="161"/>
      <c r="W8" s="161"/>
      <c r="X8" s="161"/>
      <c r="Y8" s="161"/>
      <c r="Z8" s="161"/>
      <c r="AA8" s="161"/>
      <c r="AB8" s="161"/>
    </row>
    <row r="9" spans="1:28" x14ac:dyDescent="0.25">
      <c r="A9" s="85" t="s">
        <v>282</v>
      </c>
      <c r="B9" s="161" t="s">
        <v>396</v>
      </c>
      <c r="C9" s="161"/>
      <c r="D9" s="161"/>
      <c r="E9" s="161"/>
      <c r="F9" s="161"/>
      <c r="G9" s="161"/>
      <c r="H9" s="161"/>
      <c r="I9" s="161"/>
      <c r="J9" s="161"/>
      <c r="K9" s="161"/>
      <c r="L9" s="161"/>
      <c r="M9" s="161"/>
      <c r="P9" s="85" t="s">
        <v>282</v>
      </c>
      <c r="Q9" s="161" t="s">
        <v>396</v>
      </c>
      <c r="R9" s="161"/>
      <c r="S9" s="161"/>
      <c r="T9" s="161"/>
      <c r="U9" s="161"/>
      <c r="V9" s="161"/>
      <c r="W9" s="161"/>
      <c r="X9" s="161"/>
      <c r="Y9" s="161"/>
      <c r="Z9" s="161"/>
      <c r="AA9" s="161"/>
      <c r="AB9" s="161"/>
    </row>
    <row r="10" spans="1:28" x14ac:dyDescent="0.25">
      <c r="A10" s="85" t="s">
        <v>6</v>
      </c>
      <c r="B10" s="161" t="s">
        <v>435</v>
      </c>
      <c r="C10" s="161"/>
      <c r="D10" s="161"/>
      <c r="E10" s="161"/>
      <c r="F10" s="161"/>
      <c r="G10" s="161"/>
      <c r="H10" s="161"/>
      <c r="I10" s="161"/>
      <c r="J10" s="161"/>
      <c r="K10" s="161"/>
      <c r="L10" s="161"/>
      <c r="M10" s="161"/>
      <c r="P10" s="85" t="s">
        <v>6</v>
      </c>
      <c r="Q10" s="161" t="s">
        <v>438</v>
      </c>
      <c r="R10" s="161"/>
      <c r="S10" s="161"/>
      <c r="T10" s="161"/>
      <c r="U10" s="161"/>
      <c r="V10" s="161"/>
      <c r="W10" s="161"/>
      <c r="X10" s="161"/>
      <c r="Y10" s="161"/>
      <c r="Z10" s="161"/>
      <c r="AA10" s="161"/>
      <c r="AB10" s="161"/>
    </row>
    <row r="11" spans="1:28" x14ac:dyDescent="0.25">
      <c r="A11" s="85" t="s">
        <v>285</v>
      </c>
      <c r="B11" s="161" t="s">
        <v>359</v>
      </c>
      <c r="C11" s="161"/>
      <c r="D11" s="161"/>
      <c r="E11" s="161"/>
      <c r="F11" s="161"/>
      <c r="G11" s="161"/>
      <c r="H11" s="161"/>
      <c r="I11" s="161"/>
      <c r="J11" s="161"/>
      <c r="K11" s="161"/>
      <c r="L11" s="161"/>
      <c r="M11" s="161"/>
      <c r="P11" s="85" t="s">
        <v>285</v>
      </c>
      <c r="Q11" s="161" t="s">
        <v>359</v>
      </c>
      <c r="R11" s="161"/>
      <c r="S11" s="161"/>
      <c r="T11" s="161"/>
      <c r="U11" s="161"/>
      <c r="V11" s="161"/>
      <c r="W11" s="161"/>
      <c r="X11" s="161"/>
      <c r="Y11" s="161"/>
      <c r="Z11" s="161"/>
      <c r="AA11" s="161"/>
      <c r="AB11" s="161"/>
    </row>
    <row r="12" spans="1:28" x14ac:dyDescent="0.25">
      <c r="A12" s="85" t="s">
        <v>287</v>
      </c>
      <c r="B12" s="161" t="s">
        <v>398</v>
      </c>
      <c r="C12" s="161"/>
      <c r="D12" s="161"/>
      <c r="E12" s="161"/>
      <c r="F12" s="161"/>
      <c r="G12" s="161"/>
      <c r="H12" s="161"/>
      <c r="I12" s="161"/>
      <c r="J12" s="161"/>
      <c r="K12" s="161"/>
      <c r="L12" s="161"/>
      <c r="M12" s="161"/>
      <c r="P12" s="85" t="s">
        <v>287</v>
      </c>
      <c r="Q12" s="161" t="s">
        <v>398</v>
      </c>
      <c r="R12" s="161"/>
      <c r="S12" s="161"/>
      <c r="T12" s="161"/>
      <c r="U12" s="161"/>
      <c r="V12" s="161"/>
      <c r="W12" s="161"/>
      <c r="X12" s="161"/>
      <c r="Y12" s="161"/>
      <c r="Z12" s="161"/>
      <c r="AA12" s="161"/>
      <c r="AB12" s="161"/>
    </row>
    <row r="13" spans="1:28" x14ac:dyDescent="0.25">
      <c r="A13" s="85" t="s">
        <v>289</v>
      </c>
      <c r="B13" s="161">
        <v>1</v>
      </c>
      <c r="C13" s="161"/>
      <c r="D13" s="161"/>
      <c r="E13" s="161"/>
      <c r="F13" s="161"/>
      <c r="G13" s="161"/>
      <c r="H13" s="161"/>
      <c r="I13" s="161"/>
      <c r="J13" s="161"/>
      <c r="K13" s="161"/>
      <c r="L13" s="161"/>
      <c r="M13" s="161"/>
      <c r="P13" s="85" t="s">
        <v>289</v>
      </c>
      <c r="Q13" s="161">
        <v>1</v>
      </c>
      <c r="R13" s="161"/>
      <c r="S13" s="161"/>
      <c r="T13" s="161"/>
      <c r="U13" s="161"/>
      <c r="V13" s="161"/>
      <c r="W13" s="161"/>
      <c r="X13" s="161"/>
      <c r="Y13" s="161"/>
      <c r="Z13" s="161"/>
      <c r="AA13" s="161"/>
      <c r="AB13" s="161"/>
    </row>
    <row r="14" spans="1:28" x14ac:dyDescent="0.25">
      <c r="A14" s="85" t="s">
        <v>291</v>
      </c>
      <c r="B14" s="161">
        <v>410</v>
      </c>
      <c r="C14" s="161"/>
      <c r="D14" s="161"/>
      <c r="E14" s="161"/>
      <c r="F14" s="161"/>
      <c r="G14" s="161"/>
      <c r="H14" s="161"/>
      <c r="I14" s="161"/>
      <c r="J14" s="161"/>
      <c r="K14" s="161"/>
      <c r="L14" s="161"/>
      <c r="M14" s="161"/>
      <c r="P14" s="85" t="s">
        <v>291</v>
      </c>
      <c r="Q14" s="161">
        <v>410</v>
      </c>
      <c r="R14" s="161"/>
      <c r="S14" s="161"/>
      <c r="T14" s="161"/>
      <c r="U14" s="161"/>
      <c r="V14" s="161"/>
      <c r="W14" s="161"/>
      <c r="X14" s="161"/>
      <c r="Y14" s="161"/>
      <c r="Z14" s="161"/>
      <c r="AA14" s="161"/>
      <c r="AB14" s="161"/>
    </row>
    <row r="15" spans="1:28" x14ac:dyDescent="0.25">
      <c r="A15" s="85" t="s">
        <v>293</v>
      </c>
      <c r="B15" s="161" t="s">
        <v>436</v>
      </c>
      <c r="C15" s="161"/>
      <c r="D15" s="161"/>
      <c r="E15" s="161"/>
      <c r="F15" s="161"/>
      <c r="G15" s="161"/>
      <c r="H15" s="161"/>
      <c r="I15" s="161"/>
      <c r="J15" s="161"/>
      <c r="K15" s="161"/>
      <c r="L15" s="161"/>
      <c r="M15" s="161"/>
      <c r="P15" s="85" t="s">
        <v>293</v>
      </c>
      <c r="Q15" s="161" t="s">
        <v>439</v>
      </c>
      <c r="R15" s="161"/>
      <c r="S15" s="161"/>
      <c r="T15" s="161"/>
      <c r="U15" s="161"/>
      <c r="V15" s="161"/>
      <c r="W15" s="161"/>
      <c r="X15" s="161"/>
      <c r="Y15" s="161"/>
      <c r="Z15" s="161"/>
      <c r="AA15" s="161"/>
      <c r="AB15" s="161"/>
    </row>
    <row r="16" spans="1:28" x14ac:dyDescent="0.25">
      <c r="A16" s="85" t="s">
        <v>295</v>
      </c>
      <c r="B16" s="161" t="s">
        <v>437</v>
      </c>
      <c r="C16" s="161"/>
      <c r="D16" s="161"/>
      <c r="E16" s="161"/>
      <c r="F16" s="161"/>
      <c r="G16" s="161"/>
      <c r="H16" s="161"/>
      <c r="I16" s="161"/>
      <c r="J16" s="161"/>
      <c r="K16" s="161"/>
      <c r="L16" s="161"/>
      <c r="M16" s="161"/>
      <c r="P16" s="85" t="s">
        <v>295</v>
      </c>
      <c r="Q16" s="161" t="s">
        <v>440</v>
      </c>
      <c r="R16" s="161"/>
      <c r="S16" s="161"/>
      <c r="T16" s="161"/>
      <c r="U16" s="161"/>
      <c r="V16" s="161"/>
      <c r="W16" s="161"/>
      <c r="X16" s="161"/>
      <c r="Y16" s="161"/>
      <c r="Z16" s="161"/>
      <c r="AA16" s="161"/>
      <c r="AB16" s="161"/>
    </row>
    <row r="17" spans="1:28" x14ac:dyDescent="0.25">
      <c r="A17" s="69" t="s">
        <v>725</v>
      </c>
      <c r="B17" s="161"/>
      <c r="C17" s="161"/>
      <c r="D17" s="161"/>
      <c r="E17" s="161"/>
      <c r="F17" s="161"/>
      <c r="G17" s="161"/>
      <c r="H17" s="161"/>
      <c r="I17" s="161"/>
      <c r="J17" s="161"/>
      <c r="K17" s="161"/>
      <c r="L17" s="161"/>
      <c r="M17" s="161"/>
      <c r="P17" s="69" t="s">
        <v>725</v>
      </c>
      <c r="Q17" s="161"/>
      <c r="R17" s="161"/>
      <c r="S17" s="161"/>
      <c r="T17" s="161"/>
      <c r="U17" s="161"/>
      <c r="V17" s="161"/>
      <c r="W17" s="161"/>
      <c r="X17" s="161"/>
      <c r="Y17" s="161"/>
      <c r="Z17" s="161"/>
      <c r="AA17" s="161"/>
      <c r="AB17" s="161"/>
    </row>
    <row r="18" spans="1:28" x14ac:dyDescent="0.25">
      <c r="A18" s="85" t="s">
        <v>299</v>
      </c>
      <c r="B18" s="162">
        <v>45107</v>
      </c>
      <c r="C18" s="161"/>
      <c r="D18" s="161"/>
      <c r="E18" s="161"/>
      <c r="F18" s="161"/>
      <c r="G18" s="161"/>
      <c r="H18" s="161"/>
      <c r="I18" s="161"/>
      <c r="J18" s="161"/>
      <c r="K18" s="161"/>
      <c r="L18" s="161"/>
      <c r="M18" s="161"/>
      <c r="P18" s="85" t="s">
        <v>299</v>
      </c>
      <c r="Q18" s="162">
        <v>45107</v>
      </c>
      <c r="R18" s="161"/>
      <c r="S18" s="161"/>
      <c r="T18" s="161"/>
      <c r="U18" s="161"/>
      <c r="V18" s="161"/>
      <c r="W18" s="161"/>
      <c r="X18" s="161"/>
      <c r="Y18" s="161"/>
      <c r="Z18" s="161"/>
      <c r="AA18" s="161"/>
      <c r="AB18" s="161"/>
    </row>
    <row r="19" spans="1:28" x14ac:dyDescent="0.25">
      <c r="A19" s="85" t="s">
        <v>301</v>
      </c>
      <c r="B19" s="162">
        <v>45107</v>
      </c>
      <c r="C19" s="161"/>
      <c r="D19" s="161"/>
      <c r="E19" s="161"/>
      <c r="F19" s="161"/>
      <c r="G19" s="161"/>
      <c r="H19" s="161"/>
      <c r="I19" s="161"/>
      <c r="J19" s="161"/>
      <c r="K19" s="161"/>
      <c r="L19" s="161"/>
      <c r="M19" s="161"/>
      <c r="P19" s="85" t="s">
        <v>301</v>
      </c>
      <c r="Q19" s="162">
        <v>45107</v>
      </c>
      <c r="R19" s="161"/>
      <c r="S19" s="161"/>
      <c r="T19" s="161"/>
      <c r="U19" s="161"/>
      <c r="V19" s="161"/>
      <c r="W19" s="161"/>
      <c r="X19" s="161"/>
      <c r="Y19" s="161"/>
      <c r="Z19" s="161"/>
      <c r="AA19" s="161"/>
      <c r="AB19" s="161"/>
    </row>
    <row r="20" spans="1:28" x14ac:dyDescent="0.25">
      <c r="A20" s="85" t="s">
        <v>303</v>
      </c>
      <c r="B20" s="161" t="s">
        <v>317</v>
      </c>
      <c r="C20" s="161"/>
      <c r="D20" s="161"/>
      <c r="E20" s="161"/>
      <c r="F20" s="161"/>
      <c r="G20" s="161"/>
      <c r="H20" s="161"/>
      <c r="I20" s="161"/>
      <c r="J20" s="161"/>
      <c r="K20" s="161"/>
      <c r="L20" s="161"/>
      <c r="M20" s="161"/>
      <c r="P20" s="85" t="s">
        <v>303</v>
      </c>
      <c r="Q20" s="161" t="s">
        <v>317</v>
      </c>
      <c r="R20" s="161"/>
      <c r="S20" s="161"/>
      <c r="T20" s="161"/>
      <c r="U20" s="161"/>
      <c r="V20" s="161"/>
      <c r="W20" s="161"/>
      <c r="X20" s="161"/>
      <c r="Y20" s="161"/>
      <c r="Z20" s="161"/>
      <c r="AA20" s="161"/>
      <c r="AB20" s="161"/>
    </row>
    <row r="21" spans="1:28" x14ac:dyDescent="0.25">
      <c r="A21" s="85" t="s">
        <v>309</v>
      </c>
      <c r="B21" s="161" t="s">
        <v>318</v>
      </c>
      <c r="C21" s="161"/>
      <c r="D21" s="161"/>
      <c r="E21" s="161"/>
      <c r="F21" s="161"/>
      <c r="G21" s="161"/>
      <c r="H21" s="161"/>
      <c r="I21" s="161"/>
      <c r="J21" s="161"/>
      <c r="K21" s="161"/>
      <c r="L21" s="161"/>
      <c r="M21" s="161"/>
      <c r="P21" s="85" t="s">
        <v>309</v>
      </c>
      <c r="Q21" s="161" t="s">
        <v>318</v>
      </c>
      <c r="R21" s="161"/>
      <c r="S21" s="161"/>
      <c r="T21" s="161"/>
      <c r="U21" s="161"/>
      <c r="V21" s="161"/>
      <c r="W21" s="161"/>
      <c r="X21" s="161"/>
      <c r="Y21" s="161"/>
      <c r="Z21" s="161"/>
      <c r="AA21" s="161"/>
      <c r="AB21" s="161"/>
    </row>
    <row r="23" spans="1:28" x14ac:dyDescent="0.25">
      <c r="B23" s="103" t="str">
        <f>HYPERLINK("#'Factor List'!A1","Back to Factor List")</f>
        <v>Back to Factor List</v>
      </c>
    </row>
    <row r="24" spans="1:28" x14ac:dyDescent="0.25">
      <c r="B24" s="103" t="s">
        <v>15</v>
      </c>
    </row>
    <row r="26" spans="1:28" ht="13" x14ac:dyDescent="0.25">
      <c r="A26" s="98" t="s">
        <v>763</v>
      </c>
      <c r="B26" s="98">
        <v>0</v>
      </c>
      <c r="C26" s="98">
        <v>1</v>
      </c>
      <c r="D26" s="98">
        <v>2</v>
      </c>
      <c r="E26" s="98">
        <v>3</v>
      </c>
      <c r="F26" s="98">
        <v>4</v>
      </c>
      <c r="G26" s="98">
        <v>5</v>
      </c>
      <c r="H26" s="98">
        <v>6</v>
      </c>
      <c r="I26" s="98">
        <v>7</v>
      </c>
      <c r="J26" s="98">
        <v>8</v>
      </c>
      <c r="K26" s="98">
        <v>9</v>
      </c>
      <c r="L26" s="98">
        <v>10</v>
      </c>
      <c r="M26" s="98">
        <v>11</v>
      </c>
      <c r="P26" s="98" t="s">
        <v>763</v>
      </c>
      <c r="Q26" s="98">
        <v>0</v>
      </c>
      <c r="R26" s="98">
        <v>1</v>
      </c>
      <c r="S26" s="98">
        <v>2</v>
      </c>
      <c r="T26" s="98">
        <v>3</v>
      </c>
      <c r="U26" s="98">
        <v>4</v>
      </c>
      <c r="V26" s="98">
        <v>5</v>
      </c>
      <c r="W26" s="98">
        <v>6</v>
      </c>
      <c r="X26" s="98">
        <v>7</v>
      </c>
      <c r="Y26" s="98">
        <v>8</v>
      </c>
      <c r="Z26" s="98">
        <v>9</v>
      </c>
      <c r="AA26" s="98">
        <v>10</v>
      </c>
      <c r="AB26" s="98">
        <v>11</v>
      </c>
    </row>
    <row r="27" spans="1:28" x14ac:dyDescent="0.25">
      <c r="A27" s="99">
        <v>50</v>
      </c>
      <c r="B27" s="117">
        <v>0.216</v>
      </c>
      <c r="C27" s="117">
        <v>0.21199999999999999</v>
      </c>
      <c r="D27" s="117">
        <v>0.20899999999999999</v>
      </c>
      <c r="E27" s="117">
        <v>0.20499999999999999</v>
      </c>
      <c r="F27" s="117">
        <v>0.20100000000000001</v>
      </c>
      <c r="G27" s="117">
        <v>0.19800000000000001</v>
      </c>
      <c r="H27" s="117">
        <v>0.19400000000000001</v>
      </c>
      <c r="I27" s="117">
        <v>0.191</v>
      </c>
      <c r="J27" s="117">
        <v>0.187</v>
      </c>
      <c r="K27" s="117">
        <v>0.183</v>
      </c>
      <c r="L27" s="117">
        <v>0.18</v>
      </c>
      <c r="M27" s="117">
        <v>0.17599999999999999</v>
      </c>
      <c r="P27" s="99">
        <v>50</v>
      </c>
      <c r="Q27" s="117">
        <v>1.0720000000000001</v>
      </c>
      <c r="R27" s="117">
        <v>1.0740000000000001</v>
      </c>
      <c r="S27" s="117">
        <v>1.0760000000000001</v>
      </c>
      <c r="T27" s="117">
        <v>1.077</v>
      </c>
      <c r="U27" s="117">
        <v>1.079</v>
      </c>
      <c r="V27" s="117">
        <v>1.081</v>
      </c>
      <c r="W27" s="117">
        <v>1.083</v>
      </c>
      <c r="X27" s="117">
        <v>1.085</v>
      </c>
      <c r="Y27" s="117">
        <v>1.0860000000000001</v>
      </c>
      <c r="Z27" s="117">
        <v>1.0880000000000001</v>
      </c>
      <c r="AA27" s="117">
        <v>1.0900000000000001</v>
      </c>
      <c r="AB27" s="117">
        <v>1.0920000000000001</v>
      </c>
    </row>
    <row r="28" spans="1:28" x14ac:dyDescent="0.25">
      <c r="A28" s="99">
        <v>51</v>
      </c>
      <c r="B28" s="117">
        <v>0.17299999999999999</v>
      </c>
      <c r="C28" s="117">
        <v>0.16900000000000001</v>
      </c>
      <c r="D28" s="117">
        <v>0.16600000000000001</v>
      </c>
      <c r="E28" s="117">
        <v>0.16200000000000001</v>
      </c>
      <c r="F28" s="117">
        <v>0.158</v>
      </c>
      <c r="G28" s="117">
        <v>0.155</v>
      </c>
      <c r="H28" s="117">
        <v>0.151</v>
      </c>
      <c r="I28" s="117">
        <v>0.14799999999999999</v>
      </c>
      <c r="J28" s="117">
        <v>0.14399999999999999</v>
      </c>
      <c r="K28" s="117">
        <v>0.14000000000000001</v>
      </c>
      <c r="L28" s="117">
        <v>0.13700000000000001</v>
      </c>
      <c r="M28" s="117">
        <v>0.13300000000000001</v>
      </c>
      <c r="P28" s="99">
        <v>51</v>
      </c>
      <c r="Q28" s="117">
        <v>1.093</v>
      </c>
      <c r="R28" s="117">
        <v>1.095</v>
      </c>
      <c r="S28" s="117">
        <v>1.097</v>
      </c>
      <c r="T28" s="117">
        <v>1.099</v>
      </c>
      <c r="U28" s="117">
        <v>1.101</v>
      </c>
      <c r="V28" s="117">
        <v>1.103</v>
      </c>
      <c r="W28" s="117">
        <v>1.1040000000000001</v>
      </c>
      <c r="X28" s="117">
        <v>1.1060000000000001</v>
      </c>
      <c r="Y28" s="117">
        <v>1.1080000000000001</v>
      </c>
      <c r="Z28" s="117">
        <v>1.1100000000000001</v>
      </c>
      <c r="AA28" s="117">
        <v>1.1120000000000001</v>
      </c>
      <c r="AB28" s="117">
        <v>1.1140000000000001</v>
      </c>
    </row>
    <row r="29" spans="1:28" x14ac:dyDescent="0.25">
      <c r="A29" s="99">
        <v>52</v>
      </c>
      <c r="B29" s="117">
        <v>0.13</v>
      </c>
      <c r="C29" s="117">
        <v>0.126</v>
      </c>
      <c r="D29" s="117">
        <v>0.122</v>
      </c>
      <c r="E29" s="117">
        <v>0.11899999999999999</v>
      </c>
      <c r="F29" s="117">
        <v>0.115</v>
      </c>
      <c r="G29" s="117">
        <v>0.112</v>
      </c>
      <c r="H29" s="117">
        <v>0.108</v>
      </c>
      <c r="I29" s="117">
        <v>0.105</v>
      </c>
      <c r="J29" s="117">
        <v>0.10100000000000001</v>
      </c>
      <c r="K29" s="117">
        <v>9.7000000000000003E-2</v>
      </c>
      <c r="L29" s="117">
        <v>9.4E-2</v>
      </c>
      <c r="M29" s="117">
        <v>0.09</v>
      </c>
      <c r="P29" s="99">
        <v>52</v>
      </c>
      <c r="Q29" s="117">
        <v>1.115</v>
      </c>
      <c r="R29" s="117">
        <v>1.117</v>
      </c>
      <c r="S29" s="117">
        <v>1.119</v>
      </c>
      <c r="T29" s="117">
        <v>1.121</v>
      </c>
      <c r="U29" s="117">
        <v>1.123</v>
      </c>
      <c r="V29" s="117">
        <v>1.125</v>
      </c>
      <c r="W29" s="117">
        <v>1.1259999999999999</v>
      </c>
      <c r="X29" s="117">
        <v>1.1279999999999999</v>
      </c>
      <c r="Y29" s="117">
        <v>1.1299999999999999</v>
      </c>
      <c r="Z29" s="117">
        <v>1.1319999999999999</v>
      </c>
      <c r="AA29" s="117">
        <v>1.1339999999999999</v>
      </c>
      <c r="AB29" s="117">
        <v>1.1359999999999999</v>
      </c>
    </row>
    <row r="30" spans="1:28" x14ac:dyDescent="0.25">
      <c r="A30" s="99">
        <v>53</v>
      </c>
      <c r="B30" s="117">
        <v>8.6999999999999994E-2</v>
      </c>
      <c r="C30" s="117">
        <v>8.3000000000000004E-2</v>
      </c>
      <c r="D30" s="117">
        <v>7.9000000000000001E-2</v>
      </c>
      <c r="E30" s="117">
        <v>7.5999999999999998E-2</v>
      </c>
      <c r="F30" s="117">
        <v>7.1999999999999995E-2</v>
      </c>
      <c r="G30" s="117">
        <v>6.9000000000000006E-2</v>
      </c>
      <c r="H30" s="117">
        <v>6.5000000000000002E-2</v>
      </c>
      <c r="I30" s="117">
        <v>6.0999999999999999E-2</v>
      </c>
      <c r="J30" s="117">
        <v>5.8000000000000003E-2</v>
      </c>
      <c r="K30" s="117">
        <v>5.3999999999999999E-2</v>
      </c>
      <c r="L30" s="117">
        <v>5.0999999999999997E-2</v>
      </c>
      <c r="M30" s="117">
        <v>4.7E-2</v>
      </c>
      <c r="P30" s="99">
        <v>53</v>
      </c>
      <c r="Q30" s="117">
        <v>1.1379999999999999</v>
      </c>
      <c r="R30" s="117">
        <v>1.1399999999999999</v>
      </c>
      <c r="S30" s="117">
        <v>1.141</v>
      </c>
      <c r="T30" s="117">
        <v>1.143</v>
      </c>
      <c r="U30" s="117">
        <v>1.145</v>
      </c>
      <c r="V30" s="117">
        <v>1.147</v>
      </c>
      <c r="W30" s="117">
        <v>1.149</v>
      </c>
      <c r="X30" s="117">
        <v>1.151</v>
      </c>
      <c r="Y30" s="117">
        <v>1.153</v>
      </c>
      <c r="Z30" s="117">
        <v>1.155</v>
      </c>
      <c r="AA30" s="117">
        <v>1.157</v>
      </c>
      <c r="AB30" s="117">
        <v>1.159</v>
      </c>
    </row>
    <row r="31" spans="1:28" x14ac:dyDescent="0.25">
      <c r="A31" s="99">
        <v>54</v>
      </c>
      <c r="B31" s="117">
        <v>4.2999999999999997E-2</v>
      </c>
      <c r="C31" s="117">
        <v>0.04</v>
      </c>
      <c r="D31" s="117">
        <v>3.5999999999999997E-2</v>
      </c>
      <c r="E31" s="117">
        <v>3.2000000000000001E-2</v>
      </c>
      <c r="F31" s="117">
        <v>2.9000000000000001E-2</v>
      </c>
      <c r="G31" s="117">
        <v>2.5000000000000001E-2</v>
      </c>
      <c r="H31" s="117">
        <v>2.1999999999999999E-2</v>
      </c>
      <c r="I31" s="117">
        <v>1.7999999999999999E-2</v>
      </c>
      <c r="J31" s="117">
        <v>1.4E-2</v>
      </c>
      <c r="K31" s="117">
        <v>1.0999999999999999E-2</v>
      </c>
      <c r="L31" s="117">
        <v>7.0000000000000001E-3</v>
      </c>
      <c r="M31" s="117">
        <v>4.0000000000000001E-3</v>
      </c>
      <c r="P31" s="99">
        <v>54</v>
      </c>
      <c r="Q31" s="117">
        <v>1.1599999999999999</v>
      </c>
      <c r="R31" s="117">
        <v>1.1619999999999999</v>
      </c>
      <c r="S31" s="117">
        <v>1.1639999999999999</v>
      </c>
      <c r="T31" s="117">
        <v>1.1659999999999999</v>
      </c>
      <c r="U31" s="117">
        <v>1.1679999999999999</v>
      </c>
      <c r="V31" s="117">
        <v>1.17</v>
      </c>
      <c r="W31" s="117">
        <v>1.1719999999999999</v>
      </c>
      <c r="X31" s="117">
        <v>1.1739999999999999</v>
      </c>
      <c r="Y31" s="117">
        <v>1.1759999999999999</v>
      </c>
      <c r="Z31" s="117">
        <v>1.1779999999999999</v>
      </c>
      <c r="AA31" s="117">
        <v>1.18</v>
      </c>
      <c r="AB31" s="117">
        <v>1.1819999999999999</v>
      </c>
    </row>
    <row r="32" spans="1:28" x14ac:dyDescent="0.25">
      <c r="A32" s="99">
        <v>55</v>
      </c>
      <c r="B32" s="117">
        <v>0</v>
      </c>
      <c r="C32" s="117"/>
      <c r="D32" s="117"/>
      <c r="E32" s="117"/>
      <c r="F32" s="117"/>
      <c r="G32" s="117"/>
      <c r="H32" s="117"/>
      <c r="I32" s="117"/>
      <c r="J32" s="117"/>
      <c r="K32" s="117"/>
      <c r="L32" s="117"/>
      <c r="M32" s="117"/>
      <c r="P32" s="99">
        <v>55</v>
      </c>
      <c r="Q32" s="117">
        <v>1.1839999999999999</v>
      </c>
      <c r="R32" s="117"/>
      <c r="S32" s="117"/>
      <c r="T32" s="117"/>
      <c r="U32" s="117"/>
      <c r="V32" s="117"/>
      <c r="W32" s="117"/>
      <c r="X32" s="117"/>
      <c r="Y32" s="117"/>
      <c r="Z32" s="117"/>
      <c r="AA32" s="117"/>
      <c r="AB32" s="117"/>
    </row>
    <row r="44" ht="39.65" customHeight="1" x14ac:dyDescent="0.25"/>
    <row r="46" ht="27.65" customHeight="1" x14ac:dyDescent="0.25"/>
  </sheetData>
  <sheetProtection algorithmName="SHA-512" hashValue="eYVnOB/tQmOnNlZ5X4+AomJQD4QlxxbnT1j+zrhPeDNB7m0TxewV2FQWD2bJl5l+a7Oh0zF5Yvy/PpfmSDTP+g==" saltValue="lR8tn3abj/tm4oobc3L4Hw==" spinCount="100000" sheet="1" objects="1" scenarios="1"/>
  <conditionalFormatting sqref="A6:A21">
    <cfRule type="expression" dxfId="741" priority="17" stopIfTrue="1">
      <formula>MOD(ROW(),2)=0</formula>
    </cfRule>
    <cfRule type="expression" dxfId="740" priority="18" stopIfTrue="1">
      <formula>MOD(ROW(),2)&lt;&gt;0</formula>
    </cfRule>
  </conditionalFormatting>
  <conditionalFormatting sqref="A26:A32">
    <cfRule type="expression" dxfId="739" priority="7" stopIfTrue="1">
      <formula>MOD(ROW(),2)=0</formula>
    </cfRule>
    <cfRule type="expression" dxfId="738" priority="8" stopIfTrue="1">
      <formula>MOD(ROW(),2)&lt;&gt;0</formula>
    </cfRule>
  </conditionalFormatting>
  <conditionalFormatting sqref="B17:B21">
    <cfRule type="expression" dxfId="737" priority="11" stopIfTrue="1">
      <formula>MOD(ROW(),2)=0</formula>
    </cfRule>
    <cfRule type="expression" dxfId="736" priority="12" stopIfTrue="1">
      <formula>MOD(ROW(),2)&lt;&gt;0</formula>
    </cfRule>
  </conditionalFormatting>
  <conditionalFormatting sqref="B6:M21">
    <cfRule type="expression" dxfId="735" priority="25" stopIfTrue="1">
      <formula>MOD(ROW(),2)=0</formula>
    </cfRule>
    <cfRule type="expression" dxfId="734" priority="26" stopIfTrue="1">
      <formula>MOD(ROW(),2)&lt;&gt;0</formula>
    </cfRule>
  </conditionalFormatting>
  <conditionalFormatting sqref="B26:M32">
    <cfRule type="expression" dxfId="733" priority="9" stopIfTrue="1">
      <formula>MOD(ROW(),2)=0</formula>
    </cfRule>
    <cfRule type="expression" dxfId="732" priority="10" stopIfTrue="1">
      <formula>MOD(ROW(),2)&lt;&gt;0</formula>
    </cfRule>
  </conditionalFormatting>
  <conditionalFormatting sqref="P6:P21">
    <cfRule type="expression" dxfId="731" priority="15" stopIfTrue="1">
      <formula>MOD(ROW(),2)=0</formula>
    </cfRule>
    <cfRule type="expression" dxfId="730" priority="16" stopIfTrue="1">
      <formula>MOD(ROW(),2)&lt;&gt;0</formula>
    </cfRule>
  </conditionalFormatting>
  <conditionalFormatting sqref="P26:P32">
    <cfRule type="expression" dxfId="729" priority="3" stopIfTrue="1">
      <formula>MOD(ROW(),2)=0</formula>
    </cfRule>
    <cfRule type="expression" dxfId="728" priority="4" stopIfTrue="1">
      <formula>MOD(ROW(),2)&lt;&gt;0</formula>
    </cfRule>
  </conditionalFormatting>
  <conditionalFormatting sqref="Q17:Q21">
    <cfRule type="expression" dxfId="727" priority="1" stopIfTrue="1">
      <formula>MOD(ROW(),2)=0</formula>
    </cfRule>
    <cfRule type="expression" dxfId="726" priority="2" stopIfTrue="1">
      <formula>MOD(ROW(),2)&lt;&gt;0</formula>
    </cfRule>
  </conditionalFormatting>
  <conditionalFormatting sqref="Q6:AB21">
    <cfRule type="expression" dxfId="725" priority="33" stopIfTrue="1">
      <formula>MOD(ROW(),2)=0</formula>
    </cfRule>
    <cfRule type="expression" dxfId="724" priority="34" stopIfTrue="1">
      <formula>MOD(ROW(),2)&lt;&gt;0</formula>
    </cfRule>
  </conditionalFormatting>
  <conditionalFormatting sqref="Q26:AB32">
    <cfRule type="expression" dxfId="723" priority="5" stopIfTrue="1">
      <formula>MOD(ROW(),2)=0</formula>
    </cfRule>
    <cfRule type="expression" dxfId="722" priority="6" stopIfTrue="1">
      <formula>MOD(ROW(),2)&lt;&gt;0</formula>
    </cfRule>
  </conditionalFormatting>
  <hyperlinks>
    <hyperlink ref="B24" location="Assumptions!A1" display="Assumptions" xr:uid="{B7ED8875-D7D8-4F19-BD75-DED82214D93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5"/>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x-411</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75</v>
      </c>
      <c r="C8" s="161"/>
      <c r="D8" s="161"/>
      <c r="E8" s="161"/>
      <c r="F8" s="161"/>
      <c r="G8" s="161"/>
      <c r="H8" s="161"/>
      <c r="I8" s="161"/>
      <c r="J8" s="161"/>
      <c r="K8" s="161"/>
      <c r="L8" s="161"/>
      <c r="M8" s="161"/>
    </row>
    <row r="9" spans="1:13" x14ac:dyDescent="0.25">
      <c r="A9" s="85" t="s">
        <v>282</v>
      </c>
      <c r="B9" s="161" t="s">
        <v>396</v>
      </c>
      <c r="C9" s="161"/>
      <c r="D9" s="161"/>
      <c r="E9" s="161"/>
      <c r="F9" s="161"/>
      <c r="G9" s="161"/>
      <c r="H9" s="161"/>
      <c r="I9" s="161"/>
      <c r="J9" s="161"/>
      <c r="K9" s="161"/>
      <c r="L9" s="161"/>
      <c r="M9" s="161"/>
    </row>
    <row r="10" spans="1:13" x14ac:dyDescent="0.25">
      <c r="A10" s="85" t="s">
        <v>6</v>
      </c>
      <c r="B10" s="161" t="s">
        <v>441</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398</v>
      </c>
      <c r="C12" s="161"/>
      <c r="D12" s="161"/>
      <c r="E12" s="161"/>
      <c r="F12" s="161"/>
      <c r="G12" s="161"/>
      <c r="H12" s="161"/>
      <c r="I12" s="161"/>
      <c r="J12" s="161"/>
      <c r="K12" s="161"/>
      <c r="L12" s="161"/>
      <c r="M12" s="161"/>
    </row>
    <row r="13" spans="1:13" x14ac:dyDescent="0.25">
      <c r="A13" s="85" t="s">
        <v>289</v>
      </c>
      <c r="B13" s="161">
        <v>2</v>
      </c>
      <c r="C13" s="161"/>
      <c r="D13" s="161"/>
      <c r="E13" s="161"/>
      <c r="F13" s="161"/>
      <c r="G13" s="161"/>
      <c r="H13" s="161"/>
      <c r="I13" s="161"/>
      <c r="J13" s="161"/>
      <c r="K13" s="161"/>
      <c r="L13" s="161"/>
      <c r="M13" s="161"/>
    </row>
    <row r="14" spans="1:13" x14ac:dyDescent="0.25">
      <c r="A14" s="85" t="s">
        <v>291</v>
      </c>
      <c r="B14" s="161">
        <v>411</v>
      </c>
      <c r="C14" s="161"/>
      <c r="D14" s="161"/>
      <c r="E14" s="161"/>
      <c r="F14" s="161"/>
      <c r="G14" s="161"/>
      <c r="H14" s="161"/>
      <c r="I14" s="161"/>
      <c r="J14" s="161"/>
      <c r="K14" s="161"/>
      <c r="L14" s="161"/>
      <c r="M14" s="161"/>
    </row>
    <row r="15" spans="1:13" x14ac:dyDescent="0.25">
      <c r="A15" s="85" t="s">
        <v>293</v>
      </c>
      <c r="B15" s="161" t="s">
        <v>442</v>
      </c>
      <c r="C15" s="161"/>
      <c r="D15" s="161"/>
      <c r="E15" s="161"/>
      <c r="F15" s="161"/>
      <c r="G15" s="161"/>
      <c r="H15" s="161"/>
      <c r="I15" s="161"/>
      <c r="J15" s="161"/>
      <c r="K15" s="161"/>
      <c r="L15" s="161"/>
      <c r="M15" s="161"/>
    </row>
    <row r="16" spans="1:13" x14ac:dyDescent="0.25">
      <c r="A16" s="85" t="s">
        <v>295</v>
      </c>
      <c r="B16" s="161" t="s">
        <v>443</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45107</v>
      </c>
      <c r="C18" s="161"/>
      <c r="D18" s="161"/>
      <c r="E18" s="161"/>
      <c r="F18" s="161"/>
      <c r="G18" s="161"/>
      <c r="H18" s="161"/>
      <c r="I18" s="161"/>
      <c r="J18" s="161"/>
      <c r="K18" s="161"/>
      <c r="L18" s="161"/>
      <c r="M18" s="161"/>
    </row>
    <row r="19" spans="1:13" x14ac:dyDescent="0.25">
      <c r="A19" s="85" t="s">
        <v>301</v>
      </c>
      <c r="B19" s="162">
        <v>45107</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55</v>
      </c>
      <c r="B27" s="117">
        <v>2.1999999999999999E-2</v>
      </c>
      <c r="C27" s="117">
        <v>2.1999999999999999E-2</v>
      </c>
      <c r="D27" s="117">
        <v>2.1999999999999999E-2</v>
      </c>
      <c r="E27" s="117">
        <v>2.1999999999999999E-2</v>
      </c>
      <c r="F27" s="117">
        <v>2.1000000000000001E-2</v>
      </c>
      <c r="G27" s="117">
        <v>2.1000000000000001E-2</v>
      </c>
      <c r="H27" s="117">
        <v>2.1000000000000001E-2</v>
      </c>
      <c r="I27" s="117">
        <v>2.1000000000000001E-2</v>
      </c>
      <c r="J27" s="117">
        <v>2.1000000000000001E-2</v>
      </c>
      <c r="K27" s="117">
        <v>2.1000000000000001E-2</v>
      </c>
      <c r="L27" s="117">
        <v>2.1000000000000001E-2</v>
      </c>
      <c r="M27" s="117">
        <v>2.1000000000000001E-2</v>
      </c>
    </row>
    <row r="28" spans="1:13" x14ac:dyDescent="0.25">
      <c r="A28" s="99">
        <v>56</v>
      </c>
      <c r="B28" s="117">
        <v>0.02</v>
      </c>
      <c r="C28" s="117">
        <v>0.02</v>
      </c>
      <c r="D28" s="117">
        <v>0.02</v>
      </c>
      <c r="E28" s="117">
        <v>0.02</v>
      </c>
      <c r="F28" s="117">
        <v>0.02</v>
      </c>
      <c r="G28" s="117">
        <v>0.02</v>
      </c>
      <c r="H28" s="117">
        <v>0.02</v>
      </c>
      <c r="I28" s="117">
        <v>0.02</v>
      </c>
      <c r="J28" s="117">
        <v>0.02</v>
      </c>
      <c r="K28" s="117">
        <v>1.9E-2</v>
      </c>
      <c r="L28" s="117">
        <v>1.9E-2</v>
      </c>
      <c r="M28" s="117">
        <v>1.9E-2</v>
      </c>
    </row>
    <row r="29" spans="1:13" x14ac:dyDescent="0.25">
      <c r="A29" s="99">
        <v>57</v>
      </c>
      <c r="B29" s="117">
        <v>1.9E-2</v>
      </c>
      <c r="C29" s="117">
        <v>1.9E-2</v>
      </c>
      <c r="D29" s="117">
        <v>1.9E-2</v>
      </c>
      <c r="E29" s="117">
        <v>1.9E-2</v>
      </c>
      <c r="F29" s="117">
        <v>1.7999999999999999E-2</v>
      </c>
      <c r="G29" s="117">
        <v>1.7999999999999999E-2</v>
      </c>
      <c r="H29" s="117">
        <v>1.7999999999999999E-2</v>
      </c>
      <c r="I29" s="117">
        <v>1.7999999999999999E-2</v>
      </c>
      <c r="J29" s="117">
        <v>1.7999999999999999E-2</v>
      </c>
      <c r="K29" s="117">
        <v>1.7999999999999999E-2</v>
      </c>
      <c r="L29" s="117">
        <v>1.7999999999999999E-2</v>
      </c>
      <c r="M29" s="117">
        <v>1.7999999999999999E-2</v>
      </c>
    </row>
    <row r="30" spans="1:13" x14ac:dyDescent="0.25">
      <c r="A30" s="99">
        <v>58</v>
      </c>
      <c r="B30" s="117">
        <v>1.7000000000000001E-2</v>
      </c>
      <c r="C30" s="117">
        <v>1.7000000000000001E-2</v>
      </c>
      <c r="D30" s="117">
        <v>1.7000000000000001E-2</v>
      </c>
      <c r="E30" s="117">
        <v>1.7000000000000001E-2</v>
      </c>
      <c r="F30" s="117">
        <v>1.7000000000000001E-2</v>
      </c>
      <c r="G30" s="117">
        <v>1.7000000000000001E-2</v>
      </c>
      <c r="H30" s="117">
        <v>1.7000000000000001E-2</v>
      </c>
      <c r="I30" s="117">
        <v>1.6E-2</v>
      </c>
      <c r="J30" s="117">
        <v>1.6E-2</v>
      </c>
      <c r="K30" s="117">
        <v>1.6E-2</v>
      </c>
      <c r="L30" s="117">
        <v>1.6E-2</v>
      </c>
      <c r="M30" s="117">
        <v>1.6E-2</v>
      </c>
    </row>
    <row r="31" spans="1:13" x14ac:dyDescent="0.25">
      <c r="A31" s="99">
        <v>59</v>
      </c>
      <c r="B31" s="117">
        <v>1.6E-2</v>
      </c>
      <c r="C31" s="117">
        <v>1.6E-2</v>
      </c>
      <c r="D31" s="117">
        <v>1.4999999999999999E-2</v>
      </c>
      <c r="E31" s="117">
        <v>1.4999999999999999E-2</v>
      </c>
      <c r="F31" s="117">
        <v>1.4999999999999999E-2</v>
      </c>
      <c r="G31" s="117">
        <v>1.4999999999999999E-2</v>
      </c>
      <c r="H31" s="117">
        <v>1.4999999999999999E-2</v>
      </c>
      <c r="I31" s="117">
        <v>1.4999999999999999E-2</v>
      </c>
      <c r="J31" s="117">
        <v>1.4999999999999999E-2</v>
      </c>
      <c r="K31" s="117">
        <v>1.4E-2</v>
      </c>
      <c r="L31" s="117">
        <v>1.4E-2</v>
      </c>
      <c r="M31" s="117">
        <v>1.4E-2</v>
      </c>
    </row>
    <row r="32" spans="1:13" x14ac:dyDescent="0.25">
      <c r="A32" s="99">
        <v>60</v>
      </c>
      <c r="B32" s="117">
        <v>1.4E-2</v>
      </c>
      <c r="C32" s="117">
        <v>1.4E-2</v>
      </c>
      <c r="D32" s="117">
        <v>1.4E-2</v>
      </c>
      <c r="E32" s="117">
        <v>1.2999999999999999E-2</v>
      </c>
      <c r="F32" s="117">
        <v>1.2999999999999999E-2</v>
      </c>
      <c r="G32" s="117">
        <v>1.2999999999999999E-2</v>
      </c>
      <c r="H32" s="117">
        <v>1.2999999999999999E-2</v>
      </c>
      <c r="I32" s="117">
        <v>1.2999999999999999E-2</v>
      </c>
      <c r="J32" s="117">
        <v>1.2E-2</v>
      </c>
      <c r="K32" s="117">
        <v>1.2E-2</v>
      </c>
      <c r="L32" s="117">
        <v>1.2E-2</v>
      </c>
      <c r="M32" s="117">
        <v>1.2E-2</v>
      </c>
    </row>
    <row r="33" spans="1:13" x14ac:dyDescent="0.25">
      <c r="A33" s="99">
        <v>61</v>
      </c>
      <c r="B33" s="117">
        <v>1.2E-2</v>
      </c>
      <c r="C33" s="117">
        <v>1.0999999999999999E-2</v>
      </c>
      <c r="D33" s="117">
        <v>1.0999999999999999E-2</v>
      </c>
      <c r="E33" s="117">
        <v>1.0999999999999999E-2</v>
      </c>
      <c r="F33" s="117">
        <v>1.0999999999999999E-2</v>
      </c>
      <c r="G33" s="117">
        <v>1.0999999999999999E-2</v>
      </c>
      <c r="H33" s="117">
        <v>0.01</v>
      </c>
      <c r="I33" s="117">
        <v>0.01</v>
      </c>
      <c r="J33" s="117">
        <v>0.01</v>
      </c>
      <c r="K33" s="117">
        <v>0.01</v>
      </c>
      <c r="L33" s="117">
        <v>8.9999999999999993E-3</v>
      </c>
      <c r="M33" s="117">
        <v>8.9999999999999993E-3</v>
      </c>
    </row>
    <row r="34" spans="1:13" x14ac:dyDescent="0.25">
      <c r="A34" s="99">
        <v>62</v>
      </c>
      <c r="B34" s="117">
        <v>8.9999999999999993E-3</v>
      </c>
      <c r="C34" s="117">
        <v>8.9999999999999993E-3</v>
      </c>
      <c r="D34" s="117">
        <v>8.9999999999999993E-3</v>
      </c>
      <c r="E34" s="117">
        <v>8.0000000000000002E-3</v>
      </c>
      <c r="F34" s="117">
        <v>8.0000000000000002E-3</v>
      </c>
      <c r="G34" s="117">
        <v>8.0000000000000002E-3</v>
      </c>
      <c r="H34" s="117">
        <v>8.0000000000000002E-3</v>
      </c>
      <c r="I34" s="117">
        <v>7.0000000000000001E-3</v>
      </c>
      <c r="J34" s="117">
        <v>7.0000000000000001E-3</v>
      </c>
      <c r="K34" s="117">
        <v>7.0000000000000001E-3</v>
      </c>
      <c r="L34" s="117">
        <v>7.0000000000000001E-3</v>
      </c>
      <c r="M34" s="117">
        <v>7.0000000000000001E-3</v>
      </c>
    </row>
    <row r="35" spans="1:13" x14ac:dyDescent="0.25">
      <c r="A35" s="99">
        <v>63</v>
      </c>
      <c r="B35" s="117">
        <v>6.0000000000000001E-3</v>
      </c>
      <c r="C35" s="117">
        <v>6.0000000000000001E-3</v>
      </c>
      <c r="D35" s="117">
        <v>6.0000000000000001E-3</v>
      </c>
      <c r="E35" s="117">
        <v>6.0000000000000001E-3</v>
      </c>
      <c r="F35" s="117">
        <v>5.0000000000000001E-3</v>
      </c>
      <c r="G35" s="117">
        <v>5.0000000000000001E-3</v>
      </c>
      <c r="H35" s="117">
        <v>5.0000000000000001E-3</v>
      </c>
      <c r="I35" s="117">
        <v>5.0000000000000001E-3</v>
      </c>
      <c r="J35" s="117">
        <v>4.0000000000000001E-3</v>
      </c>
      <c r="K35" s="117">
        <v>4.0000000000000001E-3</v>
      </c>
      <c r="L35" s="117">
        <v>4.0000000000000001E-3</v>
      </c>
      <c r="M35" s="117">
        <v>4.0000000000000001E-3</v>
      </c>
    </row>
    <row r="36" spans="1:13" x14ac:dyDescent="0.25">
      <c r="A36" s="99">
        <v>64</v>
      </c>
      <c r="B36" s="117">
        <v>3.0000000000000001E-3</v>
      </c>
      <c r="C36" s="117">
        <v>3.0000000000000001E-3</v>
      </c>
      <c r="D36" s="117">
        <v>3.0000000000000001E-3</v>
      </c>
      <c r="E36" s="117">
        <v>2E-3</v>
      </c>
      <c r="F36" s="117">
        <v>2E-3</v>
      </c>
      <c r="G36" s="117">
        <v>2E-3</v>
      </c>
      <c r="H36" s="117">
        <v>2E-3</v>
      </c>
      <c r="I36" s="117">
        <v>1E-3</v>
      </c>
      <c r="J36" s="117">
        <v>1E-3</v>
      </c>
      <c r="K36" s="117">
        <v>1E-3</v>
      </c>
      <c r="L36" s="117">
        <v>1E-3</v>
      </c>
      <c r="M36" s="117">
        <v>0</v>
      </c>
    </row>
    <row r="37" spans="1:13" x14ac:dyDescent="0.25">
      <c r="A37" s="99">
        <v>65</v>
      </c>
      <c r="B37" s="117">
        <v>0</v>
      </c>
      <c r="C37" s="117"/>
      <c r="D37" s="117"/>
      <c r="E37" s="117"/>
      <c r="F37" s="117"/>
      <c r="G37" s="117"/>
      <c r="H37" s="117"/>
      <c r="I37" s="117"/>
      <c r="J37" s="117"/>
      <c r="K37" s="117"/>
      <c r="L37" s="117"/>
      <c r="M37" s="117"/>
    </row>
    <row r="44" spans="1:13" ht="39.65" customHeight="1" x14ac:dyDescent="0.25"/>
    <row r="46" spans="1:13" ht="27.65" customHeight="1" x14ac:dyDescent="0.25"/>
  </sheetData>
  <sheetProtection algorithmName="SHA-512" hashValue="kemj7kZhB4lMoq4pP7qx6PfVTffao5UIQUN4HUwubHw0LDYpk1JLS9H3RKFdD8IdM56o2VlsxtEKS2zxxtn4dw==" saltValue="0yRPpOQmqaGJnFGviVcBbA==" spinCount="100000" sheet="1" objects="1" scenarios="1"/>
  <conditionalFormatting sqref="A6:A21">
    <cfRule type="expression" dxfId="721" priority="7" stopIfTrue="1">
      <formula>MOD(ROW(),2)=0</formula>
    </cfRule>
    <cfRule type="expression" dxfId="720" priority="8" stopIfTrue="1">
      <formula>MOD(ROW(),2)&lt;&gt;0</formula>
    </cfRule>
  </conditionalFormatting>
  <conditionalFormatting sqref="A26:A37">
    <cfRule type="expression" dxfId="719" priority="1" stopIfTrue="1">
      <formula>MOD(ROW(),2)=0</formula>
    </cfRule>
    <cfRule type="expression" dxfId="718" priority="2" stopIfTrue="1">
      <formula>MOD(ROW(),2)&lt;&gt;0</formula>
    </cfRule>
  </conditionalFormatting>
  <conditionalFormatting sqref="B17:B21">
    <cfRule type="expression" dxfId="717" priority="5" stopIfTrue="1">
      <formula>MOD(ROW(),2)=0</formula>
    </cfRule>
    <cfRule type="expression" dxfId="716" priority="6" stopIfTrue="1">
      <formula>MOD(ROW(),2)&lt;&gt;0</formula>
    </cfRule>
  </conditionalFormatting>
  <conditionalFormatting sqref="B6:M21">
    <cfRule type="expression" dxfId="715" priority="15" stopIfTrue="1">
      <formula>MOD(ROW(),2)=0</formula>
    </cfRule>
    <cfRule type="expression" dxfId="714" priority="16" stopIfTrue="1">
      <formula>MOD(ROW(),2)&lt;&gt;0</formula>
    </cfRule>
  </conditionalFormatting>
  <conditionalFormatting sqref="B26:M37">
    <cfRule type="expression" dxfId="713" priority="3" stopIfTrue="1">
      <formula>MOD(ROW(),2)=0</formula>
    </cfRule>
    <cfRule type="expression" dxfId="712" priority="4" stopIfTrue="1">
      <formula>MOD(ROW(),2)&lt;&gt;0</formula>
    </cfRule>
  </conditionalFormatting>
  <hyperlinks>
    <hyperlink ref="B24" location="Assumptions!A1" display="Assumptions" xr:uid="{2A723C09-11EE-46DF-8221-8D9AD7E5E90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6"/>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x-412</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75</v>
      </c>
      <c r="C8" s="161"/>
      <c r="D8" s="161"/>
      <c r="E8" s="161"/>
      <c r="F8" s="161"/>
      <c r="G8" s="161"/>
      <c r="H8" s="161"/>
      <c r="I8" s="161"/>
      <c r="J8" s="161"/>
      <c r="K8" s="161"/>
      <c r="L8" s="161"/>
      <c r="M8" s="161"/>
    </row>
    <row r="9" spans="1:13" x14ac:dyDescent="0.25">
      <c r="A9" s="85" t="s">
        <v>282</v>
      </c>
      <c r="B9" s="161" t="s">
        <v>396</v>
      </c>
      <c r="C9" s="161"/>
      <c r="D9" s="161"/>
      <c r="E9" s="161"/>
      <c r="F9" s="161"/>
      <c r="G9" s="161"/>
      <c r="H9" s="161"/>
      <c r="I9" s="161"/>
      <c r="J9" s="161"/>
      <c r="K9" s="161"/>
      <c r="L9" s="161"/>
      <c r="M9" s="161"/>
    </row>
    <row r="10" spans="1:13" x14ac:dyDescent="0.25">
      <c r="A10" s="85" t="s">
        <v>6</v>
      </c>
      <c r="B10" s="161" t="s">
        <v>444</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398</v>
      </c>
      <c r="C12" s="161"/>
      <c r="D12" s="161"/>
      <c r="E12" s="161"/>
      <c r="F12" s="161"/>
      <c r="G12" s="161"/>
      <c r="H12" s="161"/>
      <c r="I12" s="161"/>
      <c r="J12" s="161"/>
      <c r="K12" s="161"/>
      <c r="L12" s="161"/>
      <c r="M12" s="161"/>
    </row>
    <row r="13" spans="1:13" x14ac:dyDescent="0.25">
      <c r="A13" s="85" t="s">
        <v>289</v>
      </c>
      <c r="B13" s="161">
        <v>1</v>
      </c>
      <c r="C13" s="161"/>
      <c r="D13" s="161"/>
      <c r="E13" s="161"/>
      <c r="F13" s="161"/>
      <c r="G13" s="161"/>
      <c r="H13" s="161"/>
      <c r="I13" s="161"/>
      <c r="J13" s="161"/>
      <c r="K13" s="161"/>
      <c r="L13" s="161"/>
      <c r="M13" s="161"/>
    </row>
    <row r="14" spans="1:13" x14ac:dyDescent="0.25">
      <c r="A14" s="85" t="s">
        <v>291</v>
      </c>
      <c r="B14" s="161">
        <v>412</v>
      </c>
      <c r="C14" s="161"/>
      <c r="D14" s="161"/>
      <c r="E14" s="161"/>
      <c r="F14" s="161"/>
      <c r="G14" s="161"/>
      <c r="H14" s="161"/>
      <c r="I14" s="161"/>
      <c r="J14" s="161"/>
      <c r="K14" s="161"/>
      <c r="L14" s="161"/>
      <c r="M14" s="161"/>
    </row>
    <row r="15" spans="1:13" x14ac:dyDescent="0.25">
      <c r="A15" s="85" t="s">
        <v>293</v>
      </c>
      <c r="B15" s="161" t="s">
        <v>445</v>
      </c>
      <c r="C15" s="161"/>
      <c r="D15" s="161"/>
      <c r="E15" s="161"/>
      <c r="F15" s="161"/>
      <c r="G15" s="161"/>
      <c r="H15" s="161"/>
      <c r="I15" s="161"/>
      <c r="J15" s="161"/>
      <c r="K15" s="161"/>
      <c r="L15" s="161"/>
      <c r="M15" s="161"/>
    </row>
    <row r="16" spans="1:13" x14ac:dyDescent="0.25">
      <c r="A16" s="85" t="s">
        <v>295</v>
      </c>
      <c r="B16" s="161" t="s">
        <v>446</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45107</v>
      </c>
      <c r="C18" s="161"/>
      <c r="D18" s="161"/>
      <c r="E18" s="161"/>
      <c r="F18" s="161"/>
      <c r="G18" s="161"/>
      <c r="H18" s="161"/>
      <c r="I18" s="161"/>
      <c r="J18" s="161"/>
      <c r="K18" s="161"/>
      <c r="L18" s="161"/>
      <c r="M18" s="161"/>
    </row>
    <row r="19" spans="1:13" x14ac:dyDescent="0.25">
      <c r="A19" s="85" t="s">
        <v>301</v>
      </c>
      <c r="B19" s="162">
        <v>45107</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50</v>
      </c>
      <c r="B27" s="117">
        <v>0.83699999999999997</v>
      </c>
      <c r="C27" s="117">
        <v>0.84</v>
      </c>
      <c r="D27" s="117">
        <v>0.84199999999999997</v>
      </c>
      <c r="E27" s="117">
        <v>0.84399999999999997</v>
      </c>
      <c r="F27" s="117">
        <v>0.84699999999999998</v>
      </c>
      <c r="G27" s="117">
        <v>0.84899999999999998</v>
      </c>
      <c r="H27" s="117">
        <v>0.85099999999999998</v>
      </c>
      <c r="I27" s="117">
        <v>0.85399999999999998</v>
      </c>
      <c r="J27" s="117">
        <v>0.85599999999999998</v>
      </c>
      <c r="K27" s="117">
        <v>0.85799999999999998</v>
      </c>
      <c r="L27" s="117">
        <v>0.86099999999999999</v>
      </c>
      <c r="M27" s="117">
        <v>0.86299999999999999</v>
      </c>
    </row>
    <row r="28" spans="1:13" x14ac:dyDescent="0.25">
      <c r="A28" s="99">
        <v>51</v>
      </c>
      <c r="B28" s="117">
        <v>0.86499999999999999</v>
      </c>
      <c r="C28" s="117">
        <v>0.86799999999999999</v>
      </c>
      <c r="D28" s="117">
        <v>0.87</v>
      </c>
      <c r="E28" s="117">
        <v>0.873</v>
      </c>
      <c r="F28" s="117">
        <v>0.875</v>
      </c>
      <c r="G28" s="117">
        <v>0.878</v>
      </c>
      <c r="H28" s="117">
        <v>0.88</v>
      </c>
      <c r="I28" s="117">
        <v>0.88300000000000001</v>
      </c>
      <c r="J28" s="117">
        <v>0.88500000000000001</v>
      </c>
      <c r="K28" s="117">
        <v>0.88800000000000001</v>
      </c>
      <c r="L28" s="117">
        <v>0.89</v>
      </c>
      <c r="M28" s="117">
        <v>0.89300000000000002</v>
      </c>
    </row>
    <row r="29" spans="1:13" x14ac:dyDescent="0.25">
      <c r="A29" s="99">
        <v>52</v>
      </c>
      <c r="B29" s="117">
        <v>0.89500000000000002</v>
      </c>
      <c r="C29" s="117">
        <v>0.89800000000000002</v>
      </c>
      <c r="D29" s="117">
        <v>0.90100000000000002</v>
      </c>
      <c r="E29" s="117">
        <v>0.90300000000000002</v>
      </c>
      <c r="F29" s="117">
        <v>0.90600000000000003</v>
      </c>
      <c r="G29" s="117">
        <v>0.90900000000000003</v>
      </c>
      <c r="H29" s="117">
        <v>0.91100000000000003</v>
      </c>
      <c r="I29" s="117">
        <v>0.91400000000000003</v>
      </c>
      <c r="J29" s="117">
        <v>0.91700000000000004</v>
      </c>
      <c r="K29" s="117">
        <v>0.91900000000000004</v>
      </c>
      <c r="L29" s="117">
        <v>0.92200000000000004</v>
      </c>
      <c r="M29" s="117">
        <v>0.92500000000000004</v>
      </c>
    </row>
    <row r="30" spans="1:13" x14ac:dyDescent="0.25">
      <c r="A30" s="99">
        <v>53</v>
      </c>
      <c r="B30" s="117">
        <v>0.92700000000000005</v>
      </c>
      <c r="C30" s="117">
        <v>0.93</v>
      </c>
      <c r="D30" s="117">
        <v>0.93300000000000005</v>
      </c>
      <c r="E30" s="117">
        <v>0.93600000000000005</v>
      </c>
      <c r="F30" s="117">
        <v>0.93899999999999995</v>
      </c>
      <c r="G30" s="117">
        <v>0.94199999999999995</v>
      </c>
      <c r="H30" s="117">
        <v>0.94499999999999995</v>
      </c>
      <c r="I30" s="117">
        <v>0.94799999999999995</v>
      </c>
      <c r="J30" s="117">
        <v>0.95099999999999996</v>
      </c>
      <c r="K30" s="117">
        <v>0.95399999999999996</v>
      </c>
      <c r="L30" s="117">
        <v>0.95599999999999996</v>
      </c>
      <c r="M30" s="117">
        <v>0.95899999999999996</v>
      </c>
    </row>
    <row r="31" spans="1:13" x14ac:dyDescent="0.25">
      <c r="A31" s="99">
        <v>54</v>
      </c>
      <c r="B31" s="117">
        <v>0.96199999999999997</v>
      </c>
      <c r="C31" s="117">
        <v>0.96499999999999997</v>
      </c>
      <c r="D31" s="117">
        <v>0.96899999999999997</v>
      </c>
      <c r="E31" s="117">
        <v>0.97199999999999998</v>
      </c>
      <c r="F31" s="117">
        <v>0.97499999999999998</v>
      </c>
      <c r="G31" s="117">
        <v>0.97799999999999998</v>
      </c>
      <c r="H31" s="117">
        <v>0.98099999999999998</v>
      </c>
      <c r="I31" s="117">
        <v>0.98399999999999999</v>
      </c>
      <c r="J31" s="117">
        <v>0.98699999999999999</v>
      </c>
      <c r="K31" s="117">
        <v>0.99099999999999999</v>
      </c>
      <c r="L31" s="117">
        <v>0.99399999999999999</v>
      </c>
      <c r="M31" s="117">
        <v>0.997</v>
      </c>
    </row>
    <row r="32" spans="1:13" x14ac:dyDescent="0.25">
      <c r="A32" s="99">
        <v>55</v>
      </c>
      <c r="B32" s="117">
        <v>1</v>
      </c>
      <c r="C32" s="117"/>
      <c r="D32" s="117"/>
      <c r="E32" s="117"/>
      <c r="F32" s="117"/>
      <c r="G32" s="117"/>
      <c r="H32" s="117"/>
      <c r="I32" s="117"/>
      <c r="J32" s="117"/>
      <c r="K32" s="117"/>
      <c r="L32" s="117"/>
      <c r="M32" s="117"/>
    </row>
    <row r="44" ht="39.65" customHeight="1" x14ac:dyDescent="0.25"/>
    <row r="46" ht="27.65" customHeight="1" x14ac:dyDescent="0.25"/>
  </sheetData>
  <sheetProtection algorithmName="SHA-512" hashValue="AEjeyfgwRQhAUPxedCVG9K61T4BNSQtmjv++5MEEOaK1TrzBf8nTN1G/rroXZJ9zCihY3NPlxDJIwGRY6drF+g==" saltValue="duPHBxlEZT8rr3yuXRNLUg==" spinCount="100000" sheet="1" objects="1" scenarios="1"/>
  <conditionalFormatting sqref="A6:A21">
    <cfRule type="expression" dxfId="711" priority="7" stopIfTrue="1">
      <formula>MOD(ROW(),2)=0</formula>
    </cfRule>
    <cfRule type="expression" dxfId="710" priority="8" stopIfTrue="1">
      <formula>MOD(ROW(),2)&lt;&gt;0</formula>
    </cfRule>
  </conditionalFormatting>
  <conditionalFormatting sqref="A26:A32">
    <cfRule type="expression" dxfId="709" priority="1" stopIfTrue="1">
      <formula>MOD(ROW(),2)=0</formula>
    </cfRule>
    <cfRule type="expression" dxfId="708" priority="2" stopIfTrue="1">
      <formula>MOD(ROW(),2)&lt;&gt;0</formula>
    </cfRule>
  </conditionalFormatting>
  <conditionalFormatting sqref="B17:B21">
    <cfRule type="expression" dxfId="707" priority="5" stopIfTrue="1">
      <formula>MOD(ROW(),2)=0</formula>
    </cfRule>
    <cfRule type="expression" dxfId="706" priority="6" stopIfTrue="1">
      <formula>MOD(ROW(),2)&lt;&gt;0</formula>
    </cfRule>
  </conditionalFormatting>
  <conditionalFormatting sqref="B6:M21">
    <cfRule type="expression" dxfId="705" priority="15" stopIfTrue="1">
      <formula>MOD(ROW(),2)=0</formula>
    </cfRule>
    <cfRule type="expression" dxfId="704" priority="16" stopIfTrue="1">
      <formula>MOD(ROW(),2)&lt;&gt;0</formula>
    </cfRule>
  </conditionalFormatting>
  <conditionalFormatting sqref="B26:M32">
    <cfRule type="expression" dxfId="703" priority="3" stopIfTrue="1">
      <formula>MOD(ROW(),2)=0</formula>
    </cfRule>
    <cfRule type="expression" dxfId="702" priority="4" stopIfTrue="1">
      <formula>MOD(ROW(),2)&lt;&gt;0</formula>
    </cfRule>
  </conditionalFormatting>
  <hyperlinks>
    <hyperlink ref="B24" location="Assumptions!A1" display="Assumptions" xr:uid="{C614B5C4-2916-48E8-B65C-8867B643E9D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7"/>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x-413</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75</v>
      </c>
      <c r="C8" s="161"/>
      <c r="D8" s="161"/>
      <c r="E8" s="161"/>
      <c r="F8" s="161"/>
      <c r="G8" s="161"/>
      <c r="H8" s="161"/>
      <c r="I8" s="161"/>
      <c r="J8" s="161"/>
      <c r="K8" s="161"/>
      <c r="L8" s="161"/>
      <c r="M8" s="161"/>
    </row>
    <row r="9" spans="1:13" x14ac:dyDescent="0.25">
      <c r="A9" s="85" t="s">
        <v>282</v>
      </c>
      <c r="B9" s="161" t="s">
        <v>396</v>
      </c>
      <c r="C9" s="161"/>
      <c r="D9" s="161"/>
      <c r="E9" s="161"/>
      <c r="F9" s="161"/>
      <c r="G9" s="161"/>
      <c r="H9" s="161"/>
      <c r="I9" s="161"/>
      <c r="J9" s="161"/>
      <c r="K9" s="161"/>
      <c r="L9" s="161"/>
      <c r="M9" s="161"/>
    </row>
    <row r="10" spans="1:13" x14ac:dyDescent="0.25">
      <c r="A10" s="85" t="s">
        <v>6</v>
      </c>
      <c r="B10" s="161" t="s">
        <v>447</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398</v>
      </c>
      <c r="C12" s="161"/>
      <c r="D12" s="161"/>
      <c r="E12" s="161"/>
      <c r="F12" s="161"/>
      <c r="G12" s="161"/>
      <c r="H12" s="161"/>
      <c r="I12" s="161"/>
      <c r="J12" s="161"/>
      <c r="K12" s="161"/>
      <c r="L12" s="161"/>
      <c r="M12" s="161"/>
    </row>
    <row r="13" spans="1:13" x14ac:dyDescent="0.25">
      <c r="A13" s="85" t="s">
        <v>289</v>
      </c>
      <c r="B13" s="161">
        <v>1</v>
      </c>
      <c r="C13" s="161"/>
      <c r="D13" s="161"/>
      <c r="E13" s="161"/>
      <c r="F13" s="161"/>
      <c r="G13" s="161"/>
      <c r="H13" s="161"/>
      <c r="I13" s="161"/>
      <c r="J13" s="161"/>
      <c r="K13" s="161"/>
      <c r="L13" s="161"/>
      <c r="M13" s="161"/>
    </row>
    <row r="14" spans="1:13" x14ac:dyDescent="0.25">
      <c r="A14" s="85" t="s">
        <v>291</v>
      </c>
      <c r="B14" s="161">
        <v>413</v>
      </c>
      <c r="C14" s="161"/>
      <c r="D14" s="161"/>
      <c r="E14" s="161"/>
      <c r="F14" s="161"/>
      <c r="G14" s="161"/>
      <c r="H14" s="161"/>
      <c r="I14" s="161"/>
      <c r="J14" s="161"/>
      <c r="K14" s="161"/>
      <c r="L14" s="161"/>
      <c r="M14" s="161"/>
    </row>
    <row r="15" spans="1:13" x14ac:dyDescent="0.25">
      <c r="A15" s="85" t="s">
        <v>293</v>
      </c>
      <c r="B15" s="161" t="s">
        <v>448</v>
      </c>
      <c r="C15" s="161"/>
      <c r="D15" s="161"/>
      <c r="E15" s="161"/>
      <c r="F15" s="161"/>
      <c r="G15" s="161"/>
      <c r="H15" s="161"/>
      <c r="I15" s="161"/>
      <c r="J15" s="161"/>
      <c r="K15" s="161"/>
      <c r="L15" s="161"/>
      <c r="M15" s="161"/>
    </row>
    <row r="16" spans="1:13" x14ac:dyDescent="0.25">
      <c r="A16" s="85" t="s">
        <v>295</v>
      </c>
      <c r="B16" s="161" t="s">
        <v>449</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45107</v>
      </c>
      <c r="C18" s="161"/>
      <c r="D18" s="161"/>
      <c r="E18" s="161"/>
      <c r="F18" s="161"/>
      <c r="G18" s="161"/>
      <c r="H18" s="161"/>
      <c r="I18" s="161"/>
      <c r="J18" s="161"/>
      <c r="K18" s="161"/>
      <c r="L18" s="161"/>
      <c r="M18" s="161"/>
    </row>
    <row r="19" spans="1:13" x14ac:dyDescent="0.25">
      <c r="A19" s="85" t="s">
        <v>301</v>
      </c>
      <c r="B19" s="162">
        <v>45107</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50</v>
      </c>
      <c r="B27" s="117">
        <v>0.91900000000000004</v>
      </c>
      <c r="C27" s="117">
        <v>0.92</v>
      </c>
      <c r="D27" s="117">
        <v>0.92200000000000004</v>
      </c>
      <c r="E27" s="117">
        <v>0.92300000000000004</v>
      </c>
      <c r="F27" s="117">
        <v>0.92400000000000004</v>
      </c>
      <c r="G27" s="117">
        <v>0.92600000000000005</v>
      </c>
      <c r="H27" s="117">
        <v>0.92700000000000005</v>
      </c>
      <c r="I27" s="117">
        <v>0.92800000000000005</v>
      </c>
      <c r="J27" s="117">
        <v>0.93</v>
      </c>
      <c r="K27" s="117">
        <v>0.93100000000000005</v>
      </c>
      <c r="L27" s="117">
        <v>0.93200000000000005</v>
      </c>
      <c r="M27" s="117">
        <v>0.93300000000000005</v>
      </c>
    </row>
    <row r="28" spans="1:13" x14ac:dyDescent="0.25">
      <c r="A28" s="99">
        <v>51</v>
      </c>
      <c r="B28" s="117">
        <v>0.93500000000000005</v>
      </c>
      <c r="C28" s="117">
        <v>0.93600000000000005</v>
      </c>
      <c r="D28" s="117">
        <v>0.93700000000000006</v>
      </c>
      <c r="E28" s="117">
        <v>0.93899999999999995</v>
      </c>
      <c r="F28" s="117">
        <v>0.94</v>
      </c>
      <c r="G28" s="117">
        <v>0.94099999999999995</v>
      </c>
      <c r="H28" s="117">
        <v>0.94299999999999995</v>
      </c>
      <c r="I28" s="117">
        <v>0.94399999999999995</v>
      </c>
      <c r="J28" s="117">
        <v>0.94499999999999995</v>
      </c>
      <c r="K28" s="117">
        <v>0.94699999999999995</v>
      </c>
      <c r="L28" s="117">
        <v>0.94799999999999995</v>
      </c>
      <c r="M28" s="117">
        <v>0.94899999999999995</v>
      </c>
    </row>
    <row r="29" spans="1:13" x14ac:dyDescent="0.25">
      <c r="A29" s="99">
        <v>52</v>
      </c>
      <c r="B29" s="117">
        <v>0.95099999999999996</v>
      </c>
      <c r="C29" s="117">
        <v>0.95199999999999996</v>
      </c>
      <c r="D29" s="117">
        <v>0.95299999999999996</v>
      </c>
      <c r="E29" s="117">
        <v>0.95499999999999996</v>
      </c>
      <c r="F29" s="117">
        <v>0.95599999999999996</v>
      </c>
      <c r="G29" s="117">
        <v>0.95699999999999996</v>
      </c>
      <c r="H29" s="117">
        <v>0.95899999999999996</v>
      </c>
      <c r="I29" s="117">
        <v>0.96</v>
      </c>
      <c r="J29" s="117">
        <v>0.96099999999999997</v>
      </c>
      <c r="K29" s="117">
        <v>0.96299999999999997</v>
      </c>
      <c r="L29" s="117">
        <v>0.96399999999999997</v>
      </c>
      <c r="M29" s="117">
        <v>0.96599999999999997</v>
      </c>
    </row>
    <row r="30" spans="1:13" x14ac:dyDescent="0.25">
      <c r="A30" s="99">
        <v>53</v>
      </c>
      <c r="B30" s="117">
        <v>0.96699999999999997</v>
      </c>
      <c r="C30" s="117">
        <v>0.96799999999999997</v>
      </c>
      <c r="D30" s="117">
        <v>0.97</v>
      </c>
      <c r="E30" s="117">
        <v>0.97099999999999997</v>
      </c>
      <c r="F30" s="117">
        <v>0.97199999999999998</v>
      </c>
      <c r="G30" s="117">
        <v>0.97399999999999998</v>
      </c>
      <c r="H30" s="117">
        <v>0.97499999999999998</v>
      </c>
      <c r="I30" s="117">
        <v>0.97599999999999998</v>
      </c>
      <c r="J30" s="117">
        <v>0.97799999999999998</v>
      </c>
      <c r="K30" s="117">
        <v>0.97899999999999998</v>
      </c>
      <c r="L30" s="117">
        <v>0.98099999999999998</v>
      </c>
      <c r="M30" s="117">
        <v>0.98199999999999998</v>
      </c>
    </row>
    <row r="31" spans="1:13" x14ac:dyDescent="0.25">
      <c r="A31" s="99">
        <v>54</v>
      </c>
      <c r="B31" s="117">
        <v>0.98299999999999998</v>
      </c>
      <c r="C31" s="117">
        <v>0.98499999999999999</v>
      </c>
      <c r="D31" s="117">
        <v>0.98599999999999999</v>
      </c>
      <c r="E31" s="117">
        <v>0.98699999999999999</v>
      </c>
      <c r="F31" s="117">
        <v>0.98899999999999999</v>
      </c>
      <c r="G31" s="117">
        <v>0.99</v>
      </c>
      <c r="H31" s="117">
        <v>0.99199999999999999</v>
      </c>
      <c r="I31" s="117">
        <v>0.99299999999999999</v>
      </c>
      <c r="J31" s="117">
        <v>0.99399999999999999</v>
      </c>
      <c r="K31" s="117">
        <v>0.996</v>
      </c>
      <c r="L31" s="117">
        <v>0.997</v>
      </c>
      <c r="M31" s="117">
        <v>0.999</v>
      </c>
    </row>
    <row r="32" spans="1:13" x14ac:dyDescent="0.25">
      <c r="A32" s="99">
        <v>55</v>
      </c>
      <c r="B32" s="117">
        <v>1</v>
      </c>
      <c r="C32" s="117"/>
      <c r="D32" s="117"/>
      <c r="E32" s="117"/>
      <c r="F32" s="117"/>
      <c r="G32" s="117"/>
      <c r="H32" s="117"/>
      <c r="I32" s="117"/>
      <c r="J32" s="117"/>
      <c r="K32" s="117"/>
      <c r="L32" s="117"/>
      <c r="M32" s="117"/>
    </row>
    <row r="44" ht="39.65" customHeight="1" x14ac:dyDescent="0.25"/>
    <row r="46" ht="27.65" customHeight="1" x14ac:dyDescent="0.25"/>
  </sheetData>
  <sheetProtection algorithmName="SHA-512" hashValue="WCbEDcIsqelruCn/Ue8RYwyC1nYTcrKyecKCU8fL/B4/QsByZif3nyKoDVYu7RhjTlPfzCS6uJU2N6ilRMN3QQ==" saltValue="kT8vYI2VHzwA3CVOJB7sFg==" spinCount="100000" sheet="1" objects="1" scenarios="1"/>
  <conditionalFormatting sqref="A6:A21">
    <cfRule type="expression" dxfId="701" priority="7" stopIfTrue="1">
      <formula>MOD(ROW(),2)=0</formula>
    </cfRule>
    <cfRule type="expression" dxfId="700" priority="8" stopIfTrue="1">
      <formula>MOD(ROW(),2)&lt;&gt;0</formula>
    </cfRule>
  </conditionalFormatting>
  <conditionalFormatting sqref="A26:A32">
    <cfRule type="expression" dxfId="699" priority="1" stopIfTrue="1">
      <formula>MOD(ROW(),2)=0</formula>
    </cfRule>
    <cfRule type="expression" dxfId="698" priority="2" stopIfTrue="1">
      <formula>MOD(ROW(),2)&lt;&gt;0</formula>
    </cfRule>
  </conditionalFormatting>
  <conditionalFormatting sqref="B17:B21">
    <cfRule type="expression" dxfId="697" priority="5" stopIfTrue="1">
      <formula>MOD(ROW(),2)=0</formula>
    </cfRule>
    <cfRule type="expression" dxfId="696" priority="6" stopIfTrue="1">
      <formula>MOD(ROW(),2)&lt;&gt;0</formula>
    </cfRule>
  </conditionalFormatting>
  <conditionalFormatting sqref="B6:M21">
    <cfRule type="expression" dxfId="695" priority="15" stopIfTrue="1">
      <formula>MOD(ROW(),2)=0</formula>
    </cfRule>
    <cfRule type="expression" dxfId="694" priority="16" stopIfTrue="1">
      <formula>MOD(ROW(),2)&lt;&gt;0</formula>
    </cfRule>
  </conditionalFormatting>
  <conditionalFormatting sqref="B26:M32">
    <cfRule type="expression" dxfId="693" priority="3" stopIfTrue="1">
      <formula>MOD(ROW(),2)=0</formula>
    </cfRule>
    <cfRule type="expression" dxfId="692" priority="4" stopIfTrue="1">
      <formula>MOD(ROW(),2)&lt;&gt;0</formula>
    </cfRule>
  </conditionalFormatting>
  <hyperlinks>
    <hyperlink ref="B24" location="Assumptions!A1" display="Assumptions" xr:uid="{8FF215EE-286B-4973-992F-AE6FCB2FF34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8"/>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x-414</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75</v>
      </c>
      <c r="C8" s="161"/>
      <c r="D8" s="161"/>
      <c r="E8" s="161"/>
      <c r="F8" s="161"/>
      <c r="G8" s="161"/>
      <c r="H8" s="161"/>
      <c r="I8" s="161"/>
      <c r="J8" s="161"/>
      <c r="K8" s="161"/>
      <c r="L8" s="161"/>
      <c r="M8" s="161"/>
    </row>
    <row r="9" spans="1:13" x14ac:dyDescent="0.25">
      <c r="A9" s="85" t="s">
        <v>282</v>
      </c>
      <c r="B9" s="161" t="s">
        <v>396</v>
      </c>
      <c r="C9" s="161"/>
      <c r="D9" s="161"/>
      <c r="E9" s="161"/>
      <c r="F9" s="161"/>
      <c r="G9" s="161"/>
      <c r="H9" s="161"/>
      <c r="I9" s="161"/>
      <c r="J9" s="161"/>
      <c r="K9" s="161"/>
      <c r="L9" s="161"/>
      <c r="M9" s="161"/>
    </row>
    <row r="10" spans="1:13" x14ac:dyDescent="0.25">
      <c r="A10" s="85" t="s">
        <v>6</v>
      </c>
      <c r="B10" s="161" t="s">
        <v>450</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398</v>
      </c>
      <c r="C12" s="161"/>
      <c r="D12" s="161"/>
      <c r="E12" s="161"/>
      <c r="F12" s="161"/>
      <c r="G12" s="161"/>
      <c r="H12" s="161"/>
      <c r="I12" s="161"/>
      <c r="J12" s="161"/>
      <c r="K12" s="161"/>
      <c r="L12" s="161"/>
      <c r="M12" s="161"/>
    </row>
    <row r="13" spans="1:13" x14ac:dyDescent="0.25">
      <c r="A13" s="85" t="s">
        <v>289</v>
      </c>
      <c r="B13" s="161">
        <v>1</v>
      </c>
      <c r="C13" s="161"/>
      <c r="D13" s="161"/>
      <c r="E13" s="161"/>
      <c r="F13" s="161"/>
      <c r="G13" s="161"/>
      <c r="H13" s="161"/>
      <c r="I13" s="161"/>
      <c r="J13" s="161"/>
      <c r="K13" s="161"/>
      <c r="L13" s="161"/>
      <c r="M13" s="161"/>
    </row>
    <row r="14" spans="1:13" x14ac:dyDescent="0.25">
      <c r="A14" s="85" t="s">
        <v>291</v>
      </c>
      <c r="B14" s="161">
        <v>414</v>
      </c>
      <c r="C14" s="161"/>
      <c r="D14" s="161"/>
      <c r="E14" s="161"/>
      <c r="F14" s="161"/>
      <c r="G14" s="161"/>
      <c r="H14" s="161"/>
      <c r="I14" s="161"/>
      <c r="J14" s="161"/>
      <c r="K14" s="161"/>
      <c r="L14" s="161"/>
      <c r="M14" s="161"/>
    </row>
    <row r="15" spans="1:13" x14ac:dyDescent="0.25">
      <c r="A15" s="85" t="s">
        <v>293</v>
      </c>
      <c r="B15" s="161" t="s">
        <v>451</v>
      </c>
      <c r="C15" s="161"/>
      <c r="D15" s="161"/>
      <c r="E15" s="161"/>
      <c r="F15" s="161"/>
      <c r="G15" s="161"/>
      <c r="H15" s="161"/>
      <c r="I15" s="161"/>
      <c r="J15" s="161"/>
      <c r="K15" s="161"/>
      <c r="L15" s="161"/>
      <c r="M15" s="161"/>
    </row>
    <row r="16" spans="1:13" x14ac:dyDescent="0.25">
      <c r="A16" s="85" t="s">
        <v>295</v>
      </c>
      <c r="B16" s="161" t="s">
        <v>452</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45107</v>
      </c>
      <c r="C18" s="161"/>
      <c r="D18" s="161"/>
      <c r="E18" s="161"/>
      <c r="F18" s="161"/>
      <c r="G18" s="161"/>
      <c r="H18" s="161"/>
      <c r="I18" s="161"/>
      <c r="J18" s="161"/>
      <c r="K18" s="161"/>
      <c r="L18" s="161"/>
      <c r="M18" s="161"/>
    </row>
    <row r="19" spans="1:13" x14ac:dyDescent="0.25">
      <c r="A19" s="85" t="s">
        <v>301</v>
      </c>
      <c r="B19" s="162">
        <v>45107</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50</v>
      </c>
      <c r="B27" s="117">
        <v>0.19400000000000001</v>
      </c>
      <c r="C27" s="117">
        <v>0.191</v>
      </c>
      <c r="D27" s="117">
        <v>0.188</v>
      </c>
      <c r="E27" s="117">
        <v>0.185</v>
      </c>
      <c r="F27" s="117">
        <v>0.18099999999999999</v>
      </c>
      <c r="G27" s="117">
        <v>0.17799999999999999</v>
      </c>
      <c r="H27" s="117">
        <v>0.17499999999999999</v>
      </c>
      <c r="I27" s="117">
        <v>0.17199999999999999</v>
      </c>
      <c r="J27" s="117">
        <v>0.16900000000000001</v>
      </c>
      <c r="K27" s="117">
        <v>0.16500000000000001</v>
      </c>
      <c r="L27" s="117">
        <v>0.16200000000000001</v>
      </c>
      <c r="M27" s="117">
        <v>0.159</v>
      </c>
    </row>
    <row r="28" spans="1:13" x14ac:dyDescent="0.25">
      <c r="A28" s="99">
        <v>51</v>
      </c>
      <c r="B28" s="117">
        <v>0.156</v>
      </c>
      <c r="C28" s="117">
        <v>0.153</v>
      </c>
      <c r="D28" s="117">
        <v>0.14899999999999999</v>
      </c>
      <c r="E28" s="117">
        <v>0.14599999999999999</v>
      </c>
      <c r="F28" s="117">
        <v>0.14299999999999999</v>
      </c>
      <c r="G28" s="117">
        <v>0.14000000000000001</v>
      </c>
      <c r="H28" s="117">
        <v>0.13600000000000001</v>
      </c>
      <c r="I28" s="117">
        <v>0.13300000000000001</v>
      </c>
      <c r="J28" s="117">
        <v>0.13</v>
      </c>
      <c r="K28" s="117">
        <v>0.127</v>
      </c>
      <c r="L28" s="117">
        <v>0.124</v>
      </c>
      <c r="M28" s="117">
        <v>0.12</v>
      </c>
    </row>
    <row r="29" spans="1:13" x14ac:dyDescent="0.25">
      <c r="A29" s="99">
        <v>52</v>
      </c>
      <c r="B29" s="117">
        <v>0.11700000000000001</v>
      </c>
      <c r="C29" s="117">
        <v>0.114</v>
      </c>
      <c r="D29" s="117">
        <v>0.111</v>
      </c>
      <c r="E29" s="117">
        <v>0.107</v>
      </c>
      <c r="F29" s="117">
        <v>0.104</v>
      </c>
      <c r="G29" s="117">
        <v>0.10100000000000001</v>
      </c>
      <c r="H29" s="117">
        <v>9.8000000000000004E-2</v>
      </c>
      <c r="I29" s="117">
        <v>9.4E-2</v>
      </c>
      <c r="J29" s="117">
        <v>9.0999999999999998E-2</v>
      </c>
      <c r="K29" s="117">
        <v>8.7999999999999995E-2</v>
      </c>
      <c r="L29" s="117">
        <v>8.5000000000000006E-2</v>
      </c>
      <c r="M29" s="117">
        <v>8.1000000000000003E-2</v>
      </c>
    </row>
    <row r="30" spans="1:13" x14ac:dyDescent="0.25">
      <c r="A30" s="99">
        <v>53</v>
      </c>
      <c r="B30" s="117">
        <v>7.8E-2</v>
      </c>
      <c r="C30" s="117">
        <v>7.4999999999999997E-2</v>
      </c>
      <c r="D30" s="117">
        <v>7.1999999999999995E-2</v>
      </c>
      <c r="E30" s="117">
        <v>6.8000000000000005E-2</v>
      </c>
      <c r="F30" s="117">
        <v>6.5000000000000002E-2</v>
      </c>
      <c r="G30" s="117">
        <v>6.2E-2</v>
      </c>
      <c r="H30" s="117">
        <v>5.8999999999999997E-2</v>
      </c>
      <c r="I30" s="117">
        <v>5.5E-2</v>
      </c>
      <c r="J30" s="117">
        <v>5.1999999999999998E-2</v>
      </c>
      <c r="K30" s="117">
        <v>4.9000000000000002E-2</v>
      </c>
      <c r="L30" s="117">
        <v>4.5999999999999999E-2</v>
      </c>
      <c r="M30" s="117">
        <v>4.2000000000000003E-2</v>
      </c>
    </row>
    <row r="31" spans="1:13" x14ac:dyDescent="0.25">
      <c r="A31" s="99">
        <v>54</v>
      </c>
      <c r="B31" s="117">
        <v>3.9E-2</v>
      </c>
      <c r="C31" s="117">
        <v>3.5999999999999997E-2</v>
      </c>
      <c r="D31" s="117">
        <v>3.3000000000000002E-2</v>
      </c>
      <c r="E31" s="117">
        <v>2.9000000000000001E-2</v>
      </c>
      <c r="F31" s="117">
        <v>2.5999999999999999E-2</v>
      </c>
      <c r="G31" s="117">
        <v>2.3E-2</v>
      </c>
      <c r="H31" s="117">
        <v>0.02</v>
      </c>
      <c r="I31" s="117">
        <v>1.6E-2</v>
      </c>
      <c r="J31" s="117">
        <v>1.2999999999999999E-2</v>
      </c>
      <c r="K31" s="117">
        <v>0.01</v>
      </c>
      <c r="L31" s="117">
        <v>7.0000000000000001E-3</v>
      </c>
      <c r="M31" s="117">
        <v>3.0000000000000001E-3</v>
      </c>
    </row>
    <row r="32" spans="1:13" x14ac:dyDescent="0.25">
      <c r="A32" s="99">
        <v>55</v>
      </c>
      <c r="B32" s="117">
        <v>0</v>
      </c>
      <c r="C32" s="117"/>
      <c r="D32" s="117"/>
      <c r="E32" s="117"/>
      <c r="F32" s="117"/>
      <c r="G32" s="117"/>
      <c r="H32" s="117"/>
      <c r="I32" s="117"/>
      <c r="J32" s="117"/>
      <c r="K32" s="117"/>
      <c r="L32" s="117"/>
      <c r="M32" s="117"/>
    </row>
    <row r="44" ht="39.65" customHeight="1" x14ac:dyDescent="0.25"/>
    <row r="46" ht="27.65" customHeight="1" x14ac:dyDescent="0.25"/>
  </sheetData>
  <sheetProtection algorithmName="SHA-512" hashValue="8mcZMxieE+35JBi71m4gwx4LYckKKre/gL7QKGDpv48cNFNt0zs5D46mvkAMSp3m/IHUyKd3sqxtox36xsI3sw==" saltValue="P3+Z5TvLMOvKqgXrW3psRQ==" spinCount="100000" sheet="1" objects="1" scenarios="1"/>
  <conditionalFormatting sqref="A6:A21">
    <cfRule type="expression" dxfId="691" priority="7" stopIfTrue="1">
      <formula>MOD(ROW(),2)=0</formula>
    </cfRule>
    <cfRule type="expression" dxfId="690" priority="8" stopIfTrue="1">
      <formula>MOD(ROW(),2)&lt;&gt;0</formula>
    </cfRule>
  </conditionalFormatting>
  <conditionalFormatting sqref="A26:A32">
    <cfRule type="expression" dxfId="689" priority="1" stopIfTrue="1">
      <formula>MOD(ROW(),2)=0</formula>
    </cfRule>
    <cfRule type="expression" dxfId="688" priority="2" stopIfTrue="1">
      <formula>MOD(ROW(),2)&lt;&gt;0</formula>
    </cfRule>
  </conditionalFormatting>
  <conditionalFormatting sqref="B17:B21">
    <cfRule type="expression" dxfId="687" priority="5" stopIfTrue="1">
      <formula>MOD(ROW(),2)=0</formula>
    </cfRule>
    <cfRule type="expression" dxfId="686" priority="6" stopIfTrue="1">
      <formula>MOD(ROW(),2)&lt;&gt;0</formula>
    </cfRule>
  </conditionalFormatting>
  <conditionalFormatting sqref="B6:M21">
    <cfRule type="expression" dxfId="685" priority="15" stopIfTrue="1">
      <formula>MOD(ROW(),2)=0</formula>
    </cfRule>
    <cfRule type="expression" dxfId="684" priority="16" stopIfTrue="1">
      <formula>MOD(ROW(),2)&lt;&gt;0</formula>
    </cfRule>
  </conditionalFormatting>
  <conditionalFormatting sqref="B26:M32">
    <cfRule type="expression" dxfId="683" priority="3" stopIfTrue="1">
      <formula>MOD(ROW(),2)=0</formula>
    </cfRule>
    <cfRule type="expression" dxfId="682" priority="4" stopIfTrue="1">
      <formula>MOD(ROW(),2)&lt;&gt;0</formula>
    </cfRule>
  </conditionalFormatting>
  <hyperlinks>
    <hyperlink ref="B24" location="Assumptions!A1" display="Assumptions" xr:uid="{DC912A32-085C-4CAC-84D3-7C72D7916ED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9"/>
  <dimension ref="A1:AB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5" width="10" style="25"/>
    <col min="16" max="16" width="31.90625" style="25" customWidth="1"/>
    <col min="17" max="28" width="22.90625" style="25" customWidth="1"/>
    <col min="29" max="16384" width="10" style="25"/>
  </cols>
  <sheetData>
    <row r="1" spans="1:28" ht="20" x14ac:dyDescent="0.4">
      <c r="A1" s="36" t="s">
        <v>0</v>
      </c>
      <c r="B1" s="37"/>
      <c r="C1" s="37"/>
      <c r="D1" s="37"/>
      <c r="E1" s="37"/>
      <c r="F1" s="37"/>
      <c r="G1" s="37"/>
      <c r="H1" s="37"/>
      <c r="I1" s="37"/>
    </row>
    <row r="2" spans="1:28" ht="15.5" x14ac:dyDescent="0.35">
      <c r="A2" s="38" t="str">
        <f>IF(title="&gt; Enter workbook title here","Enter workbook title in Cover sheet",title)</f>
        <v>NHSPS_NI - Consolidated Factor Spreadsheet</v>
      </c>
      <c r="B2" s="39"/>
      <c r="C2" s="39"/>
      <c r="D2" s="39"/>
      <c r="E2" s="39"/>
      <c r="F2" s="39"/>
      <c r="G2" s="39"/>
      <c r="H2" s="39"/>
      <c r="I2" s="39"/>
    </row>
    <row r="3" spans="1:28" ht="15.5" x14ac:dyDescent="0.35">
      <c r="A3" s="40" t="str">
        <f>TABLE_FACTOR_TYPE_1&amp;" - x-"&amp;TABLE_SERIES_NUMBER_1</f>
        <v>ERF - x-415</v>
      </c>
      <c r="B3" s="39"/>
      <c r="C3" s="39"/>
      <c r="D3" s="39"/>
      <c r="E3" s="39"/>
      <c r="F3" s="39"/>
      <c r="G3" s="39"/>
      <c r="H3" s="39"/>
      <c r="I3" s="39"/>
    </row>
    <row r="4" spans="1:28" x14ac:dyDescent="0.25">
      <c r="A4" s="41"/>
    </row>
    <row r="6" spans="1:28" ht="13" x14ac:dyDescent="0.3">
      <c r="A6" s="83" t="s">
        <v>276</v>
      </c>
      <c r="B6" s="161" t="s">
        <v>277</v>
      </c>
      <c r="C6" s="161"/>
      <c r="D6" s="161"/>
      <c r="E6" s="161"/>
      <c r="F6" s="161"/>
      <c r="G6" s="161"/>
      <c r="H6" s="161"/>
      <c r="I6" s="161"/>
      <c r="J6" s="161"/>
      <c r="K6" s="161"/>
      <c r="L6" s="161"/>
      <c r="M6" s="161"/>
      <c r="P6" s="83" t="s">
        <v>276</v>
      </c>
      <c r="Q6" s="161" t="s">
        <v>277</v>
      </c>
      <c r="R6" s="161"/>
      <c r="S6" s="161"/>
      <c r="T6" s="161"/>
      <c r="U6" s="161"/>
      <c r="V6" s="161"/>
      <c r="W6" s="161"/>
      <c r="X6" s="161"/>
      <c r="Y6" s="161"/>
      <c r="Z6" s="161"/>
      <c r="AA6" s="161"/>
      <c r="AB6" s="161"/>
    </row>
    <row r="7" spans="1:28" x14ac:dyDescent="0.25">
      <c r="A7" s="85" t="s">
        <v>278</v>
      </c>
      <c r="B7" s="161" t="s">
        <v>310</v>
      </c>
      <c r="C7" s="161"/>
      <c r="D7" s="161"/>
      <c r="E7" s="161"/>
      <c r="F7" s="161"/>
      <c r="G7" s="161"/>
      <c r="H7" s="161"/>
      <c r="I7" s="161"/>
      <c r="J7" s="161"/>
      <c r="K7" s="161"/>
      <c r="L7" s="161"/>
      <c r="M7" s="161"/>
      <c r="P7" s="85" t="s">
        <v>278</v>
      </c>
      <c r="Q7" s="161" t="s">
        <v>310</v>
      </c>
      <c r="R7" s="161"/>
      <c r="S7" s="161"/>
      <c r="T7" s="161"/>
      <c r="U7" s="161"/>
      <c r="V7" s="161"/>
      <c r="W7" s="161"/>
      <c r="X7" s="161"/>
      <c r="Y7" s="161"/>
      <c r="Z7" s="161"/>
      <c r="AA7" s="161"/>
      <c r="AB7" s="161"/>
    </row>
    <row r="8" spans="1:28" x14ac:dyDescent="0.25">
      <c r="A8" s="85" t="s">
        <v>280</v>
      </c>
      <c r="B8" s="161" t="s">
        <v>75</v>
      </c>
      <c r="C8" s="161"/>
      <c r="D8" s="161"/>
      <c r="E8" s="161"/>
      <c r="F8" s="161"/>
      <c r="G8" s="161"/>
      <c r="H8" s="161"/>
      <c r="I8" s="161"/>
      <c r="J8" s="161"/>
      <c r="K8" s="161"/>
      <c r="L8" s="161"/>
      <c r="M8" s="161"/>
      <c r="P8" s="85" t="s">
        <v>280</v>
      </c>
      <c r="Q8" s="161" t="s">
        <v>75</v>
      </c>
      <c r="R8" s="161"/>
      <c r="S8" s="161"/>
      <c r="T8" s="161"/>
      <c r="U8" s="161"/>
      <c r="V8" s="161"/>
      <c r="W8" s="161"/>
      <c r="X8" s="161"/>
      <c r="Y8" s="161"/>
      <c r="Z8" s="161"/>
      <c r="AA8" s="161"/>
      <c r="AB8" s="161"/>
    </row>
    <row r="9" spans="1:28" x14ac:dyDescent="0.25">
      <c r="A9" s="85" t="s">
        <v>282</v>
      </c>
      <c r="B9" s="161" t="s">
        <v>396</v>
      </c>
      <c r="C9" s="161"/>
      <c r="D9" s="161"/>
      <c r="E9" s="161"/>
      <c r="F9" s="161"/>
      <c r="G9" s="161"/>
      <c r="H9" s="161"/>
      <c r="I9" s="161"/>
      <c r="J9" s="161"/>
      <c r="K9" s="161"/>
      <c r="L9" s="161"/>
      <c r="M9" s="161"/>
      <c r="P9" s="85" t="s">
        <v>282</v>
      </c>
      <c r="Q9" s="161" t="s">
        <v>396</v>
      </c>
      <c r="R9" s="161"/>
      <c r="S9" s="161"/>
      <c r="T9" s="161"/>
      <c r="U9" s="161"/>
      <c r="V9" s="161"/>
      <c r="W9" s="161"/>
      <c r="X9" s="161"/>
      <c r="Y9" s="161"/>
      <c r="Z9" s="161"/>
      <c r="AA9" s="161"/>
      <c r="AB9" s="161"/>
    </row>
    <row r="10" spans="1:28" x14ac:dyDescent="0.25">
      <c r="A10" s="85" t="s">
        <v>6</v>
      </c>
      <c r="B10" s="161" t="s">
        <v>453</v>
      </c>
      <c r="C10" s="161"/>
      <c r="D10" s="161"/>
      <c r="E10" s="161"/>
      <c r="F10" s="161"/>
      <c r="G10" s="161"/>
      <c r="H10" s="161"/>
      <c r="I10" s="161"/>
      <c r="J10" s="161"/>
      <c r="K10" s="161"/>
      <c r="L10" s="161"/>
      <c r="M10" s="161"/>
      <c r="P10" s="85" t="s">
        <v>6</v>
      </c>
      <c r="Q10" s="161" t="s">
        <v>456</v>
      </c>
      <c r="R10" s="161"/>
      <c r="S10" s="161"/>
      <c r="T10" s="161"/>
      <c r="U10" s="161"/>
      <c r="V10" s="161"/>
      <c r="W10" s="161"/>
      <c r="X10" s="161"/>
      <c r="Y10" s="161"/>
      <c r="Z10" s="161"/>
      <c r="AA10" s="161"/>
      <c r="AB10" s="161"/>
    </row>
    <row r="11" spans="1:28" x14ac:dyDescent="0.25">
      <c r="A11" s="85" t="s">
        <v>285</v>
      </c>
      <c r="B11" s="161" t="s">
        <v>359</v>
      </c>
      <c r="C11" s="161"/>
      <c r="D11" s="161"/>
      <c r="E11" s="161"/>
      <c r="F11" s="161"/>
      <c r="G11" s="161"/>
      <c r="H11" s="161"/>
      <c r="I11" s="161"/>
      <c r="J11" s="161"/>
      <c r="K11" s="161"/>
      <c r="L11" s="161"/>
      <c r="M11" s="161"/>
      <c r="P11" s="85" t="s">
        <v>285</v>
      </c>
      <c r="Q11" s="161" t="s">
        <v>359</v>
      </c>
      <c r="R11" s="161"/>
      <c r="S11" s="161"/>
      <c r="T11" s="161"/>
      <c r="U11" s="161"/>
      <c r="V11" s="161"/>
      <c r="W11" s="161"/>
      <c r="X11" s="161"/>
      <c r="Y11" s="161"/>
      <c r="Z11" s="161"/>
      <c r="AA11" s="161"/>
      <c r="AB11" s="161"/>
    </row>
    <row r="12" spans="1:28" x14ac:dyDescent="0.25">
      <c r="A12" s="85" t="s">
        <v>287</v>
      </c>
      <c r="B12" s="161" t="s">
        <v>398</v>
      </c>
      <c r="C12" s="161"/>
      <c r="D12" s="161"/>
      <c r="E12" s="161"/>
      <c r="F12" s="161"/>
      <c r="G12" s="161"/>
      <c r="H12" s="161"/>
      <c r="I12" s="161"/>
      <c r="J12" s="161"/>
      <c r="K12" s="161"/>
      <c r="L12" s="161"/>
      <c r="M12" s="161"/>
      <c r="P12" s="85" t="s">
        <v>287</v>
      </c>
      <c r="Q12" s="161" t="s">
        <v>398</v>
      </c>
      <c r="R12" s="161"/>
      <c r="S12" s="161"/>
      <c r="T12" s="161"/>
      <c r="U12" s="161"/>
      <c r="V12" s="161"/>
      <c r="W12" s="161"/>
      <c r="X12" s="161"/>
      <c r="Y12" s="161"/>
      <c r="Z12" s="161"/>
      <c r="AA12" s="161"/>
      <c r="AB12" s="161"/>
    </row>
    <row r="13" spans="1:28" x14ac:dyDescent="0.25">
      <c r="A13" s="85" t="s">
        <v>289</v>
      </c>
      <c r="B13" s="161">
        <v>1</v>
      </c>
      <c r="C13" s="161"/>
      <c r="D13" s="161"/>
      <c r="E13" s="161"/>
      <c r="F13" s="161"/>
      <c r="G13" s="161"/>
      <c r="H13" s="161"/>
      <c r="I13" s="161"/>
      <c r="J13" s="161"/>
      <c r="K13" s="161"/>
      <c r="L13" s="161"/>
      <c r="M13" s="161"/>
      <c r="P13" s="85" t="s">
        <v>289</v>
      </c>
      <c r="Q13" s="161">
        <v>1</v>
      </c>
      <c r="R13" s="161"/>
      <c r="S13" s="161"/>
      <c r="T13" s="161"/>
      <c r="U13" s="161"/>
      <c r="V13" s="161"/>
      <c r="W13" s="161"/>
      <c r="X13" s="161"/>
      <c r="Y13" s="161"/>
      <c r="Z13" s="161"/>
      <c r="AA13" s="161"/>
      <c r="AB13" s="161"/>
    </row>
    <row r="14" spans="1:28" x14ac:dyDescent="0.25">
      <c r="A14" s="85" t="s">
        <v>291</v>
      </c>
      <c r="B14" s="161">
        <v>415</v>
      </c>
      <c r="C14" s="161"/>
      <c r="D14" s="161"/>
      <c r="E14" s="161"/>
      <c r="F14" s="161"/>
      <c r="G14" s="161"/>
      <c r="H14" s="161"/>
      <c r="I14" s="161"/>
      <c r="J14" s="161"/>
      <c r="K14" s="161"/>
      <c r="L14" s="161"/>
      <c r="M14" s="161"/>
      <c r="P14" s="85" t="s">
        <v>291</v>
      </c>
      <c r="Q14" s="161">
        <v>415</v>
      </c>
      <c r="R14" s="161"/>
      <c r="S14" s="161"/>
      <c r="T14" s="161"/>
      <c r="U14" s="161"/>
      <c r="V14" s="161"/>
      <c r="W14" s="161"/>
      <c r="X14" s="161"/>
      <c r="Y14" s="161"/>
      <c r="Z14" s="161"/>
      <c r="AA14" s="161"/>
      <c r="AB14" s="161"/>
    </row>
    <row r="15" spans="1:28" x14ac:dyDescent="0.25">
      <c r="A15" s="85" t="s">
        <v>293</v>
      </c>
      <c r="B15" s="161" t="s">
        <v>454</v>
      </c>
      <c r="C15" s="161"/>
      <c r="D15" s="161"/>
      <c r="E15" s="161"/>
      <c r="F15" s="161"/>
      <c r="G15" s="161"/>
      <c r="H15" s="161"/>
      <c r="I15" s="161"/>
      <c r="J15" s="161"/>
      <c r="K15" s="161"/>
      <c r="L15" s="161"/>
      <c r="M15" s="161"/>
      <c r="P15" s="85" t="s">
        <v>293</v>
      </c>
      <c r="Q15" s="161" t="s">
        <v>457</v>
      </c>
      <c r="R15" s="161"/>
      <c r="S15" s="161"/>
      <c r="T15" s="161"/>
      <c r="U15" s="161"/>
      <c r="V15" s="161"/>
      <c r="W15" s="161"/>
      <c r="X15" s="161"/>
      <c r="Y15" s="161"/>
      <c r="Z15" s="161"/>
      <c r="AA15" s="161"/>
      <c r="AB15" s="161"/>
    </row>
    <row r="16" spans="1:28" x14ac:dyDescent="0.25">
      <c r="A16" s="85" t="s">
        <v>295</v>
      </c>
      <c r="B16" s="161" t="s">
        <v>455</v>
      </c>
      <c r="C16" s="161"/>
      <c r="D16" s="161"/>
      <c r="E16" s="161"/>
      <c r="F16" s="161"/>
      <c r="G16" s="161"/>
      <c r="H16" s="161"/>
      <c r="I16" s="161"/>
      <c r="J16" s="161"/>
      <c r="K16" s="161"/>
      <c r="L16" s="161"/>
      <c r="M16" s="161"/>
      <c r="P16" s="85" t="s">
        <v>295</v>
      </c>
      <c r="Q16" s="161" t="s">
        <v>458</v>
      </c>
      <c r="R16" s="161"/>
      <c r="S16" s="161"/>
      <c r="T16" s="161"/>
      <c r="U16" s="161"/>
      <c r="V16" s="161"/>
      <c r="W16" s="161"/>
      <c r="X16" s="161"/>
      <c r="Y16" s="161"/>
      <c r="Z16" s="161"/>
      <c r="AA16" s="161"/>
      <c r="AB16" s="161"/>
    </row>
    <row r="17" spans="1:28" x14ac:dyDescent="0.25">
      <c r="A17" s="69" t="s">
        <v>725</v>
      </c>
      <c r="B17" s="161"/>
      <c r="C17" s="161"/>
      <c r="D17" s="161"/>
      <c r="E17" s="161"/>
      <c r="F17" s="161"/>
      <c r="G17" s="161"/>
      <c r="H17" s="161"/>
      <c r="I17" s="161"/>
      <c r="J17" s="161"/>
      <c r="K17" s="161"/>
      <c r="L17" s="161"/>
      <c r="M17" s="161"/>
      <c r="P17" s="69" t="s">
        <v>725</v>
      </c>
      <c r="Q17" s="161"/>
      <c r="R17" s="161"/>
      <c r="S17" s="161"/>
      <c r="T17" s="161"/>
      <c r="U17" s="161"/>
      <c r="V17" s="161"/>
      <c r="W17" s="161"/>
      <c r="X17" s="161"/>
      <c r="Y17" s="161"/>
      <c r="Z17" s="161"/>
      <c r="AA17" s="161"/>
      <c r="AB17" s="161"/>
    </row>
    <row r="18" spans="1:28" x14ac:dyDescent="0.25">
      <c r="A18" s="85" t="s">
        <v>299</v>
      </c>
      <c r="B18" s="162">
        <v>45107</v>
      </c>
      <c r="C18" s="161"/>
      <c r="D18" s="161"/>
      <c r="E18" s="161"/>
      <c r="F18" s="161"/>
      <c r="G18" s="161"/>
      <c r="H18" s="161"/>
      <c r="I18" s="161"/>
      <c r="J18" s="161"/>
      <c r="K18" s="161"/>
      <c r="L18" s="161"/>
      <c r="M18" s="161"/>
      <c r="P18" s="85" t="s">
        <v>299</v>
      </c>
      <c r="Q18" s="162">
        <v>45107</v>
      </c>
      <c r="R18" s="161"/>
      <c r="S18" s="161"/>
      <c r="T18" s="161"/>
      <c r="U18" s="161"/>
      <c r="V18" s="161"/>
      <c r="W18" s="161"/>
      <c r="X18" s="161"/>
      <c r="Y18" s="161"/>
      <c r="Z18" s="161"/>
      <c r="AA18" s="161"/>
      <c r="AB18" s="161"/>
    </row>
    <row r="19" spans="1:28" x14ac:dyDescent="0.25">
      <c r="A19" s="85" t="s">
        <v>301</v>
      </c>
      <c r="B19" s="162">
        <v>45107</v>
      </c>
      <c r="C19" s="161"/>
      <c r="D19" s="161"/>
      <c r="E19" s="161"/>
      <c r="F19" s="161"/>
      <c r="G19" s="161"/>
      <c r="H19" s="161"/>
      <c r="I19" s="161"/>
      <c r="J19" s="161"/>
      <c r="K19" s="161"/>
      <c r="L19" s="161"/>
      <c r="M19" s="161"/>
      <c r="P19" s="85" t="s">
        <v>301</v>
      </c>
      <c r="Q19" s="162">
        <v>45107</v>
      </c>
      <c r="R19" s="161"/>
      <c r="S19" s="161"/>
      <c r="T19" s="161"/>
      <c r="U19" s="161"/>
      <c r="V19" s="161"/>
      <c r="W19" s="161"/>
      <c r="X19" s="161"/>
      <c r="Y19" s="161"/>
      <c r="Z19" s="161"/>
      <c r="AA19" s="161"/>
      <c r="AB19" s="161"/>
    </row>
    <row r="20" spans="1:28" x14ac:dyDescent="0.25">
      <c r="A20" s="85" t="s">
        <v>303</v>
      </c>
      <c r="B20" s="161" t="s">
        <v>317</v>
      </c>
      <c r="C20" s="161"/>
      <c r="D20" s="161"/>
      <c r="E20" s="161"/>
      <c r="F20" s="161"/>
      <c r="G20" s="161"/>
      <c r="H20" s="161"/>
      <c r="I20" s="161"/>
      <c r="J20" s="161"/>
      <c r="K20" s="161"/>
      <c r="L20" s="161"/>
      <c r="M20" s="161"/>
      <c r="P20" s="85" t="s">
        <v>303</v>
      </c>
      <c r="Q20" s="161" t="s">
        <v>317</v>
      </c>
      <c r="R20" s="161"/>
      <c r="S20" s="161"/>
      <c r="T20" s="161"/>
      <c r="U20" s="161"/>
      <c r="V20" s="161"/>
      <c r="W20" s="161"/>
      <c r="X20" s="161"/>
      <c r="Y20" s="161"/>
      <c r="Z20" s="161"/>
      <c r="AA20" s="161"/>
      <c r="AB20" s="161"/>
    </row>
    <row r="21" spans="1:28" x14ac:dyDescent="0.25">
      <c r="A21" s="85" t="s">
        <v>309</v>
      </c>
      <c r="B21" s="161" t="s">
        <v>318</v>
      </c>
      <c r="C21" s="161"/>
      <c r="D21" s="161"/>
      <c r="E21" s="161"/>
      <c r="F21" s="161"/>
      <c r="G21" s="161"/>
      <c r="H21" s="161"/>
      <c r="I21" s="161"/>
      <c r="J21" s="161"/>
      <c r="K21" s="161"/>
      <c r="L21" s="161"/>
      <c r="M21" s="161"/>
      <c r="P21" s="85" t="s">
        <v>309</v>
      </c>
      <c r="Q21" s="161" t="s">
        <v>318</v>
      </c>
      <c r="R21" s="161"/>
      <c r="S21" s="161"/>
      <c r="T21" s="161"/>
      <c r="U21" s="161"/>
      <c r="V21" s="161"/>
      <c r="W21" s="161"/>
      <c r="X21" s="161"/>
      <c r="Y21" s="161"/>
      <c r="Z21" s="161"/>
      <c r="AA21" s="161"/>
      <c r="AB21" s="161"/>
    </row>
    <row r="23" spans="1:28" x14ac:dyDescent="0.25">
      <c r="B23" s="103" t="str">
        <f>HYPERLINK("#'Factor List'!A1","Back to Factor List")</f>
        <v>Back to Factor List</v>
      </c>
    </row>
    <row r="24" spans="1:28" x14ac:dyDescent="0.25">
      <c r="B24" s="103" t="s">
        <v>15</v>
      </c>
    </row>
    <row r="26" spans="1:28" ht="13" x14ac:dyDescent="0.25">
      <c r="A26" s="98" t="s">
        <v>763</v>
      </c>
      <c r="B26" s="98">
        <v>0</v>
      </c>
      <c r="C26" s="98">
        <v>1</v>
      </c>
      <c r="D26" s="98">
        <v>2</v>
      </c>
      <c r="E26" s="98">
        <v>3</v>
      </c>
      <c r="F26" s="98">
        <v>4</v>
      </c>
      <c r="G26" s="98">
        <v>5</v>
      </c>
      <c r="H26" s="98">
        <v>6</v>
      </c>
      <c r="I26" s="98">
        <v>7</v>
      </c>
      <c r="J26" s="98">
        <v>8</v>
      </c>
      <c r="K26" s="98">
        <v>9</v>
      </c>
      <c r="L26" s="98">
        <v>10</v>
      </c>
      <c r="M26" s="98">
        <v>11</v>
      </c>
      <c r="P26" s="98" t="s">
        <v>763</v>
      </c>
      <c r="Q26" s="98">
        <v>0</v>
      </c>
      <c r="R26" s="98">
        <v>1</v>
      </c>
      <c r="S26" s="98">
        <v>2</v>
      </c>
      <c r="T26" s="98">
        <v>3</v>
      </c>
      <c r="U26" s="98">
        <v>4</v>
      </c>
      <c r="V26" s="98">
        <v>5</v>
      </c>
      <c r="W26" s="98">
        <v>6</v>
      </c>
      <c r="X26" s="98">
        <v>7</v>
      </c>
      <c r="Y26" s="98">
        <v>8</v>
      </c>
      <c r="Z26" s="98">
        <v>9</v>
      </c>
      <c r="AA26" s="98">
        <v>10</v>
      </c>
      <c r="AB26" s="98">
        <v>11</v>
      </c>
    </row>
    <row r="27" spans="1:28" x14ac:dyDescent="0.25">
      <c r="A27" s="99">
        <v>50</v>
      </c>
      <c r="B27" s="117">
        <v>0.182</v>
      </c>
      <c r="C27" s="117">
        <v>0.17899999999999999</v>
      </c>
      <c r="D27" s="117">
        <v>0.17599999999999999</v>
      </c>
      <c r="E27" s="117">
        <v>0.17299999999999999</v>
      </c>
      <c r="F27" s="117">
        <v>0.17</v>
      </c>
      <c r="G27" s="117">
        <v>0.16700000000000001</v>
      </c>
      <c r="H27" s="117">
        <v>0.16400000000000001</v>
      </c>
      <c r="I27" s="117">
        <v>0.161</v>
      </c>
      <c r="J27" s="117">
        <v>0.158</v>
      </c>
      <c r="K27" s="117">
        <v>0.155</v>
      </c>
      <c r="L27" s="117">
        <v>0.152</v>
      </c>
      <c r="M27" s="117">
        <v>0.14899999999999999</v>
      </c>
      <c r="P27" s="99">
        <v>50</v>
      </c>
      <c r="Q27" s="117">
        <v>0.90600000000000003</v>
      </c>
      <c r="R27" s="117">
        <v>0.90700000000000003</v>
      </c>
      <c r="S27" s="117">
        <v>0.90900000000000003</v>
      </c>
      <c r="T27" s="117">
        <v>0.91</v>
      </c>
      <c r="U27" s="117">
        <v>0.91200000000000003</v>
      </c>
      <c r="V27" s="117">
        <v>0.91300000000000003</v>
      </c>
      <c r="W27" s="117">
        <v>0.91500000000000004</v>
      </c>
      <c r="X27" s="117">
        <v>0.91600000000000004</v>
      </c>
      <c r="Y27" s="117">
        <v>0.91800000000000004</v>
      </c>
      <c r="Z27" s="117">
        <v>0.91900000000000004</v>
      </c>
      <c r="AA27" s="117">
        <v>0.92100000000000004</v>
      </c>
      <c r="AB27" s="117">
        <v>0.92200000000000004</v>
      </c>
    </row>
    <row r="28" spans="1:28" x14ac:dyDescent="0.25">
      <c r="A28" s="99">
        <v>51</v>
      </c>
      <c r="B28" s="117">
        <v>0.14599999999999999</v>
      </c>
      <c r="C28" s="117">
        <v>0.14299999999999999</v>
      </c>
      <c r="D28" s="117">
        <v>0.14000000000000001</v>
      </c>
      <c r="E28" s="117">
        <v>0.13700000000000001</v>
      </c>
      <c r="F28" s="117">
        <v>0.13400000000000001</v>
      </c>
      <c r="G28" s="117">
        <v>0.13100000000000001</v>
      </c>
      <c r="H28" s="117">
        <v>0.128</v>
      </c>
      <c r="I28" s="117">
        <v>0.125</v>
      </c>
      <c r="J28" s="117">
        <v>0.122</v>
      </c>
      <c r="K28" s="117">
        <v>0.11899999999999999</v>
      </c>
      <c r="L28" s="117">
        <v>0.11600000000000001</v>
      </c>
      <c r="M28" s="117">
        <v>0.113</v>
      </c>
      <c r="P28" s="99">
        <v>51</v>
      </c>
      <c r="Q28" s="117">
        <v>0.92400000000000004</v>
      </c>
      <c r="R28" s="117">
        <v>0.92500000000000004</v>
      </c>
      <c r="S28" s="117">
        <v>0.92700000000000005</v>
      </c>
      <c r="T28" s="117">
        <v>0.92800000000000005</v>
      </c>
      <c r="U28" s="117">
        <v>0.93</v>
      </c>
      <c r="V28" s="117">
        <v>0.93200000000000005</v>
      </c>
      <c r="W28" s="117">
        <v>0.93300000000000005</v>
      </c>
      <c r="X28" s="117">
        <v>0.93500000000000005</v>
      </c>
      <c r="Y28" s="117">
        <v>0.93600000000000005</v>
      </c>
      <c r="Z28" s="117">
        <v>0.93799999999999994</v>
      </c>
      <c r="AA28" s="117">
        <v>0.93899999999999995</v>
      </c>
      <c r="AB28" s="117">
        <v>0.94099999999999995</v>
      </c>
    </row>
    <row r="29" spans="1:28" x14ac:dyDescent="0.25">
      <c r="A29" s="99">
        <v>52</v>
      </c>
      <c r="B29" s="117">
        <v>0.11</v>
      </c>
      <c r="C29" s="117">
        <v>0.107</v>
      </c>
      <c r="D29" s="117">
        <v>0.10299999999999999</v>
      </c>
      <c r="E29" s="117">
        <v>0.1</v>
      </c>
      <c r="F29" s="117">
        <v>9.7000000000000003E-2</v>
      </c>
      <c r="G29" s="117">
        <v>9.4E-2</v>
      </c>
      <c r="H29" s="117">
        <v>9.0999999999999998E-2</v>
      </c>
      <c r="I29" s="117">
        <v>8.7999999999999995E-2</v>
      </c>
      <c r="J29" s="117">
        <v>8.5000000000000006E-2</v>
      </c>
      <c r="K29" s="117">
        <v>8.2000000000000003E-2</v>
      </c>
      <c r="L29" s="117">
        <v>7.9000000000000001E-2</v>
      </c>
      <c r="M29" s="117">
        <v>7.5999999999999998E-2</v>
      </c>
      <c r="P29" s="99">
        <v>52</v>
      </c>
      <c r="Q29" s="117">
        <v>0.94199999999999995</v>
      </c>
      <c r="R29" s="117">
        <v>0.94399999999999995</v>
      </c>
      <c r="S29" s="117">
        <v>0.94499999999999995</v>
      </c>
      <c r="T29" s="117">
        <v>0.94699999999999995</v>
      </c>
      <c r="U29" s="117">
        <v>0.94899999999999995</v>
      </c>
      <c r="V29" s="117">
        <v>0.95</v>
      </c>
      <c r="W29" s="117">
        <v>0.95199999999999996</v>
      </c>
      <c r="X29" s="117">
        <v>0.95299999999999996</v>
      </c>
      <c r="Y29" s="117">
        <v>0.95499999999999996</v>
      </c>
      <c r="Z29" s="117">
        <v>0.95599999999999996</v>
      </c>
      <c r="AA29" s="117">
        <v>0.95799999999999996</v>
      </c>
      <c r="AB29" s="117">
        <v>0.96</v>
      </c>
    </row>
    <row r="30" spans="1:28" x14ac:dyDescent="0.25">
      <c r="A30" s="99">
        <v>53</v>
      </c>
      <c r="B30" s="117">
        <v>7.2999999999999995E-2</v>
      </c>
      <c r="C30" s="117">
        <v>7.0000000000000007E-2</v>
      </c>
      <c r="D30" s="117">
        <v>6.7000000000000004E-2</v>
      </c>
      <c r="E30" s="117">
        <v>6.4000000000000001E-2</v>
      </c>
      <c r="F30" s="117">
        <v>6.0999999999999999E-2</v>
      </c>
      <c r="G30" s="117">
        <v>5.8000000000000003E-2</v>
      </c>
      <c r="H30" s="117">
        <v>5.5E-2</v>
      </c>
      <c r="I30" s="117">
        <v>5.1999999999999998E-2</v>
      </c>
      <c r="J30" s="117">
        <v>4.9000000000000002E-2</v>
      </c>
      <c r="K30" s="117">
        <v>4.5999999999999999E-2</v>
      </c>
      <c r="L30" s="117">
        <v>4.2999999999999997E-2</v>
      </c>
      <c r="M30" s="117">
        <v>0.04</v>
      </c>
      <c r="P30" s="99">
        <v>53</v>
      </c>
      <c r="Q30" s="117">
        <v>0.96099999999999997</v>
      </c>
      <c r="R30" s="117">
        <v>0.96299999999999997</v>
      </c>
      <c r="S30" s="117">
        <v>0.96399999999999997</v>
      </c>
      <c r="T30" s="117">
        <v>0.96599999999999997</v>
      </c>
      <c r="U30" s="117">
        <v>0.96799999999999997</v>
      </c>
      <c r="V30" s="117">
        <v>0.96899999999999997</v>
      </c>
      <c r="W30" s="117">
        <v>0.97099999999999997</v>
      </c>
      <c r="X30" s="117">
        <v>0.97199999999999998</v>
      </c>
      <c r="Y30" s="117">
        <v>0.97399999999999998</v>
      </c>
      <c r="Z30" s="117">
        <v>0.97599999999999998</v>
      </c>
      <c r="AA30" s="117">
        <v>0.97699999999999998</v>
      </c>
      <c r="AB30" s="117">
        <v>0.97899999999999998</v>
      </c>
    </row>
    <row r="31" spans="1:28" x14ac:dyDescent="0.25">
      <c r="A31" s="99">
        <v>54</v>
      </c>
      <c r="B31" s="117">
        <v>3.6999999999999998E-2</v>
      </c>
      <c r="C31" s="117">
        <v>3.4000000000000002E-2</v>
      </c>
      <c r="D31" s="117">
        <v>3.1E-2</v>
      </c>
      <c r="E31" s="117">
        <v>2.7E-2</v>
      </c>
      <c r="F31" s="117">
        <v>2.4E-2</v>
      </c>
      <c r="G31" s="117">
        <v>2.1000000000000001E-2</v>
      </c>
      <c r="H31" s="117">
        <v>1.7999999999999999E-2</v>
      </c>
      <c r="I31" s="117">
        <v>1.4999999999999999E-2</v>
      </c>
      <c r="J31" s="117">
        <v>1.2E-2</v>
      </c>
      <c r="K31" s="117">
        <v>8.9999999999999993E-3</v>
      </c>
      <c r="L31" s="117">
        <v>6.0000000000000001E-3</v>
      </c>
      <c r="M31" s="117">
        <v>3.0000000000000001E-3</v>
      </c>
      <c r="P31" s="99">
        <v>54</v>
      </c>
      <c r="Q31" s="117">
        <v>0.98</v>
      </c>
      <c r="R31" s="117">
        <v>0.98199999999999998</v>
      </c>
      <c r="S31" s="117">
        <v>0.98399999999999999</v>
      </c>
      <c r="T31" s="117">
        <v>0.98499999999999999</v>
      </c>
      <c r="U31" s="117">
        <v>0.98699999999999999</v>
      </c>
      <c r="V31" s="117">
        <v>0.98899999999999999</v>
      </c>
      <c r="W31" s="117">
        <v>0.99</v>
      </c>
      <c r="X31" s="117">
        <v>0.99199999999999999</v>
      </c>
      <c r="Y31" s="117">
        <v>0.99299999999999999</v>
      </c>
      <c r="Z31" s="117">
        <v>0.995</v>
      </c>
      <c r="AA31" s="117">
        <v>0.997</v>
      </c>
      <c r="AB31" s="117">
        <v>0.998</v>
      </c>
    </row>
    <row r="32" spans="1:28" x14ac:dyDescent="0.25">
      <c r="A32" s="99">
        <v>55</v>
      </c>
      <c r="B32" s="117">
        <v>0</v>
      </c>
      <c r="C32" s="117"/>
      <c r="D32" s="117"/>
      <c r="E32" s="117"/>
      <c r="F32" s="117"/>
      <c r="G32" s="117"/>
      <c r="H32" s="117"/>
      <c r="I32" s="117"/>
      <c r="J32" s="117"/>
      <c r="K32" s="117"/>
      <c r="L32" s="117"/>
      <c r="M32" s="117"/>
      <c r="P32" s="99">
        <v>55</v>
      </c>
      <c r="Q32" s="117">
        <v>1</v>
      </c>
      <c r="R32" s="117"/>
      <c r="S32" s="117"/>
      <c r="T32" s="117"/>
      <c r="U32" s="117"/>
      <c r="V32" s="117"/>
      <c r="W32" s="117"/>
      <c r="X32" s="117"/>
      <c r="Y32" s="117"/>
      <c r="Z32" s="117"/>
      <c r="AA32" s="117"/>
      <c r="AB32" s="117"/>
    </row>
    <row r="44" ht="39.65" customHeight="1" x14ac:dyDescent="0.25"/>
    <row r="46" ht="27.65" customHeight="1" x14ac:dyDescent="0.25"/>
  </sheetData>
  <sheetProtection algorithmName="SHA-512" hashValue="iZtkHIMsHV3Ht6W0bMVpXOGFBx+xOIOLN9YVZVqc5tzrASy059PGj9WllX3s2acgR/tV7resW6RmyQom5T6lVQ==" saltValue="cJNwhK9WL/rm7ycGV+QR+A==" spinCount="100000" sheet="1" objects="1" scenarios="1"/>
  <conditionalFormatting sqref="A6:A21">
    <cfRule type="expression" dxfId="681" priority="17" stopIfTrue="1">
      <formula>MOD(ROW(),2)=0</formula>
    </cfRule>
    <cfRule type="expression" dxfId="680" priority="18" stopIfTrue="1">
      <formula>MOD(ROW(),2)&lt;&gt;0</formula>
    </cfRule>
  </conditionalFormatting>
  <conditionalFormatting sqref="A26:A32">
    <cfRule type="expression" dxfId="679" priority="7" stopIfTrue="1">
      <formula>MOD(ROW(),2)=0</formula>
    </cfRule>
    <cfRule type="expression" dxfId="678" priority="8" stopIfTrue="1">
      <formula>MOD(ROW(),2)&lt;&gt;0</formula>
    </cfRule>
  </conditionalFormatting>
  <conditionalFormatting sqref="B17:B21">
    <cfRule type="expression" dxfId="677" priority="11" stopIfTrue="1">
      <formula>MOD(ROW(),2)=0</formula>
    </cfRule>
    <cfRule type="expression" dxfId="676" priority="12" stopIfTrue="1">
      <formula>MOD(ROW(),2)&lt;&gt;0</formula>
    </cfRule>
  </conditionalFormatting>
  <conditionalFormatting sqref="B6:M21">
    <cfRule type="expression" dxfId="675" priority="25" stopIfTrue="1">
      <formula>MOD(ROW(),2)=0</formula>
    </cfRule>
    <cfRule type="expression" dxfId="674" priority="26" stopIfTrue="1">
      <formula>MOD(ROW(),2)&lt;&gt;0</formula>
    </cfRule>
  </conditionalFormatting>
  <conditionalFormatting sqref="B26:M32">
    <cfRule type="expression" dxfId="673" priority="9" stopIfTrue="1">
      <formula>MOD(ROW(),2)=0</formula>
    </cfRule>
    <cfRule type="expression" dxfId="672" priority="10" stopIfTrue="1">
      <formula>MOD(ROW(),2)&lt;&gt;0</formula>
    </cfRule>
  </conditionalFormatting>
  <conditionalFormatting sqref="P6:P21">
    <cfRule type="expression" dxfId="671" priority="15" stopIfTrue="1">
      <formula>MOD(ROW(),2)=0</formula>
    </cfRule>
    <cfRule type="expression" dxfId="670" priority="16" stopIfTrue="1">
      <formula>MOD(ROW(),2)&lt;&gt;0</formula>
    </cfRule>
  </conditionalFormatting>
  <conditionalFormatting sqref="P26:P32">
    <cfRule type="expression" dxfId="669" priority="3" stopIfTrue="1">
      <formula>MOD(ROW(),2)=0</formula>
    </cfRule>
    <cfRule type="expression" dxfId="668" priority="4" stopIfTrue="1">
      <formula>MOD(ROW(),2)&lt;&gt;0</formula>
    </cfRule>
  </conditionalFormatting>
  <conditionalFormatting sqref="Q17:Q21">
    <cfRule type="expression" dxfId="667" priority="1" stopIfTrue="1">
      <formula>MOD(ROW(),2)=0</formula>
    </cfRule>
    <cfRule type="expression" dxfId="666" priority="2" stopIfTrue="1">
      <formula>MOD(ROW(),2)&lt;&gt;0</formula>
    </cfRule>
  </conditionalFormatting>
  <conditionalFormatting sqref="Q6:AB21">
    <cfRule type="expression" dxfId="665" priority="33" stopIfTrue="1">
      <formula>MOD(ROW(),2)=0</formula>
    </cfRule>
    <cfRule type="expression" dxfId="664" priority="34" stopIfTrue="1">
      <formula>MOD(ROW(),2)&lt;&gt;0</formula>
    </cfRule>
  </conditionalFormatting>
  <conditionalFormatting sqref="Q26:AB32">
    <cfRule type="expression" dxfId="663" priority="5" stopIfTrue="1">
      <formula>MOD(ROW(),2)=0</formula>
    </cfRule>
    <cfRule type="expression" dxfId="662" priority="6" stopIfTrue="1">
      <formula>MOD(ROW(),2)&lt;&gt;0</formula>
    </cfRule>
  </conditionalFormatting>
  <hyperlinks>
    <hyperlink ref="B24" location="Assumptions!A1" display="Assumptions" xr:uid="{EA7BB7B6-CD6C-488B-967C-7BE2EF66F60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0"/>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LRF - x-416</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75</v>
      </c>
      <c r="C8" s="161"/>
      <c r="D8" s="161"/>
      <c r="E8" s="161"/>
      <c r="F8" s="161"/>
      <c r="G8" s="161"/>
      <c r="H8" s="161"/>
      <c r="I8" s="161"/>
      <c r="J8" s="161"/>
      <c r="K8" s="161"/>
      <c r="L8" s="161"/>
      <c r="M8" s="161"/>
    </row>
    <row r="9" spans="1:13" x14ac:dyDescent="0.25">
      <c r="A9" s="85" t="s">
        <v>282</v>
      </c>
      <c r="B9" s="161" t="s">
        <v>459</v>
      </c>
      <c r="C9" s="161"/>
      <c r="D9" s="161"/>
      <c r="E9" s="161"/>
      <c r="F9" s="161"/>
      <c r="G9" s="161"/>
      <c r="H9" s="161"/>
      <c r="I9" s="161"/>
      <c r="J9" s="161"/>
      <c r="K9" s="161"/>
      <c r="L9" s="161"/>
      <c r="M9" s="161"/>
    </row>
    <row r="10" spans="1:13" x14ac:dyDescent="0.25">
      <c r="A10" s="85" t="s">
        <v>6</v>
      </c>
      <c r="B10" s="161" t="s">
        <v>460</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398</v>
      </c>
      <c r="C12" s="161"/>
      <c r="D12" s="161"/>
      <c r="E12" s="161"/>
      <c r="F12" s="161"/>
      <c r="G12" s="161"/>
      <c r="H12" s="161"/>
      <c r="I12" s="161"/>
      <c r="J12" s="161"/>
      <c r="K12" s="161"/>
      <c r="L12" s="161"/>
      <c r="M12" s="161"/>
    </row>
    <row r="13" spans="1:13" x14ac:dyDescent="0.25">
      <c r="A13" s="85" t="s">
        <v>289</v>
      </c>
      <c r="B13" s="161">
        <v>2</v>
      </c>
      <c r="C13" s="161"/>
      <c r="D13" s="161"/>
      <c r="E13" s="161"/>
      <c r="F13" s="161"/>
      <c r="G13" s="161"/>
      <c r="H13" s="161"/>
      <c r="I13" s="161"/>
      <c r="J13" s="161"/>
      <c r="K13" s="161"/>
      <c r="L13" s="161"/>
      <c r="M13" s="161"/>
    </row>
    <row r="14" spans="1:13" x14ac:dyDescent="0.25">
      <c r="A14" s="85" t="s">
        <v>291</v>
      </c>
      <c r="B14" s="161">
        <v>416</v>
      </c>
      <c r="C14" s="161"/>
      <c r="D14" s="161"/>
      <c r="E14" s="161"/>
      <c r="F14" s="161"/>
      <c r="G14" s="161"/>
      <c r="H14" s="161"/>
      <c r="I14" s="161"/>
      <c r="J14" s="161"/>
      <c r="K14" s="161"/>
      <c r="L14" s="161"/>
      <c r="M14" s="161"/>
    </row>
    <row r="15" spans="1:13" x14ac:dyDescent="0.25">
      <c r="A15" s="85" t="s">
        <v>293</v>
      </c>
      <c r="B15" s="161" t="s">
        <v>461</v>
      </c>
      <c r="C15" s="161"/>
      <c r="D15" s="161"/>
      <c r="E15" s="161"/>
      <c r="F15" s="161"/>
      <c r="G15" s="161"/>
      <c r="H15" s="161"/>
      <c r="I15" s="161"/>
      <c r="J15" s="161"/>
      <c r="K15" s="161"/>
      <c r="L15" s="161"/>
      <c r="M15" s="161"/>
    </row>
    <row r="16" spans="1:13" x14ac:dyDescent="0.25">
      <c r="A16" s="85" t="s">
        <v>295</v>
      </c>
      <c r="B16" s="161" t="s">
        <v>462</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45107</v>
      </c>
      <c r="C18" s="161"/>
      <c r="D18" s="161"/>
      <c r="E18" s="161"/>
      <c r="F18" s="161"/>
      <c r="G18" s="161"/>
      <c r="H18" s="161"/>
      <c r="I18" s="161"/>
      <c r="J18" s="161"/>
      <c r="K18" s="161"/>
      <c r="L18" s="161"/>
      <c r="M18" s="161"/>
    </row>
    <row r="19" spans="1:13" x14ac:dyDescent="0.25">
      <c r="A19" s="85" t="s">
        <v>301</v>
      </c>
      <c r="B19" s="162">
        <v>45107</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65</v>
      </c>
      <c r="B27" s="117">
        <v>1</v>
      </c>
      <c r="C27" s="117">
        <v>1.0029999999999999</v>
      </c>
      <c r="D27" s="117">
        <v>1.006</v>
      </c>
      <c r="E27" s="117">
        <v>1.0089999999999999</v>
      </c>
      <c r="F27" s="117">
        <v>1.0109999999999999</v>
      </c>
      <c r="G27" s="117">
        <v>1.014</v>
      </c>
      <c r="H27" s="117">
        <v>1.0169999999999999</v>
      </c>
      <c r="I27" s="117">
        <v>1.02</v>
      </c>
      <c r="J27" s="117">
        <v>1.0229999999999999</v>
      </c>
      <c r="K27" s="117">
        <v>1.026</v>
      </c>
      <c r="L27" s="117">
        <v>1.0289999999999999</v>
      </c>
      <c r="M27" s="117">
        <v>1.0309999999999999</v>
      </c>
    </row>
    <row r="28" spans="1:13" x14ac:dyDescent="0.25">
      <c r="A28" s="99">
        <v>66</v>
      </c>
      <c r="B28" s="117">
        <v>1.034</v>
      </c>
      <c r="C28" s="117">
        <v>1.0369999999999999</v>
      </c>
      <c r="D28" s="117">
        <v>1.04</v>
      </c>
      <c r="E28" s="117">
        <v>1.044</v>
      </c>
      <c r="F28" s="117">
        <v>1.0469999999999999</v>
      </c>
      <c r="G28" s="117">
        <v>1.05</v>
      </c>
      <c r="H28" s="117">
        <v>1.0529999999999999</v>
      </c>
      <c r="I28" s="117">
        <v>1.056</v>
      </c>
      <c r="J28" s="117">
        <v>1.0589999999999999</v>
      </c>
      <c r="K28" s="117">
        <v>1.0620000000000001</v>
      </c>
      <c r="L28" s="117">
        <v>1.0649999999999999</v>
      </c>
      <c r="M28" s="117">
        <v>1.0680000000000001</v>
      </c>
    </row>
    <row r="29" spans="1:13" x14ac:dyDescent="0.25">
      <c r="A29" s="99">
        <v>67</v>
      </c>
      <c r="B29" s="117">
        <v>1.071</v>
      </c>
      <c r="C29" s="117">
        <v>1.075</v>
      </c>
      <c r="D29" s="117">
        <v>1.0780000000000001</v>
      </c>
      <c r="E29" s="117">
        <v>1.0820000000000001</v>
      </c>
      <c r="F29" s="117">
        <v>1.085</v>
      </c>
      <c r="G29" s="117">
        <v>1.0880000000000001</v>
      </c>
      <c r="H29" s="117">
        <v>1.0920000000000001</v>
      </c>
      <c r="I29" s="117">
        <v>1.095</v>
      </c>
      <c r="J29" s="117">
        <v>1.099</v>
      </c>
      <c r="K29" s="117">
        <v>1.1020000000000001</v>
      </c>
      <c r="L29" s="117">
        <v>1.105</v>
      </c>
      <c r="M29" s="117">
        <v>1.109</v>
      </c>
    </row>
    <row r="30" spans="1:13" x14ac:dyDescent="0.25">
      <c r="A30" s="99">
        <v>68</v>
      </c>
      <c r="B30" s="117">
        <v>1.1120000000000001</v>
      </c>
      <c r="C30" s="117">
        <v>1.1160000000000001</v>
      </c>
      <c r="D30" s="117">
        <v>1.1200000000000001</v>
      </c>
      <c r="E30" s="117">
        <v>1.123</v>
      </c>
      <c r="F30" s="117">
        <v>1.127</v>
      </c>
      <c r="G30" s="117">
        <v>1.131</v>
      </c>
      <c r="H30" s="117">
        <v>1.135</v>
      </c>
      <c r="I30" s="117">
        <v>1.1379999999999999</v>
      </c>
      <c r="J30" s="117">
        <v>1.1419999999999999</v>
      </c>
      <c r="K30" s="117">
        <v>1.1459999999999999</v>
      </c>
      <c r="L30" s="117">
        <v>1.149</v>
      </c>
      <c r="M30" s="117">
        <v>1.153</v>
      </c>
    </row>
    <row r="31" spans="1:13" x14ac:dyDescent="0.25">
      <c r="A31" s="99">
        <v>69</v>
      </c>
      <c r="B31" s="117">
        <v>1.157</v>
      </c>
      <c r="C31" s="117">
        <v>1.161</v>
      </c>
      <c r="D31" s="117">
        <v>1.165</v>
      </c>
      <c r="E31" s="117">
        <v>1.169</v>
      </c>
      <c r="F31" s="117">
        <v>1.173</v>
      </c>
      <c r="G31" s="117">
        <v>1.177</v>
      </c>
      <c r="H31" s="117">
        <v>1.181</v>
      </c>
      <c r="I31" s="117">
        <v>1.1850000000000001</v>
      </c>
      <c r="J31" s="117">
        <v>1.19</v>
      </c>
      <c r="K31" s="117">
        <v>1.194</v>
      </c>
      <c r="L31" s="117">
        <v>1.198</v>
      </c>
      <c r="M31" s="117">
        <v>1.202</v>
      </c>
    </row>
    <row r="32" spans="1:13" x14ac:dyDescent="0.25">
      <c r="A32" s="99">
        <v>70</v>
      </c>
      <c r="B32" s="117">
        <v>1.206</v>
      </c>
      <c r="C32" s="117">
        <v>1.21</v>
      </c>
      <c r="D32" s="117">
        <v>1.2150000000000001</v>
      </c>
      <c r="E32" s="117">
        <v>1.2190000000000001</v>
      </c>
      <c r="F32" s="117">
        <v>1.224</v>
      </c>
      <c r="G32" s="117">
        <v>1.228</v>
      </c>
      <c r="H32" s="117">
        <v>1.2330000000000001</v>
      </c>
      <c r="I32" s="117">
        <v>1.2370000000000001</v>
      </c>
      <c r="J32" s="117">
        <v>1.242</v>
      </c>
      <c r="K32" s="117">
        <v>1.246</v>
      </c>
      <c r="L32" s="117">
        <v>1.2509999999999999</v>
      </c>
      <c r="M32" s="117">
        <v>1.2549999999999999</v>
      </c>
    </row>
    <row r="33" spans="1:13" x14ac:dyDescent="0.25">
      <c r="A33" s="99">
        <v>71</v>
      </c>
      <c r="B33" s="117">
        <v>1.26</v>
      </c>
      <c r="C33" s="117">
        <v>1.2649999999999999</v>
      </c>
      <c r="D33" s="117">
        <v>1.2689999999999999</v>
      </c>
      <c r="E33" s="117">
        <v>1.274</v>
      </c>
      <c r="F33" s="117">
        <v>1.2789999999999999</v>
      </c>
      <c r="G33" s="117">
        <v>1.284</v>
      </c>
      <c r="H33" s="117">
        <v>1.2889999999999999</v>
      </c>
      <c r="I33" s="117">
        <v>1.294</v>
      </c>
      <c r="J33" s="117">
        <v>1.2989999999999999</v>
      </c>
      <c r="K33" s="117">
        <v>1.304</v>
      </c>
      <c r="L33" s="117">
        <v>1.3089999999999999</v>
      </c>
      <c r="M33" s="117">
        <v>1.3140000000000001</v>
      </c>
    </row>
    <row r="34" spans="1:13" x14ac:dyDescent="0.25">
      <c r="A34" s="99">
        <v>72</v>
      </c>
      <c r="B34" s="117">
        <v>1.3180000000000001</v>
      </c>
      <c r="C34" s="117">
        <v>1.3240000000000001</v>
      </c>
      <c r="D34" s="117">
        <v>1.329</v>
      </c>
      <c r="E34" s="117">
        <v>1.335</v>
      </c>
      <c r="F34" s="117">
        <v>1.34</v>
      </c>
      <c r="G34" s="117">
        <v>1.345</v>
      </c>
      <c r="H34" s="117">
        <v>1.351</v>
      </c>
      <c r="I34" s="117">
        <v>1.3560000000000001</v>
      </c>
      <c r="J34" s="117">
        <v>1.361</v>
      </c>
      <c r="K34" s="117">
        <v>1.367</v>
      </c>
      <c r="L34" s="117">
        <v>1.3720000000000001</v>
      </c>
      <c r="M34" s="117">
        <v>1.377</v>
      </c>
    </row>
    <row r="35" spans="1:13" x14ac:dyDescent="0.25">
      <c r="A35" s="99">
        <v>73</v>
      </c>
      <c r="B35" s="117">
        <v>1.383</v>
      </c>
      <c r="C35" s="117">
        <v>1.389</v>
      </c>
      <c r="D35" s="117">
        <v>1.395</v>
      </c>
      <c r="E35" s="117">
        <v>1.4</v>
      </c>
      <c r="F35" s="117">
        <v>1.4059999999999999</v>
      </c>
      <c r="G35" s="117">
        <v>1.4119999999999999</v>
      </c>
      <c r="H35" s="117">
        <v>1.4179999999999999</v>
      </c>
      <c r="I35" s="117">
        <v>1.4239999999999999</v>
      </c>
      <c r="J35" s="117">
        <v>1.43</v>
      </c>
      <c r="K35" s="117">
        <v>1.4359999999999999</v>
      </c>
      <c r="L35" s="117">
        <v>1.4419999999999999</v>
      </c>
      <c r="M35" s="117">
        <v>1.448</v>
      </c>
    </row>
    <row r="36" spans="1:13" x14ac:dyDescent="0.25">
      <c r="A36" s="99">
        <v>74</v>
      </c>
      <c r="B36" s="117">
        <v>1.4530000000000001</v>
      </c>
      <c r="C36" s="117">
        <v>1.46</v>
      </c>
      <c r="D36" s="117">
        <v>1.466</v>
      </c>
      <c r="E36" s="117">
        <v>1.4730000000000001</v>
      </c>
      <c r="F36" s="117">
        <v>1.4790000000000001</v>
      </c>
      <c r="G36" s="117">
        <v>1.486</v>
      </c>
      <c r="H36" s="117">
        <v>1.492</v>
      </c>
      <c r="I36" s="117">
        <v>1.4990000000000001</v>
      </c>
      <c r="J36" s="117">
        <v>1.5049999999999999</v>
      </c>
      <c r="K36" s="117">
        <v>1.512</v>
      </c>
      <c r="L36" s="117">
        <v>1.518</v>
      </c>
      <c r="M36" s="117">
        <v>1.5249999999999999</v>
      </c>
    </row>
    <row r="37" spans="1:13" x14ac:dyDescent="0.25">
      <c r="A37" s="99">
        <v>75</v>
      </c>
      <c r="B37" s="117">
        <v>1.5309999999999999</v>
      </c>
      <c r="C37" s="117"/>
      <c r="D37" s="117"/>
      <c r="E37" s="117"/>
      <c r="F37" s="117"/>
      <c r="G37" s="117"/>
      <c r="H37" s="117"/>
      <c r="I37" s="117"/>
      <c r="J37" s="117"/>
      <c r="K37" s="117"/>
      <c r="L37" s="117"/>
      <c r="M37" s="117"/>
    </row>
    <row r="44" spans="1:13" ht="39.65" customHeight="1" x14ac:dyDescent="0.25"/>
    <row r="46" spans="1:13" ht="27.65" customHeight="1" x14ac:dyDescent="0.25"/>
  </sheetData>
  <sheetProtection algorithmName="SHA-512" hashValue="NSipSUMoCvEqi/G6MQMIQXCLhM6WVrFFr+tEhVzwqLmcNFmawg8AjNfWoAC4oi8fNEXVAWJpI/EDm6UlZ+RxRQ==" saltValue="EFiiDM1qRMMbXCOCrSHRkA==" spinCount="100000" sheet="1" objects="1" scenarios="1"/>
  <conditionalFormatting sqref="A6:A21">
    <cfRule type="expression" dxfId="661" priority="7" stopIfTrue="1">
      <formula>MOD(ROW(),2)=0</formula>
    </cfRule>
    <cfRule type="expression" dxfId="660" priority="8" stopIfTrue="1">
      <formula>MOD(ROW(),2)&lt;&gt;0</formula>
    </cfRule>
  </conditionalFormatting>
  <conditionalFormatting sqref="A26:A37">
    <cfRule type="expression" dxfId="659" priority="1" stopIfTrue="1">
      <formula>MOD(ROW(),2)=0</formula>
    </cfRule>
    <cfRule type="expression" dxfId="658" priority="2" stopIfTrue="1">
      <formula>MOD(ROW(),2)&lt;&gt;0</formula>
    </cfRule>
  </conditionalFormatting>
  <conditionalFormatting sqref="B17:B21">
    <cfRule type="expression" dxfId="657" priority="5" stopIfTrue="1">
      <formula>MOD(ROW(),2)=0</formula>
    </cfRule>
    <cfRule type="expression" dxfId="656" priority="6" stopIfTrue="1">
      <formula>MOD(ROW(),2)&lt;&gt;0</formula>
    </cfRule>
  </conditionalFormatting>
  <conditionalFormatting sqref="B6:M21">
    <cfRule type="expression" dxfId="655" priority="15" stopIfTrue="1">
      <formula>MOD(ROW(),2)=0</formula>
    </cfRule>
    <cfRule type="expression" dxfId="654" priority="16" stopIfTrue="1">
      <formula>MOD(ROW(),2)&lt;&gt;0</formula>
    </cfRule>
  </conditionalFormatting>
  <conditionalFormatting sqref="B26:M37">
    <cfRule type="expression" dxfId="653" priority="3" stopIfTrue="1">
      <formula>MOD(ROW(),2)=0</formula>
    </cfRule>
    <cfRule type="expression" dxfId="652" priority="4" stopIfTrue="1">
      <formula>MOD(ROW(),2)&lt;&gt;0</formula>
    </cfRule>
  </conditionalFormatting>
  <hyperlinks>
    <hyperlink ref="B24" location="Assumptions!A1" display="Assumptions" xr:uid="{532A2381-526E-401B-ABAC-04B132B7707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1"/>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LRF - x-417</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75</v>
      </c>
      <c r="C8" s="161"/>
      <c r="D8" s="161"/>
      <c r="E8" s="161"/>
      <c r="F8" s="161"/>
      <c r="G8" s="161"/>
      <c r="H8" s="161"/>
      <c r="I8" s="161"/>
      <c r="J8" s="161"/>
      <c r="K8" s="161"/>
      <c r="L8" s="161"/>
      <c r="M8" s="161"/>
    </row>
    <row r="9" spans="1:13" x14ac:dyDescent="0.25">
      <c r="A9" s="85" t="s">
        <v>282</v>
      </c>
      <c r="B9" s="161" t="s">
        <v>459</v>
      </c>
      <c r="C9" s="161"/>
      <c r="D9" s="161"/>
      <c r="E9" s="161"/>
      <c r="F9" s="161"/>
      <c r="G9" s="161"/>
      <c r="H9" s="161"/>
      <c r="I9" s="161"/>
      <c r="J9" s="161"/>
      <c r="K9" s="161"/>
      <c r="L9" s="161"/>
      <c r="M9" s="161"/>
    </row>
    <row r="10" spans="1:13" x14ac:dyDescent="0.25">
      <c r="A10" s="85" t="s">
        <v>6</v>
      </c>
      <c r="B10" s="161" t="s">
        <v>463</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398</v>
      </c>
      <c r="C12" s="161"/>
      <c r="D12" s="161"/>
      <c r="E12" s="161"/>
      <c r="F12" s="161"/>
      <c r="G12" s="161"/>
      <c r="H12" s="161"/>
      <c r="I12" s="161"/>
      <c r="J12" s="161"/>
      <c r="K12" s="161"/>
      <c r="L12" s="161"/>
      <c r="M12" s="161"/>
    </row>
    <row r="13" spans="1:13" x14ac:dyDescent="0.25">
      <c r="A13" s="85" t="s">
        <v>289</v>
      </c>
      <c r="B13" s="161">
        <v>2</v>
      </c>
      <c r="C13" s="161"/>
      <c r="D13" s="161"/>
      <c r="E13" s="161"/>
      <c r="F13" s="161"/>
      <c r="G13" s="161"/>
      <c r="H13" s="161"/>
      <c r="I13" s="161"/>
      <c r="J13" s="161"/>
      <c r="K13" s="161"/>
      <c r="L13" s="161"/>
      <c r="M13" s="161"/>
    </row>
    <row r="14" spans="1:13" x14ac:dyDescent="0.25">
      <c r="A14" s="85" t="s">
        <v>291</v>
      </c>
      <c r="B14" s="161">
        <v>417</v>
      </c>
      <c r="C14" s="161"/>
      <c r="D14" s="161"/>
      <c r="E14" s="161"/>
      <c r="F14" s="161"/>
      <c r="G14" s="161"/>
      <c r="H14" s="161"/>
      <c r="I14" s="161"/>
      <c r="J14" s="161"/>
      <c r="K14" s="161"/>
      <c r="L14" s="161"/>
      <c r="M14" s="161"/>
    </row>
    <row r="15" spans="1:13" x14ac:dyDescent="0.25">
      <c r="A15" s="85" t="s">
        <v>293</v>
      </c>
      <c r="B15" s="161" t="s">
        <v>464</v>
      </c>
      <c r="C15" s="161"/>
      <c r="D15" s="161"/>
      <c r="E15" s="161"/>
      <c r="F15" s="161"/>
      <c r="G15" s="161"/>
      <c r="H15" s="161"/>
      <c r="I15" s="161"/>
      <c r="J15" s="161"/>
      <c r="K15" s="161"/>
      <c r="L15" s="161"/>
      <c r="M15" s="161"/>
    </row>
    <row r="16" spans="1:13" x14ac:dyDescent="0.25">
      <c r="A16" s="85" t="s">
        <v>295</v>
      </c>
      <c r="B16" s="161" t="s">
        <v>465</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45107</v>
      </c>
      <c r="C18" s="161"/>
      <c r="D18" s="161"/>
      <c r="E18" s="161"/>
      <c r="F18" s="161"/>
      <c r="G18" s="161"/>
      <c r="H18" s="161"/>
      <c r="I18" s="161"/>
      <c r="J18" s="161"/>
      <c r="K18" s="161"/>
      <c r="L18" s="161"/>
      <c r="M18" s="161"/>
    </row>
    <row r="19" spans="1:13" x14ac:dyDescent="0.25">
      <c r="A19" s="85" t="s">
        <v>301</v>
      </c>
      <c r="B19" s="162">
        <v>45107</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65</v>
      </c>
      <c r="B27" s="117">
        <v>1</v>
      </c>
      <c r="C27" s="117">
        <v>1.0029999999999999</v>
      </c>
      <c r="D27" s="117">
        <v>1.006</v>
      </c>
      <c r="E27" s="117">
        <v>1.01</v>
      </c>
      <c r="F27" s="117">
        <v>1.0129999999999999</v>
      </c>
      <c r="G27" s="117">
        <v>1.016</v>
      </c>
      <c r="H27" s="117">
        <v>1.0189999999999999</v>
      </c>
      <c r="I27" s="117">
        <v>1.0229999999999999</v>
      </c>
      <c r="J27" s="117">
        <v>1.026</v>
      </c>
      <c r="K27" s="117">
        <v>1.0289999999999999</v>
      </c>
      <c r="L27" s="117">
        <v>1.032</v>
      </c>
      <c r="M27" s="117">
        <v>1.0349999999999999</v>
      </c>
    </row>
    <row r="28" spans="1:13" x14ac:dyDescent="0.25">
      <c r="A28" s="99">
        <v>66</v>
      </c>
      <c r="B28" s="117">
        <v>1.0389999999999999</v>
      </c>
      <c r="C28" s="117">
        <v>1.042</v>
      </c>
      <c r="D28" s="117">
        <v>1.046</v>
      </c>
      <c r="E28" s="117">
        <v>1.05</v>
      </c>
      <c r="F28" s="117">
        <v>1.054</v>
      </c>
      <c r="G28" s="117">
        <v>1.0569999999999999</v>
      </c>
      <c r="H28" s="117">
        <v>1.0609999999999999</v>
      </c>
      <c r="I28" s="117">
        <v>1.0649999999999999</v>
      </c>
      <c r="J28" s="117">
        <v>1.069</v>
      </c>
      <c r="K28" s="117">
        <v>1.0720000000000001</v>
      </c>
      <c r="L28" s="117">
        <v>1.0760000000000001</v>
      </c>
      <c r="M28" s="117">
        <v>1.08</v>
      </c>
    </row>
    <row r="29" spans="1:13" x14ac:dyDescent="0.25">
      <c r="A29" s="99">
        <v>67</v>
      </c>
      <c r="B29" s="117">
        <v>1.0840000000000001</v>
      </c>
      <c r="C29" s="117">
        <v>1.0880000000000001</v>
      </c>
      <c r="D29" s="117">
        <v>1.0920000000000001</v>
      </c>
      <c r="E29" s="117">
        <v>1.0960000000000001</v>
      </c>
      <c r="F29" s="117">
        <v>1.1000000000000001</v>
      </c>
      <c r="G29" s="117">
        <v>1.1040000000000001</v>
      </c>
      <c r="H29" s="117">
        <v>1.1080000000000001</v>
      </c>
      <c r="I29" s="117">
        <v>1.1120000000000001</v>
      </c>
      <c r="J29" s="117">
        <v>1.1160000000000001</v>
      </c>
      <c r="K29" s="117">
        <v>1.1200000000000001</v>
      </c>
      <c r="L29" s="117">
        <v>1.125</v>
      </c>
      <c r="M29" s="117">
        <v>1.129</v>
      </c>
    </row>
    <row r="30" spans="1:13" x14ac:dyDescent="0.25">
      <c r="A30" s="99">
        <v>68</v>
      </c>
      <c r="B30" s="117">
        <v>1.133</v>
      </c>
      <c r="C30" s="117">
        <v>1.137</v>
      </c>
      <c r="D30" s="117">
        <v>1.1419999999999999</v>
      </c>
      <c r="E30" s="117">
        <v>1.1459999999999999</v>
      </c>
      <c r="F30" s="117">
        <v>1.151</v>
      </c>
      <c r="G30" s="117">
        <v>1.155</v>
      </c>
      <c r="H30" s="117">
        <v>1.159</v>
      </c>
      <c r="I30" s="117">
        <v>1.1639999999999999</v>
      </c>
      <c r="J30" s="117">
        <v>1.1679999999999999</v>
      </c>
      <c r="K30" s="117">
        <v>1.173</v>
      </c>
      <c r="L30" s="117">
        <v>1.177</v>
      </c>
      <c r="M30" s="117">
        <v>1.1819999999999999</v>
      </c>
    </row>
    <row r="31" spans="1:13" x14ac:dyDescent="0.25">
      <c r="A31" s="99">
        <v>69</v>
      </c>
      <c r="B31" s="117">
        <v>1.1859999999999999</v>
      </c>
      <c r="C31" s="117">
        <v>1.1910000000000001</v>
      </c>
      <c r="D31" s="117">
        <v>1.196</v>
      </c>
      <c r="E31" s="117">
        <v>1.2010000000000001</v>
      </c>
      <c r="F31" s="117">
        <v>1.206</v>
      </c>
      <c r="G31" s="117">
        <v>1.21</v>
      </c>
      <c r="H31" s="117">
        <v>1.2150000000000001</v>
      </c>
      <c r="I31" s="117">
        <v>1.22</v>
      </c>
      <c r="J31" s="117">
        <v>1.2250000000000001</v>
      </c>
      <c r="K31" s="117">
        <v>1.23</v>
      </c>
      <c r="L31" s="117">
        <v>1.2350000000000001</v>
      </c>
      <c r="M31" s="117">
        <v>1.24</v>
      </c>
    </row>
    <row r="32" spans="1:13" x14ac:dyDescent="0.25">
      <c r="A32" s="99">
        <v>70</v>
      </c>
      <c r="B32" s="117">
        <v>1.244</v>
      </c>
      <c r="C32" s="117">
        <v>1.25</v>
      </c>
      <c r="D32" s="117">
        <v>1.2549999999999999</v>
      </c>
      <c r="E32" s="117">
        <v>1.26</v>
      </c>
      <c r="F32" s="117">
        <v>1.266</v>
      </c>
      <c r="G32" s="117">
        <v>1.2709999999999999</v>
      </c>
      <c r="H32" s="117">
        <v>1.276</v>
      </c>
      <c r="I32" s="117">
        <v>1.282</v>
      </c>
      <c r="J32" s="117">
        <v>1.2869999999999999</v>
      </c>
      <c r="K32" s="117">
        <v>1.292</v>
      </c>
      <c r="L32" s="117">
        <v>1.2969999999999999</v>
      </c>
      <c r="M32" s="117">
        <v>1.3029999999999999</v>
      </c>
    </row>
    <row r="33" spans="1:13" x14ac:dyDescent="0.25">
      <c r="A33" s="99">
        <v>71</v>
      </c>
      <c r="B33" s="117">
        <v>1.3080000000000001</v>
      </c>
      <c r="C33" s="117">
        <v>1.3149999999999999</v>
      </c>
      <c r="D33" s="117">
        <v>1.3220000000000001</v>
      </c>
      <c r="E33" s="117">
        <v>1.329</v>
      </c>
      <c r="F33" s="117">
        <v>1.3360000000000001</v>
      </c>
      <c r="G33" s="117">
        <v>1.343</v>
      </c>
      <c r="H33" s="117">
        <v>1.35</v>
      </c>
      <c r="I33" s="117">
        <v>1.357</v>
      </c>
      <c r="J33" s="117">
        <v>1.3640000000000001</v>
      </c>
      <c r="K33" s="117">
        <v>1.371</v>
      </c>
      <c r="L33" s="117">
        <v>1.3779999999999999</v>
      </c>
      <c r="M33" s="117">
        <v>1.385</v>
      </c>
    </row>
    <row r="34" spans="1:13" x14ac:dyDescent="0.25">
      <c r="A34" s="99">
        <v>72</v>
      </c>
      <c r="B34" s="117">
        <v>1.3919999999999999</v>
      </c>
      <c r="C34" s="117">
        <v>1.4</v>
      </c>
      <c r="D34" s="117">
        <v>1.407</v>
      </c>
      <c r="E34" s="117">
        <v>1.415</v>
      </c>
      <c r="F34" s="117">
        <v>1.423</v>
      </c>
      <c r="G34" s="117">
        <v>1.43</v>
      </c>
      <c r="H34" s="117">
        <v>1.4379999999999999</v>
      </c>
      <c r="I34" s="117">
        <v>1.446</v>
      </c>
      <c r="J34" s="117">
        <v>1.4530000000000001</v>
      </c>
      <c r="K34" s="117">
        <v>1.4610000000000001</v>
      </c>
      <c r="L34" s="117">
        <v>1.4690000000000001</v>
      </c>
      <c r="M34" s="117">
        <v>1.476</v>
      </c>
    </row>
    <row r="35" spans="1:13" x14ac:dyDescent="0.25">
      <c r="A35" s="99">
        <v>73</v>
      </c>
      <c r="B35" s="117">
        <v>1.484</v>
      </c>
      <c r="C35" s="117">
        <v>1.4930000000000001</v>
      </c>
      <c r="D35" s="117">
        <v>1.5009999999999999</v>
      </c>
      <c r="E35" s="117">
        <v>1.51</v>
      </c>
      <c r="F35" s="117">
        <v>1.518</v>
      </c>
      <c r="G35" s="117">
        <v>1.5269999999999999</v>
      </c>
      <c r="H35" s="117">
        <v>1.5349999999999999</v>
      </c>
      <c r="I35" s="117">
        <v>1.544</v>
      </c>
      <c r="J35" s="117">
        <v>1.552</v>
      </c>
      <c r="K35" s="117">
        <v>1.5609999999999999</v>
      </c>
      <c r="L35" s="117">
        <v>1.569</v>
      </c>
      <c r="M35" s="117">
        <v>1.577</v>
      </c>
    </row>
    <row r="36" spans="1:13" x14ac:dyDescent="0.25">
      <c r="A36" s="99">
        <v>74</v>
      </c>
      <c r="B36" s="117">
        <v>1.5860000000000001</v>
      </c>
      <c r="C36" s="117">
        <v>1.595</v>
      </c>
      <c r="D36" s="117">
        <v>1.605</v>
      </c>
      <c r="E36" s="117">
        <v>1.6140000000000001</v>
      </c>
      <c r="F36" s="117">
        <v>1.623</v>
      </c>
      <c r="G36" s="117">
        <v>1.633</v>
      </c>
      <c r="H36" s="117">
        <v>1.6419999999999999</v>
      </c>
      <c r="I36" s="117">
        <v>1.6519999999999999</v>
      </c>
      <c r="J36" s="117">
        <v>1.661</v>
      </c>
      <c r="K36" s="117">
        <v>1.67</v>
      </c>
      <c r="L36" s="117">
        <v>1.68</v>
      </c>
      <c r="M36" s="117">
        <v>1.6890000000000001</v>
      </c>
    </row>
    <row r="37" spans="1:13" x14ac:dyDescent="0.25">
      <c r="A37" s="99">
        <v>75</v>
      </c>
      <c r="B37" s="117">
        <v>1.6990000000000001</v>
      </c>
      <c r="C37" s="117"/>
      <c r="D37" s="117"/>
      <c r="E37" s="117"/>
      <c r="F37" s="117"/>
      <c r="G37" s="117"/>
      <c r="H37" s="117"/>
      <c r="I37" s="117"/>
      <c r="J37" s="117"/>
      <c r="K37" s="117"/>
      <c r="L37" s="117"/>
      <c r="M37" s="117"/>
    </row>
    <row r="44" spans="1:13" ht="39.65" customHeight="1" x14ac:dyDescent="0.25"/>
    <row r="46" spans="1:13" ht="27.65" customHeight="1" x14ac:dyDescent="0.25"/>
  </sheetData>
  <sheetProtection algorithmName="SHA-512" hashValue="+3GaUULCNKX7EwiFIH3QzL8CuXngxOeWGJD4I0eVeyeS7PBqKCndmweTt1gSlKPFMeLrOaP4fJ0almvvcl343Q==" saltValue="VBxHY+Y2RwMBBO+JU6DTCw==" spinCount="100000" sheet="1" objects="1" scenarios="1"/>
  <conditionalFormatting sqref="A6:A21">
    <cfRule type="expression" dxfId="651" priority="7" stopIfTrue="1">
      <formula>MOD(ROW(),2)=0</formula>
    </cfRule>
    <cfRule type="expression" dxfId="650" priority="8" stopIfTrue="1">
      <formula>MOD(ROW(),2)&lt;&gt;0</formula>
    </cfRule>
  </conditionalFormatting>
  <conditionalFormatting sqref="A26:A37">
    <cfRule type="expression" dxfId="649" priority="1" stopIfTrue="1">
      <formula>MOD(ROW(),2)=0</formula>
    </cfRule>
    <cfRule type="expression" dxfId="648" priority="2" stopIfTrue="1">
      <formula>MOD(ROW(),2)&lt;&gt;0</formula>
    </cfRule>
  </conditionalFormatting>
  <conditionalFormatting sqref="B17:B21">
    <cfRule type="expression" dxfId="647" priority="5" stopIfTrue="1">
      <formula>MOD(ROW(),2)=0</formula>
    </cfRule>
    <cfRule type="expression" dxfId="646" priority="6" stopIfTrue="1">
      <formula>MOD(ROW(),2)&lt;&gt;0</formula>
    </cfRule>
  </conditionalFormatting>
  <conditionalFormatting sqref="B6:M21">
    <cfRule type="expression" dxfId="645" priority="15" stopIfTrue="1">
      <formula>MOD(ROW(),2)=0</formula>
    </cfRule>
    <cfRule type="expression" dxfId="644" priority="16" stopIfTrue="1">
      <formula>MOD(ROW(),2)&lt;&gt;0</formula>
    </cfRule>
  </conditionalFormatting>
  <conditionalFormatting sqref="B26:M37">
    <cfRule type="expression" dxfId="643" priority="3" stopIfTrue="1">
      <formula>MOD(ROW(),2)=0</formula>
    </cfRule>
    <cfRule type="expression" dxfId="642" priority="4" stopIfTrue="1">
      <formula>MOD(ROW(),2)&lt;&gt;0</formula>
    </cfRule>
  </conditionalFormatting>
  <hyperlinks>
    <hyperlink ref="B24" location="Assumptions!A1" display="Assumptions" xr:uid="{5C85575C-0DBE-4BE5-AF2E-9A07CD66AAB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2.5" x14ac:dyDescent="0.25"/>
  <sheetData>
    <row r="1" spans="1:3" x14ac:dyDescent="0.25">
      <c r="A1" t="s">
        <v>85</v>
      </c>
    </row>
    <row r="3" spans="1:3" x14ac:dyDescent="0.25">
      <c r="A3" t="s">
        <v>86</v>
      </c>
      <c r="C3" t="s">
        <v>87</v>
      </c>
    </row>
    <row r="4" spans="1:3" x14ac:dyDescent="0.25">
      <c r="A4" t="s">
        <v>88</v>
      </c>
      <c r="C4" t="s">
        <v>89</v>
      </c>
    </row>
    <row r="5" spans="1:3" x14ac:dyDescent="0.25">
      <c r="A5" t="s">
        <v>90</v>
      </c>
      <c r="C5" t="s">
        <v>91</v>
      </c>
    </row>
    <row r="6" spans="1:3" x14ac:dyDescent="0.25">
      <c r="A6" t="s">
        <v>92</v>
      </c>
      <c r="C6" t="s">
        <v>93</v>
      </c>
    </row>
    <row r="7" spans="1:3" x14ac:dyDescent="0.25">
      <c r="A7" t="s">
        <v>94</v>
      </c>
      <c r="C7" t="s">
        <v>95</v>
      </c>
    </row>
    <row r="8" spans="1:3" x14ac:dyDescent="0.25">
      <c r="A8" t="s">
        <v>96</v>
      </c>
      <c r="C8" t="s">
        <v>97</v>
      </c>
    </row>
    <row r="9" spans="1:3" x14ac:dyDescent="0.25">
      <c r="A9" t="s">
        <v>98</v>
      </c>
      <c r="C9" t="s">
        <v>94</v>
      </c>
    </row>
    <row r="10" spans="1:3" x14ac:dyDescent="0.25">
      <c r="A10" t="s">
        <v>99</v>
      </c>
      <c r="C10" t="s">
        <v>100</v>
      </c>
    </row>
    <row r="11" spans="1:3" x14ac:dyDescent="0.25">
      <c r="A11" t="s">
        <v>101</v>
      </c>
      <c r="C11" t="s">
        <v>101</v>
      </c>
    </row>
    <row r="12" spans="1:3" x14ac:dyDescent="0.25">
      <c r="A12" t="s">
        <v>102</v>
      </c>
      <c r="C12" t="s">
        <v>103</v>
      </c>
    </row>
    <row r="13" spans="1:3" x14ac:dyDescent="0.25">
      <c r="A13" t="s">
        <v>104</v>
      </c>
      <c r="C13" t="s">
        <v>105</v>
      </c>
    </row>
    <row r="14" spans="1:3" x14ac:dyDescent="0.25">
      <c r="A14" t="s">
        <v>106</v>
      </c>
      <c r="C14" t="s">
        <v>107</v>
      </c>
    </row>
    <row r="15" spans="1:3" x14ac:dyDescent="0.25">
      <c r="A15" t="s">
        <v>108</v>
      </c>
      <c r="C15" t="s">
        <v>109</v>
      </c>
    </row>
    <row r="16" spans="1:3" x14ac:dyDescent="0.25">
      <c r="A16" t="s">
        <v>110</v>
      </c>
      <c r="C16" t="s">
        <v>111</v>
      </c>
    </row>
    <row r="17" spans="1:3" x14ac:dyDescent="0.25">
      <c r="A17" t="s">
        <v>112</v>
      </c>
      <c r="C17" t="s">
        <v>113</v>
      </c>
    </row>
    <row r="18" spans="1:3" x14ac:dyDescent="0.25">
      <c r="A18" t="s">
        <v>114</v>
      </c>
      <c r="C18" t="s">
        <v>115</v>
      </c>
    </row>
    <row r="19" spans="1:3" x14ac:dyDescent="0.25">
      <c r="A19" t="s">
        <v>116</v>
      </c>
      <c r="C19" t="s">
        <v>117</v>
      </c>
    </row>
    <row r="20" spans="1:3" x14ac:dyDescent="0.25">
      <c r="A20" t="s">
        <v>118</v>
      </c>
      <c r="C20" t="s">
        <v>119</v>
      </c>
    </row>
    <row r="21" spans="1:3" x14ac:dyDescent="0.25">
      <c r="A21" t="s">
        <v>120</v>
      </c>
      <c r="C21" t="s">
        <v>121</v>
      </c>
    </row>
    <row r="22" spans="1:3" x14ac:dyDescent="0.25">
      <c r="A22" t="s">
        <v>122</v>
      </c>
      <c r="C22" t="s">
        <v>123</v>
      </c>
    </row>
    <row r="23" spans="1:3" x14ac:dyDescent="0.25">
      <c r="A23" t="s">
        <v>124</v>
      </c>
      <c r="C23" t="s">
        <v>125</v>
      </c>
    </row>
    <row r="24" spans="1:3" x14ac:dyDescent="0.25">
      <c r="A24" t="s">
        <v>126</v>
      </c>
      <c r="C24" t="s">
        <v>127</v>
      </c>
    </row>
    <row r="25" spans="1:3" x14ac:dyDescent="0.25">
      <c r="A25" t="s">
        <v>128</v>
      </c>
      <c r="C25" t="s">
        <v>129</v>
      </c>
    </row>
    <row r="26" spans="1:3" x14ac:dyDescent="0.25">
      <c r="A26" t="s">
        <v>130</v>
      </c>
      <c r="C26" t="s">
        <v>131</v>
      </c>
    </row>
    <row r="27" spans="1:3" x14ac:dyDescent="0.25">
      <c r="A27" t="s">
        <v>132</v>
      </c>
      <c r="C27" t="s">
        <v>133</v>
      </c>
    </row>
    <row r="28" spans="1:3" x14ac:dyDescent="0.25">
      <c r="A28" t="s">
        <v>134</v>
      </c>
      <c r="C28" t="s">
        <v>135</v>
      </c>
    </row>
    <row r="29" spans="1:3" x14ac:dyDescent="0.25">
      <c r="A29" t="s">
        <v>136</v>
      </c>
      <c r="C29" t="s">
        <v>137</v>
      </c>
    </row>
    <row r="30" spans="1:3" x14ac:dyDescent="0.25">
      <c r="A30" t="s">
        <v>138</v>
      </c>
      <c r="C30" t="s">
        <v>139</v>
      </c>
    </row>
    <row r="31" spans="1:3" x14ac:dyDescent="0.25">
      <c r="A31" t="s">
        <v>140</v>
      </c>
      <c r="C31" t="s">
        <v>141</v>
      </c>
    </row>
    <row r="32" spans="1:3" x14ac:dyDescent="0.25">
      <c r="A32" t="s">
        <v>142</v>
      </c>
      <c r="C32" t="s">
        <v>143</v>
      </c>
    </row>
    <row r="33" spans="1:3" x14ac:dyDescent="0.25">
      <c r="A33" t="s">
        <v>144</v>
      </c>
      <c r="C33" t="s">
        <v>145</v>
      </c>
    </row>
    <row r="34" spans="1:3" x14ac:dyDescent="0.25">
      <c r="A34" t="s">
        <v>146</v>
      </c>
      <c r="C34" t="s">
        <v>147</v>
      </c>
    </row>
    <row r="35" spans="1:3" x14ac:dyDescent="0.25">
      <c r="A35" t="s">
        <v>148</v>
      </c>
      <c r="C35" t="s">
        <v>149</v>
      </c>
    </row>
    <row r="36" spans="1:3" x14ac:dyDescent="0.25">
      <c r="A36" t="s">
        <v>150</v>
      </c>
      <c r="C36" t="s">
        <v>151</v>
      </c>
    </row>
    <row r="37" spans="1:3" x14ac:dyDescent="0.25">
      <c r="A37" t="s">
        <v>152</v>
      </c>
    </row>
    <row r="38" spans="1:3" x14ac:dyDescent="0.25">
      <c r="A38" t="s">
        <v>153</v>
      </c>
    </row>
    <row r="39" spans="1:3" x14ac:dyDescent="0.25">
      <c r="A39" t="s">
        <v>154</v>
      </c>
    </row>
    <row r="40" spans="1:3" x14ac:dyDescent="0.25">
      <c r="A40" t="s">
        <v>155</v>
      </c>
    </row>
    <row r="41" spans="1:3" x14ac:dyDescent="0.25">
      <c r="A41" t="s">
        <v>156</v>
      </c>
    </row>
    <row r="42" spans="1:3" x14ac:dyDescent="0.25">
      <c r="A42" t="s">
        <v>157</v>
      </c>
    </row>
    <row r="43" spans="1:3" x14ac:dyDescent="0.25">
      <c r="A43" t="s">
        <v>158</v>
      </c>
    </row>
    <row r="44" spans="1:3" x14ac:dyDescent="0.25">
      <c r="A44" t="s">
        <v>159</v>
      </c>
    </row>
    <row r="45" spans="1:3" x14ac:dyDescent="0.25">
      <c r="A45" t="s">
        <v>160</v>
      </c>
    </row>
    <row r="46" spans="1:3" x14ac:dyDescent="0.25">
      <c r="A46" t="s">
        <v>161</v>
      </c>
    </row>
    <row r="47" spans="1:3" x14ac:dyDescent="0.25">
      <c r="A47" t="s">
        <v>162</v>
      </c>
    </row>
    <row r="48" spans="1:3" x14ac:dyDescent="0.25">
      <c r="A48" t="s">
        <v>163</v>
      </c>
    </row>
    <row r="49" spans="1:1" x14ac:dyDescent="0.25">
      <c r="A49" t="s">
        <v>164</v>
      </c>
    </row>
    <row r="50" spans="1:1" x14ac:dyDescent="0.25">
      <c r="A50" t="s">
        <v>165</v>
      </c>
    </row>
    <row r="51" spans="1:1" x14ac:dyDescent="0.25">
      <c r="A51" t="s">
        <v>166</v>
      </c>
    </row>
    <row r="52" spans="1:1" x14ac:dyDescent="0.25">
      <c r="A52" t="s">
        <v>167</v>
      </c>
    </row>
    <row r="53" spans="1:1" x14ac:dyDescent="0.25">
      <c r="A53" t="s">
        <v>168</v>
      </c>
    </row>
    <row r="54" spans="1:1" x14ac:dyDescent="0.25">
      <c r="A54" t="s">
        <v>169</v>
      </c>
    </row>
    <row r="55" spans="1:1" x14ac:dyDescent="0.25">
      <c r="A55" t="s">
        <v>170</v>
      </c>
    </row>
    <row r="56" spans="1:1" x14ac:dyDescent="0.25">
      <c r="A56" t="s">
        <v>171</v>
      </c>
    </row>
    <row r="57" spans="1:1" x14ac:dyDescent="0.25">
      <c r="A57" t="s">
        <v>172</v>
      </c>
    </row>
    <row r="58" spans="1:1" x14ac:dyDescent="0.25">
      <c r="A58" t="s">
        <v>173</v>
      </c>
    </row>
    <row r="59" spans="1:1" x14ac:dyDescent="0.25">
      <c r="A59" t="s">
        <v>174</v>
      </c>
    </row>
    <row r="60" spans="1:1" x14ac:dyDescent="0.25">
      <c r="A60" t="s">
        <v>175</v>
      </c>
    </row>
    <row r="61" spans="1:1" x14ac:dyDescent="0.25">
      <c r="A61" t="s">
        <v>176</v>
      </c>
    </row>
    <row r="62" spans="1:1" x14ac:dyDescent="0.25">
      <c r="A62" t="s">
        <v>177</v>
      </c>
    </row>
    <row r="63" spans="1:1" x14ac:dyDescent="0.25">
      <c r="A63" t="s">
        <v>178</v>
      </c>
    </row>
    <row r="64" spans="1:1" x14ac:dyDescent="0.25">
      <c r="A64" t="s">
        <v>179</v>
      </c>
    </row>
    <row r="65" spans="1:1" x14ac:dyDescent="0.25">
      <c r="A65" t="s">
        <v>180</v>
      </c>
    </row>
    <row r="66" spans="1:1" x14ac:dyDescent="0.25">
      <c r="A66" t="s">
        <v>181</v>
      </c>
    </row>
    <row r="67" spans="1:1" x14ac:dyDescent="0.25">
      <c r="A67" t="s">
        <v>182</v>
      </c>
    </row>
    <row r="68" spans="1:1" x14ac:dyDescent="0.25">
      <c r="A68" t="s">
        <v>183</v>
      </c>
    </row>
    <row r="69" spans="1:1" x14ac:dyDescent="0.25">
      <c r="A69" t="s">
        <v>184</v>
      </c>
    </row>
    <row r="70" spans="1:1" x14ac:dyDescent="0.25">
      <c r="A70" t="s">
        <v>185</v>
      </c>
    </row>
    <row r="71" spans="1:1" x14ac:dyDescent="0.25">
      <c r="A71" t="s">
        <v>186</v>
      </c>
    </row>
    <row r="72" spans="1:1" x14ac:dyDescent="0.25">
      <c r="A72" t="s">
        <v>187</v>
      </c>
    </row>
    <row r="73" spans="1:1" x14ac:dyDescent="0.25">
      <c r="A73" t="s">
        <v>188</v>
      </c>
    </row>
    <row r="74" spans="1:1" x14ac:dyDescent="0.25">
      <c r="A74" t="s">
        <v>189</v>
      </c>
    </row>
    <row r="75" spans="1:1" x14ac:dyDescent="0.25">
      <c r="A75" t="s">
        <v>190</v>
      </c>
    </row>
    <row r="76" spans="1:1" x14ac:dyDescent="0.25">
      <c r="A76" t="s">
        <v>191</v>
      </c>
    </row>
    <row r="77" spans="1:1" x14ac:dyDescent="0.25">
      <c r="A77" t="s">
        <v>192</v>
      </c>
    </row>
    <row r="78" spans="1:1" x14ac:dyDescent="0.25">
      <c r="A78" t="s">
        <v>193</v>
      </c>
    </row>
    <row r="79" spans="1:1" x14ac:dyDescent="0.25">
      <c r="A79" t="s">
        <v>194</v>
      </c>
    </row>
    <row r="80" spans="1:1" x14ac:dyDescent="0.25">
      <c r="A80" t="s">
        <v>195</v>
      </c>
    </row>
    <row r="81" spans="1:1" x14ac:dyDescent="0.25">
      <c r="A81" t="s">
        <v>196</v>
      </c>
    </row>
    <row r="82" spans="1:1" x14ac:dyDescent="0.25">
      <c r="A82" t="s">
        <v>197</v>
      </c>
    </row>
    <row r="83" spans="1:1" x14ac:dyDescent="0.25">
      <c r="A83" t="s">
        <v>198</v>
      </c>
    </row>
    <row r="84" spans="1:1" x14ac:dyDescent="0.25">
      <c r="A84" t="s">
        <v>199</v>
      </c>
    </row>
    <row r="85" spans="1:1" x14ac:dyDescent="0.25">
      <c r="A85" t="s">
        <v>200</v>
      </c>
    </row>
    <row r="86" spans="1:1" x14ac:dyDescent="0.25">
      <c r="A86" t="s">
        <v>201</v>
      </c>
    </row>
    <row r="87" spans="1:1" x14ac:dyDescent="0.25">
      <c r="A87" t="s">
        <v>202</v>
      </c>
    </row>
    <row r="88" spans="1:1" x14ac:dyDescent="0.25">
      <c r="A88" t="s">
        <v>203</v>
      </c>
    </row>
    <row r="89" spans="1:1" x14ac:dyDescent="0.25">
      <c r="A89" t="s">
        <v>204</v>
      </c>
    </row>
    <row r="90" spans="1:1" x14ac:dyDescent="0.25">
      <c r="A90" t="s">
        <v>205</v>
      </c>
    </row>
    <row r="91" spans="1:1" x14ac:dyDescent="0.25">
      <c r="A91" t="s">
        <v>206</v>
      </c>
    </row>
    <row r="92" spans="1:1" x14ac:dyDescent="0.25">
      <c r="A92" t="s">
        <v>207</v>
      </c>
    </row>
    <row r="93" spans="1:1" x14ac:dyDescent="0.25">
      <c r="A93" t="s">
        <v>208</v>
      </c>
    </row>
    <row r="94" spans="1:1" x14ac:dyDescent="0.25">
      <c r="A94" t="s">
        <v>209</v>
      </c>
    </row>
    <row r="95" spans="1:1" x14ac:dyDescent="0.25">
      <c r="A95" t="s">
        <v>210</v>
      </c>
    </row>
    <row r="96" spans="1:1" x14ac:dyDescent="0.25">
      <c r="A96" t="s">
        <v>211</v>
      </c>
    </row>
    <row r="97" spans="1:1" x14ac:dyDescent="0.25">
      <c r="A97" t="s">
        <v>212</v>
      </c>
    </row>
    <row r="98" spans="1:1" x14ac:dyDescent="0.25">
      <c r="A98" t="s">
        <v>213</v>
      </c>
    </row>
    <row r="99" spans="1:1" x14ac:dyDescent="0.25">
      <c r="A99" t="s">
        <v>214</v>
      </c>
    </row>
    <row r="100" spans="1:1" x14ac:dyDescent="0.25">
      <c r="A100" t="s">
        <v>215</v>
      </c>
    </row>
    <row r="101" spans="1:1" x14ac:dyDescent="0.25">
      <c r="A101" t="s">
        <v>216</v>
      </c>
    </row>
    <row r="102" spans="1:1" x14ac:dyDescent="0.25">
      <c r="A102" t="s">
        <v>217</v>
      </c>
    </row>
    <row r="103" spans="1:1" x14ac:dyDescent="0.25">
      <c r="A103" t="s">
        <v>218</v>
      </c>
    </row>
    <row r="104" spans="1:1" x14ac:dyDescent="0.25">
      <c r="A104" t="s">
        <v>219</v>
      </c>
    </row>
    <row r="105" spans="1:1" x14ac:dyDescent="0.25">
      <c r="A105" t="s">
        <v>220</v>
      </c>
    </row>
    <row r="106" spans="1:1" x14ac:dyDescent="0.25">
      <c r="A106" t="s">
        <v>221</v>
      </c>
    </row>
    <row r="107" spans="1:1" x14ac:dyDescent="0.25">
      <c r="A107" t="s">
        <v>222</v>
      </c>
    </row>
    <row r="108" spans="1:1" x14ac:dyDescent="0.25">
      <c r="A108" t="s">
        <v>223</v>
      </c>
    </row>
    <row r="109" spans="1:1" x14ac:dyDescent="0.25">
      <c r="A109" t="s">
        <v>224</v>
      </c>
    </row>
    <row r="110" spans="1:1" x14ac:dyDescent="0.25">
      <c r="A110" t="s">
        <v>225</v>
      </c>
    </row>
    <row r="111" spans="1:1" x14ac:dyDescent="0.25">
      <c r="A111" t="s">
        <v>226</v>
      </c>
    </row>
    <row r="112" spans="1:1" x14ac:dyDescent="0.25">
      <c r="A112" t="s">
        <v>227</v>
      </c>
    </row>
    <row r="113" spans="1:1" x14ac:dyDescent="0.25">
      <c r="A113" t="s">
        <v>228</v>
      </c>
    </row>
    <row r="114" spans="1:1" x14ac:dyDescent="0.25">
      <c r="A114" t="s">
        <v>229</v>
      </c>
    </row>
    <row r="115" spans="1:1" x14ac:dyDescent="0.25">
      <c r="A115" t="s">
        <v>230</v>
      </c>
    </row>
    <row r="116" spans="1:1" x14ac:dyDescent="0.25">
      <c r="A116" t="s">
        <v>231</v>
      </c>
    </row>
    <row r="117" spans="1:1" x14ac:dyDescent="0.25">
      <c r="A117" t="s">
        <v>232</v>
      </c>
    </row>
    <row r="118" spans="1:1" x14ac:dyDescent="0.25">
      <c r="A118" t="s">
        <v>233</v>
      </c>
    </row>
    <row r="119" spans="1:1" x14ac:dyDescent="0.25">
      <c r="A119" t="s">
        <v>234</v>
      </c>
    </row>
    <row r="120" spans="1:1" x14ac:dyDescent="0.25">
      <c r="A120" t="s">
        <v>235</v>
      </c>
    </row>
    <row r="121" spans="1:1" x14ac:dyDescent="0.25">
      <c r="A121" t="s">
        <v>236</v>
      </c>
    </row>
    <row r="122" spans="1:1" x14ac:dyDescent="0.25">
      <c r="A122" t="s">
        <v>237</v>
      </c>
    </row>
    <row r="123" spans="1:1" x14ac:dyDescent="0.25">
      <c r="A123" t="s">
        <v>238</v>
      </c>
    </row>
    <row r="124" spans="1:1" x14ac:dyDescent="0.25">
      <c r="A124" t="s">
        <v>239</v>
      </c>
    </row>
    <row r="125" spans="1:1" x14ac:dyDescent="0.25">
      <c r="A125" t="s">
        <v>240</v>
      </c>
    </row>
    <row r="126" spans="1:1" x14ac:dyDescent="0.25">
      <c r="A126" t="s">
        <v>241</v>
      </c>
    </row>
    <row r="127" spans="1:1" x14ac:dyDescent="0.25">
      <c r="A127" t="s">
        <v>242</v>
      </c>
    </row>
    <row r="128" spans="1:1" x14ac:dyDescent="0.25">
      <c r="A128" t="s">
        <v>243</v>
      </c>
    </row>
    <row r="129" spans="1:1" x14ac:dyDescent="0.25">
      <c r="A129" t="s">
        <v>244</v>
      </c>
    </row>
    <row r="130" spans="1:1" x14ac:dyDescent="0.25">
      <c r="A130" t="s">
        <v>245</v>
      </c>
    </row>
    <row r="131" spans="1:1" x14ac:dyDescent="0.25">
      <c r="A131" t="s">
        <v>246</v>
      </c>
    </row>
    <row r="132" spans="1:1" x14ac:dyDescent="0.25">
      <c r="A132" t="s">
        <v>247</v>
      </c>
    </row>
    <row r="133" spans="1:1" x14ac:dyDescent="0.25">
      <c r="A133" t="s">
        <v>248</v>
      </c>
    </row>
    <row r="134" spans="1:1" x14ac:dyDescent="0.25">
      <c r="A134" t="s">
        <v>249</v>
      </c>
    </row>
    <row r="135" spans="1:1" x14ac:dyDescent="0.25">
      <c r="A135" t="s">
        <v>250</v>
      </c>
    </row>
    <row r="136" spans="1:1" x14ac:dyDescent="0.25">
      <c r="A136" t="s">
        <v>251</v>
      </c>
    </row>
    <row r="137" spans="1:1" x14ac:dyDescent="0.25">
      <c r="A137" t="s">
        <v>252</v>
      </c>
    </row>
    <row r="138" spans="1:1" x14ac:dyDescent="0.25">
      <c r="A138" t="s">
        <v>253</v>
      </c>
    </row>
    <row r="139" spans="1:1" x14ac:dyDescent="0.25">
      <c r="A139" t="s">
        <v>254</v>
      </c>
    </row>
    <row r="140" spans="1:1" x14ac:dyDescent="0.25">
      <c r="A140" t="s">
        <v>255</v>
      </c>
    </row>
    <row r="141" spans="1:1" x14ac:dyDescent="0.25">
      <c r="A141" t="s">
        <v>256</v>
      </c>
    </row>
    <row r="142" spans="1:1" x14ac:dyDescent="0.25">
      <c r="A142" t="s">
        <v>257</v>
      </c>
    </row>
    <row r="143" spans="1:1" x14ac:dyDescent="0.25">
      <c r="A143" t="s">
        <v>258</v>
      </c>
    </row>
    <row r="144" spans="1:1" x14ac:dyDescent="0.25">
      <c r="A144" t="s">
        <v>259</v>
      </c>
    </row>
    <row r="145" spans="1:1" x14ac:dyDescent="0.25">
      <c r="A145" t="s">
        <v>260</v>
      </c>
    </row>
    <row r="146" spans="1:1" x14ac:dyDescent="0.25">
      <c r="A146" t="s">
        <v>261</v>
      </c>
    </row>
    <row r="147" spans="1:1" x14ac:dyDescent="0.25">
      <c r="A147" t="s">
        <v>262</v>
      </c>
    </row>
    <row r="148" spans="1:1" x14ac:dyDescent="0.25">
      <c r="A148" t="s">
        <v>263</v>
      </c>
    </row>
    <row r="149" spans="1:1" x14ac:dyDescent="0.25">
      <c r="A149" t="s">
        <v>264</v>
      </c>
    </row>
    <row r="150" spans="1:1" x14ac:dyDescent="0.25">
      <c r="A150" t="s">
        <v>265</v>
      </c>
    </row>
    <row r="151" spans="1:1" x14ac:dyDescent="0.25">
      <c r="A151" t="s">
        <v>266</v>
      </c>
    </row>
    <row r="152" spans="1:1" x14ac:dyDescent="0.25">
      <c r="A152" t="s">
        <v>267</v>
      </c>
    </row>
    <row r="153" spans="1:1" x14ac:dyDescent="0.25">
      <c r="A153" t="s">
        <v>268</v>
      </c>
    </row>
    <row r="154" spans="1:1" x14ac:dyDescent="0.25">
      <c r="A154" t="s">
        <v>269</v>
      </c>
    </row>
    <row r="155" spans="1:1" x14ac:dyDescent="0.25">
      <c r="A155" t="s">
        <v>270</v>
      </c>
    </row>
    <row r="156" spans="1:1" x14ac:dyDescent="0.25">
      <c r="A156" t="s">
        <v>271</v>
      </c>
    </row>
    <row r="157" spans="1:1" x14ac:dyDescent="0.25">
      <c r="A157" t="s">
        <v>272</v>
      </c>
    </row>
    <row r="158" spans="1:1" x14ac:dyDescent="0.25">
      <c r="A158" t="s">
        <v>273</v>
      </c>
    </row>
    <row r="159" spans="1:1" x14ac:dyDescent="0.25">
      <c r="A159" t="s">
        <v>274</v>
      </c>
    </row>
    <row r="160" spans="1:1" x14ac:dyDescent="0.25">
      <c r="A160" t="s">
        <v>275</v>
      </c>
    </row>
  </sheetData>
  <sheetProtection algorithmName="SHA-512" hashValue="Efp1zTeiSnpI2e679kCEXf0JRn1xaZsD9BuUY7EAiD2Dr4dxnGYEkohChRV06R3+c2o1qGEHYwDrqozD23DgvA==" saltValue="nXqRJR0jcbu52UeyXzBA3g=="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62"/>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LRF - x-418</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75</v>
      </c>
      <c r="C8" s="161"/>
      <c r="D8" s="161"/>
      <c r="E8" s="161"/>
      <c r="F8" s="161"/>
      <c r="G8" s="161"/>
      <c r="H8" s="161"/>
      <c r="I8" s="161"/>
      <c r="J8" s="161"/>
      <c r="K8" s="161"/>
      <c r="L8" s="161"/>
      <c r="M8" s="161"/>
    </row>
    <row r="9" spans="1:13" x14ac:dyDescent="0.25">
      <c r="A9" s="85" t="s">
        <v>282</v>
      </c>
      <c r="B9" s="161" t="s">
        <v>459</v>
      </c>
      <c r="C9" s="161"/>
      <c r="D9" s="161"/>
      <c r="E9" s="161"/>
      <c r="F9" s="161"/>
      <c r="G9" s="161"/>
      <c r="H9" s="161"/>
      <c r="I9" s="161"/>
      <c r="J9" s="161"/>
      <c r="K9" s="161"/>
      <c r="L9" s="161"/>
      <c r="M9" s="161"/>
    </row>
    <row r="10" spans="1:13" x14ac:dyDescent="0.25">
      <c r="A10" s="85" t="s">
        <v>6</v>
      </c>
      <c r="B10" s="161" t="s">
        <v>466</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398</v>
      </c>
      <c r="C12" s="161"/>
      <c r="D12" s="161"/>
      <c r="E12" s="161"/>
      <c r="F12" s="161"/>
      <c r="G12" s="161"/>
      <c r="H12" s="161"/>
      <c r="I12" s="161"/>
      <c r="J12" s="161"/>
      <c r="K12" s="161"/>
      <c r="L12" s="161"/>
      <c r="M12" s="161"/>
    </row>
    <row r="13" spans="1:13" x14ac:dyDescent="0.25">
      <c r="A13" s="85" t="s">
        <v>289</v>
      </c>
      <c r="B13" s="161">
        <v>2</v>
      </c>
      <c r="C13" s="161"/>
      <c r="D13" s="161"/>
      <c r="E13" s="161"/>
      <c r="F13" s="161"/>
      <c r="G13" s="161"/>
      <c r="H13" s="161"/>
      <c r="I13" s="161"/>
      <c r="J13" s="161"/>
      <c r="K13" s="161"/>
      <c r="L13" s="161"/>
      <c r="M13" s="161"/>
    </row>
    <row r="14" spans="1:13" x14ac:dyDescent="0.25">
      <c r="A14" s="85" t="s">
        <v>291</v>
      </c>
      <c r="B14" s="161">
        <v>418</v>
      </c>
      <c r="C14" s="161"/>
      <c r="D14" s="161"/>
      <c r="E14" s="161"/>
      <c r="F14" s="161"/>
      <c r="G14" s="161"/>
      <c r="H14" s="161"/>
      <c r="I14" s="161"/>
      <c r="J14" s="161"/>
      <c r="K14" s="161"/>
      <c r="L14" s="161"/>
      <c r="M14" s="161"/>
    </row>
    <row r="15" spans="1:13" x14ac:dyDescent="0.25">
      <c r="A15" s="85" t="s">
        <v>293</v>
      </c>
      <c r="B15" s="161" t="s">
        <v>467</v>
      </c>
      <c r="C15" s="161"/>
      <c r="D15" s="161"/>
      <c r="E15" s="161"/>
      <c r="F15" s="161"/>
      <c r="G15" s="161"/>
      <c r="H15" s="161"/>
      <c r="I15" s="161"/>
      <c r="J15" s="161"/>
      <c r="K15" s="161"/>
      <c r="L15" s="161"/>
      <c r="M15" s="161"/>
    </row>
    <row r="16" spans="1:13" x14ac:dyDescent="0.25">
      <c r="A16" s="85" t="s">
        <v>295</v>
      </c>
      <c r="B16" s="161" t="s">
        <v>468</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45107</v>
      </c>
      <c r="C18" s="161"/>
      <c r="D18" s="161"/>
      <c r="E18" s="161"/>
      <c r="F18" s="161"/>
      <c r="G18" s="161"/>
      <c r="H18" s="161"/>
      <c r="I18" s="161"/>
      <c r="J18" s="161"/>
      <c r="K18" s="161"/>
      <c r="L18" s="161"/>
      <c r="M18" s="161"/>
    </row>
    <row r="19" spans="1:13" x14ac:dyDescent="0.25">
      <c r="A19" s="85" t="s">
        <v>301</v>
      </c>
      <c r="B19" s="162">
        <v>45107</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65</v>
      </c>
      <c r="B27" s="117">
        <v>1</v>
      </c>
      <c r="C27" s="117">
        <v>1.004</v>
      </c>
      <c r="D27" s="117">
        <v>1.0089999999999999</v>
      </c>
      <c r="E27" s="117">
        <v>1.0129999999999999</v>
      </c>
      <c r="F27" s="117">
        <v>1.0169999999999999</v>
      </c>
      <c r="G27" s="117">
        <v>1.022</v>
      </c>
      <c r="H27" s="117">
        <v>1.026</v>
      </c>
      <c r="I27" s="117">
        <v>1.0309999999999999</v>
      </c>
      <c r="J27" s="117">
        <v>1.0349999999999999</v>
      </c>
      <c r="K27" s="117">
        <v>1.0389999999999999</v>
      </c>
      <c r="L27" s="117">
        <v>1.044</v>
      </c>
      <c r="M27" s="117">
        <v>1.048</v>
      </c>
    </row>
    <row r="28" spans="1:13" x14ac:dyDescent="0.25">
      <c r="A28" s="99">
        <v>66</v>
      </c>
      <c r="B28" s="117">
        <v>1.052</v>
      </c>
      <c r="C28" s="117">
        <v>1.0569999999999999</v>
      </c>
      <c r="D28" s="117">
        <v>1.0620000000000001</v>
      </c>
      <c r="E28" s="117">
        <v>1.0669999999999999</v>
      </c>
      <c r="F28" s="117">
        <v>1.0720000000000001</v>
      </c>
      <c r="G28" s="117">
        <v>1.0760000000000001</v>
      </c>
      <c r="H28" s="117">
        <v>1.081</v>
      </c>
      <c r="I28" s="117">
        <v>1.0860000000000001</v>
      </c>
      <c r="J28" s="117">
        <v>1.091</v>
      </c>
      <c r="K28" s="117">
        <v>1.095</v>
      </c>
      <c r="L28" s="117">
        <v>1.1000000000000001</v>
      </c>
      <c r="M28" s="117">
        <v>1.105</v>
      </c>
    </row>
    <row r="29" spans="1:13" x14ac:dyDescent="0.25">
      <c r="A29" s="99">
        <v>67</v>
      </c>
      <c r="B29" s="117">
        <v>1.1100000000000001</v>
      </c>
      <c r="C29" s="117">
        <v>1.115</v>
      </c>
      <c r="D29" s="117">
        <v>1.1200000000000001</v>
      </c>
      <c r="E29" s="117">
        <v>1.125</v>
      </c>
      <c r="F29" s="117">
        <v>1.1299999999999999</v>
      </c>
      <c r="G29" s="117">
        <v>1.1359999999999999</v>
      </c>
      <c r="H29" s="117">
        <v>1.141</v>
      </c>
      <c r="I29" s="117">
        <v>1.1459999999999999</v>
      </c>
      <c r="J29" s="117">
        <v>1.151</v>
      </c>
      <c r="K29" s="117">
        <v>1.157</v>
      </c>
      <c r="L29" s="117">
        <v>1.1619999999999999</v>
      </c>
      <c r="M29" s="117">
        <v>1.167</v>
      </c>
    </row>
    <row r="30" spans="1:13" x14ac:dyDescent="0.25">
      <c r="A30" s="99">
        <v>68</v>
      </c>
      <c r="B30" s="117">
        <v>1.1719999999999999</v>
      </c>
      <c r="C30" s="117">
        <v>1.1779999999999999</v>
      </c>
      <c r="D30" s="117">
        <v>1.1839999999999999</v>
      </c>
      <c r="E30" s="117">
        <v>1.1890000000000001</v>
      </c>
      <c r="F30" s="117">
        <v>1.1950000000000001</v>
      </c>
      <c r="G30" s="117">
        <v>1.2010000000000001</v>
      </c>
      <c r="H30" s="117">
        <v>1.206</v>
      </c>
      <c r="I30" s="117">
        <v>1.212</v>
      </c>
      <c r="J30" s="117">
        <v>1.218</v>
      </c>
      <c r="K30" s="117">
        <v>1.224</v>
      </c>
      <c r="L30" s="117">
        <v>1.2290000000000001</v>
      </c>
      <c r="M30" s="117">
        <v>1.2350000000000001</v>
      </c>
    </row>
    <row r="31" spans="1:13" x14ac:dyDescent="0.25">
      <c r="A31" s="99">
        <v>69</v>
      </c>
      <c r="B31" s="117">
        <v>1.2410000000000001</v>
      </c>
      <c r="C31" s="117">
        <v>1.2470000000000001</v>
      </c>
      <c r="D31" s="117">
        <v>1.2529999999999999</v>
      </c>
      <c r="E31" s="117">
        <v>1.26</v>
      </c>
      <c r="F31" s="117">
        <v>1.266</v>
      </c>
      <c r="G31" s="117">
        <v>1.272</v>
      </c>
      <c r="H31" s="117">
        <v>1.278</v>
      </c>
      <c r="I31" s="117">
        <v>1.2849999999999999</v>
      </c>
      <c r="J31" s="117">
        <v>1.2909999999999999</v>
      </c>
      <c r="K31" s="117">
        <v>1.2969999999999999</v>
      </c>
      <c r="L31" s="117">
        <v>1.304</v>
      </c>
      <c r="M31" s="117">
        <v>1.31</v>
      </c>
    </row>
    <row r="32" spans="1:13" x14ac:dyDescent="0.25">
      <c r="A32" s="99">
        <v>70</v>
      </c>
      <c r="B32" s="117">
        <v>1.3160000000000001</v>
      </c>
      <c r="C32" s="117">
        <v>1.323</v>
      </c>
      <c r="D32" s="117">
        <v>1.33</v>
      </c>
      <c r="E32" s="117">
        <v>1.337</v>
      </c>
      <c r="F32" s="117">
        <v>1.3440000000000001</v>
      </c>
      <c r="G32" s="117">
        <v>1.351</v>
      </c>
      <c r="H32" s="117">
        <v>1.3580000000000001</v>
      </c>
      <c r="I32" s="117">
        <v>1.365</v>
      </c>
      <c r="J32" s="117">
        <v>1.371</v>
      </c>
      <c r="K32" s="117">
        <v>1.3779999999999999</v>
      </c>
      <c r="L32" s="117">
        <v>1.385</v>
      </c>
      <c r="M32" s="117">
        <v>1.3919999999999999</v>
      </c>
    </row>
    <row r="33" spans="1:13" x14ac:dyDescent="0.25">
      <c r="A33" s="99">
        <v>71</v>
      </c>
      <c r="B33" s="117">
        <v>1.399</v>
      </c>
      <c r="C33" s="117">
        <v>1.407</v>
      </c>
      <c r="D33" s="117">
        <v>1.4139999999999999</v>
      </c>
      <c r="E33" s="117">
        <v>1.4219999999999999</v>
      </c>
      <c r="F33" s="117">
        <v>1.429</v>
      </c>
      <c r="G33" s="117">
        <v>1.4370000000000001</v>
      </c>
      <c r="H33" s="117">
        <v>1.4450000000000001</v>
      </c>
      <c r="I33" s="117">
        <v>1.452</v>
      </c>
      <c r="J33" s="117">
        <v>1.46</v>
      </c>
      <c r="K33" s="117">
        <v>1.4670000000000001</v>
      </c>
      <c r="L33" s="117">
        <v>1.4750000000000001</v>
      </c>
      <c r="M33" s="117">
        <v>1.4830000000000001</v>
      </c>
    </row>
    <row r="34" spans="1:13" x14ac:dyDescent="0.25">
      <c r="A34" s="99">
        <v>72</v>
      </c>
      <c r="B34" s="117">
        <v>1.49</v>
      </c>
      <c r="C34" s="117">
        <v>1.4990000000000001</v>
      </c>
      <c r="D34" s="117">
        <v>1.5069999999999999</v>
      </c>
      <c r="E34" s="117">
        <v>1.5149999999999999</v>
      </c>
      <c r="F34" s="117">
        <v>1.524</v>
      </c>
      <c r="G34" s="117">
        <v>1.532</v>
      </c>
      <c r="H34" s="117">
        <v>1.54</v>
      </c>
      <c r="I34" s="117">
        <v>1.5489999999999999</v>
      </c>
      <c r="J34" s="117">
        <v>1.5569999999999999</v>
      </c>
      <c r="K34" s="117">
        <v>1.5649999999999999</v>
      </c>
      <c r="L34" s="117">
        <v>1.5740000000000001</v>
      </c>
      <c r="M34" s="117">
        <v>1.5820000000000001</v>
      </c>
    </row>
    <row r="35" spans="1:13" x14ac:dyDescent="0.25">
      <c r="A35" s="99">
        <v>73</v>
      </c>
      <c r="B35" s="117">
        <v>1.591</v>
      </c>
      <c r="C35" s="117">
        <v>1.6</v>
      </c>
      <c r="D35" s="117">
        <v>1.609</v>
      </c>
      <c r="E35" s="117">
        <v>1.6180000000000001</v>
      </c>
      <c r="F35" s="117">
        <v>1.6279999999999999</v>
      </c>
      <c r="G35" s="117">
        <v>1.637</v>
      </c>
      <c r="H35" s="117">
        <v>1.6459999999999999</v>
      </c>
      <c r="I35" s="117">
        <v>1.655</v>
      </c>
      <c r="J35" s="117">
        <v>1.6639999999999999</v>
      </c>
      <c r="K35" s="117">
        <v>1.6739999999999999</v>
      </c>
      <c r="L35" s="117">
        <v>1.6830000000000001</v>
      </c>
      <c r="M35" s="117">
        <v>1.6919999999999999</v>
      </c>
    </row>
    <row r="36" spans="1:13" x14ac:dyDescent="0.25">
      <c r="A36" s="99">
        <v>74</v>
      </c>
      <c r="B36" s="117">
        <v>1.7010000000000001</v>
      </c>
      <c r="C36" s="117">
        <v>1.712</v>
      </c>
      <c r="D36" s="117">
        <v>1.722</v>
      </c>
      <c r="E36" s="117">
        <v>1.732</v>
      </c>
      <c r="F36" s="117">
        <v>1.742</v>
      </c>
      <c r="G36" s="117">
        <v>1.752</v>
      </c>
      <c r="H36" s="117">
        <v>1.7629999999999999</v>
      </c>
      <c r="I36" s="117">
        <v>1.7729999999999999</v>
      </c>
      <c r="J36" s="117">
        <v>1.7829999999999999</v>
      </c>
      <c r="K36" s="117">
        <v>1.7929999999999999</v>
      </c>
      <c r="L36" s="117">
        <v>1.8029999999999999</v>
      </c>
      <c r="M36" s="117">
        <v>1.8140000000000001</v>
      </c>
    </row>
    <row r="37" spans="1:13" x14ac:dyDescent="0.25">
      <c r="A37" s="99">
        <v>75</v>
      </c>
      <c r="B37" s="117">
        <v>1.8240000000000001</v>
      </c>
      <c r="C37" s="117"/>
      <c r="D37" s="117"/>
      <c r="E37" s="117"/>
      <c r="F37" s="117"/>
      <c r="G37" s="117"/>
      <c r="H37" s="117"/>
      <c r="I37" s="117"/>
      <c r="J37" s="117"/>
      <c r="K37" s="117"/>
      <c r="L37" s="117"/>
      <c r="M37" s="117"/>
    </row>
    <row r="44" spans="1:13" ht="39.65" customHeight="1" x14ac:dyDescent="0.25"/>
    <row r="46" spans="1:13" ht="27.65" customHeight="1" x14ac:dyDescent="0.25"/>
  </sheetData>
  <sheetProtection algorithmName="SHA-512" hashValue="Q+wMaPe9+0Tyxv2NZNTlWpnwm8EbvYaQI9yaxXyK0jB1NaYywZv/8J9WcEHoiLI4qpsL8tWc4H8JOMZ6sh4HwQ==" saltValue="ldcGc5qHm7qH76aTPbuC9w==" spinCount="100000" sheet="1" objects="1" scenarios="1"/>
  <conditionalFormatting sqref="A6:A21">
    <cfRule type="expression" dxfId="641" priority="7" stopIfTrue="1">
      <formula>MOD(ROW(),2)=0</formula>
    </cfRule>
    <cfRule type="expression" dxfId="640" priority="8" stopIfTrue="1">
      <formula>MOD(ROW(),2)&lt;&gt;0</formula>
    </cfRule>
  </conditionalFormatting>
  <conditionalFormatting sqref="A26:A37">
    <cfRule type="expression" dxfId="639" priority="1" stopIfTrue="1">
      <formula>MOD(ROW(),2)=0</formula>
    </cfRule>
    <cfRule type="expression" dxfId="638" priority="2" stopIfTrue="1">
      <formula>MOD(ROW(),2)&lt;&gt;0</formula>
    </cfRule>
  </conditionalFormatting>
  <conditionalFormatting sqref="B17:B21">
    <cfRule type="expression" dxfId="637" priority="5" stopIfTrue="1">
      <formula>MOD(ROW(),2)=0</formula>
    </cfRule>
    <cfRule type="expression" dxfId="636" priority="6" stopIfTrue="1">
      <formula>MOD(ROW(),2)&lt;&gt;0</formula>
    </cfRule>
  </conditionalFormatting>
  <conditionalFormatting sqref="B6:M21">
    <cfRule type="expression" dxfId="635" priority="15" stopIfTrue="1">
      <formula>MOD(ROW(),2)=0</formula>
    </cfRule>
    <cfRule type="expression" dxfId="634" priority="16" stopIfTrue="1">
      <formula>MOD(ROW(),2)&lt;&gt;0</formula>
    </cfRule>
  </conditionalFormatting>
  <conditionalFormatting sqref="B26:M37">
    <cfRule type="expression" dxfId="633" priority="3" stopIfTrue="1">
      <formula>MOD(ROW(),2)=0</formula>
    </cfRule>
    <cfRule type="expression" dxfId="632" priority="4" stopIfTrue="1">
      <formula>MOD(ROW(),2)&lt;&gt;0</formula>
    </cfRule>
  </conditionalFormatting>
  <hyperlinks>
    <hyperlink ref="B24" location="Assumptions!A1" display="Assumptions" xr:uid="{E25BD403-B1CD-4BAF-ACF9-06ADE1CA328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3"/>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LRF - x-419</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75</v>
      </c>
      <c r="C8" s="161"/>
      <c r="D8" s="161"/>
      <c r="E8" s="161"/>
      <c r="F8" s="161"/>
      <c r="G8" s="161"/>
      <c r="H8" s="161"/>
      <c r="I8" s="161"/>
      <c r="J8" s="161"/>
      <c r="K8" s="161"/>
      <c r="L8" s="161"/>
      <c r="M8" s="161"/>
    </row>
    <row r="9" spans="1:13" x14ac:dyDescent="0.25">
      <c r="A9" s="85" t="s">
        <v>282</v>
      </c>
      <c r="B9" s="161" t="s">
        <v>459</v>
      </c>
      <c r="C9" s="161"/>
      <c r="D9" s="161"/>
      <c r="E9" s="161"/>
      <c r="F9" s="161"/>
      <c r="G9" s="161"/>
      <c r="H9" s="161"/>
      <c r="I9" s="161"/>
      <c r="J9" s="161"/>
      <c r="K9" s="161"/>
      <c r="L9" s="161"/>
      <c r="M9" s="161"/>
    </row>
    <row r="10" spans="1:13" x14ac:dyDescent="0.25">
      <c r="A10" s="85" t="s">
        <v>6</v>
      </c>
      <c r="B10" s="161" t="s">
        <v>469</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398</v>
      </c>
      <c r="C12" s="161"/>
      <c r="D12" s="161"/>
      <c r="E12" s="161"/>
      <c r="F12" s="161"/>
      <c r="G12" s="161"/>
      <c r="H12" s="161"/>
      <c r="I12" s="161"/>
      <c r="J12" s="161"/>
      <c r="K12" s="161"/>
      <c r="L12" s="161"/>
      <c r="M12" s="161"/>
    </row>
    <row r="13" spans="1:13" x14ac:dyDescent="0.25">
      <c r="A13" s="85" t="s">
        <v>289</v>
      </c>
      <c r="B13" s="161">
        <v>2</v>
      </c>
      <c r="C13" s="161"/>
      <c r="D13" s="161"/>
      <c r="E13" s="161"/>
      <c r="F13" s="161"/>
      <c r="G13" s="161"/>
      <c r="H13" s="161"/>
      <c r="I13" s="161"/>
      <c r="J13" s="161"/>
      <c r="K13" s="161"/>
      <c r="L13" s="161"/>
      <c r="M13" s="161"/>
    </row>
    <row r="14" spans="1:13" x14ac:dyDescent="0.25">
      <c r="A14" s="85" t="s">
        <v>291</v>
      </c>
      <c r="B14" s="161">
        <v>419</v>
      </c>
      <c r="C14" s="161"/>
      <c r="D14" s="161"/>
      <c r="E14" s="161"/>
      <c r="F14" s="161"/>
      <c r="G14" s="161"/>
      <c r="H14" s="161"/>
      <c r="I14" s="161"/>
      <c r="J14" s="161"/>
      <c r="K14" s="161"/>
      <c r="L14" s="161"/>
      <c r="M14" s="161"/>
    </row>
    <row r="15" spans="1:13" x14ac:dyDescent="0.25">
      <c r="A15" s="85" t="s">
        <v>293</v>
      </c>
      <c r="B15" s="161" t="s">
        <v>470</v>
      </c>
      <c r="C15" s="161"/>
      <c r="D15" s="161"/>
      <c r="E15" s="161"/>
      <c r="F15" s="161"/>
      <c r="G15" s="161"/>
      <c r="H15" s="161"/>
      <c r="I15" s="161"/>
      <c r="J15" s="161"/>
      <c r="K15" s="161"/>
      <c r="L15" s="161"/>
      <c r="M15" s="161"/>
    </row>
    <row r="16" spans="1:13" x14ac:dyDescent="0.25">
      <c r="A16" s="85" t="s">
        <v>295</v>
      </c>
      <c r="B16" s="161" t="s">
        <v>471</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45107</v>
      </c>
      <c r="C18" s="161"/>
      <c r="D18" s="161"/>
      <c r="E18" s="161"/>
      <c r="F18" s="161"/>
      <c r="G18" s="161"/>
      <c r="H18" s="161"/>
      <c r="I18" s="161"/>
      <c r="J18" s="161"/>
      <c r="K18" s="161"/>
      <c r="L18" s="161"/>
      <c r="M18" s="161"/>
    </row>
    <row r="19" spans="1:13" x14ac:dyDescent="0.25">
      <c r="A19" s="85" t="s">
        <v>301</v>
      </c>
      <c r="B19" s="162">
        <v>45107</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65</v>
      </c>
      <c r="B27" s="117">
        <v>0</v>
      </c>
      <c r="C27" s="117">
        <v>0</v>
      </c>
      <c r="D27" s="117">
        <v>0</v>
      </c>
      <c r="E27" s="117">
        <v>0</v>
      </c>
      <c r="F27" s="117">
        <v>0</v>
      </c>
      <c r="G27" s="117">
        <v>0</v>
      </c>
      <c r="H27" s="117">
        <v>0</v>
      </c>
      <c r="I27" s="117">
        <v>0</v>
      </c>
      <c r="J27" s="117">
        <v>0</v>
      </c>
      <c r="K27" s="117">
        <v>0</v>
      </c>
      <c r="L27" s="117">
        <v>0</v>
      </c>
      <c r="M27" s="117">
        <v>0</v>
      </c>
    </row>
    <row r="28" spans="1:13" x14ac:dyDescent="0.25">
      <c r="A28" s="99">
        <v>66</v>
      </c>
      <c r="B28" s="117">
        <v>0</v>
      </c>
      <c r="C28" s="117">
        <v>0</v>
      </c>
      <c r="D28" s="117">
        <v>0</v>
      </c>
      <c r="E28" s="117">
        <v>0</v>
      </c>
      <c r="F28" s="117">
        <v>0</v>
      </c>
      <c r="G28" s="117">
        <v>0</v>
      </c>
      <c r="H28" s="117">
        <v>0</v>
      </c>
      <c r="I28" s="117">
        <v>0</v>
      </c>
      <c r="J28" s="117">
        <v>0</v>
      </c>
      <c r="K28" s="117">
        <v>0</v>
      </c>
      <c r="L28" s="117">
        <v>0</v>
      </c>
      <c r="M28" s="117">
        <v>0</v>
      </c>
    </row>
    <row r="29" spans="1:13" x14ac:dyDescent="0.25">
      <c r="A29" s="99">
        <v>67</v>
      </c>
      <c r="B29" s="117">
        <v>0</v>
      </c>
      <c r="C29" s="117">
        <v>0</v>
      </c>
      <c r="D29" s="117">
        <v>0</v>
      </c>
      <c r="E29" s="117">
        <v>0</v>
      </c>
      <c r="F29" s="117">
        <v>0</v>
      </c>
      <c r="G29" s="117">
        <v>0</v>
      </c>
      <c r="H29" s="117">
        <v>0</v>
      </c>
      <c r="I29" s="117">
        <v>0</v>
      </c>
      <c r="J29" s="117">
        <v>0</v>
      </c>
      <c r="K29" s="117">
        <v>0</v>
      </c>
      <c r="L29" s="117">
        <v>0</v>
      </c>
      <c r="M29" s="117">
        <v>0</v>
      </c>
    </row>
    <row r="30" spans="1:13" x14ac:dyDescent="0.25">
      <c r="A30" s="99">
        <v>68</v>
      </c>
      <c r="B30" s="117">
        <v>0</v>
      </c>
      <c r="C30" s="117">
        <v>0</v>
      </c>
      <c r="D30" s="117">
        <v>0</v>
      </c>
      <c r="E30" s="117">
        <v>0</v>
      </c>
      <c r="F30" s="117">
        <v>0</v>
      </c>
      <c r="G30" s="117">
        <v>0</v>
      </c>
      <c r="H30" s="117">
        <v>0</v>
      </c>
      <c r="I30" s="117">
        <v>0</v>
      </c>
      <c r="J30" s="117">
        <v>0</v>
      </c>
      <c r="K30" s="117">
        <v>0</v>
      </c>
      <c r="L30" s="117">
        <v>0</v>
      </c>
      <c r="M30" s="117">
        <v>0</v>
      </c>
    </row>
    <row r="31" spans="1:13" x14ac:dyDescent="0.25">
      <c r="A31" s="99">
        <v>69</v>
      </c>
      <c r="B31" s="117">
        <v>0</v>
      </c>
      <c r="C31" s="117">
        <v>0</v>
      </c>
      <c r="D31" s="117">
        <v>0</v>
      </c>
      <c r="E31" s="117">
        <v>0</v>
      </c>
      <c r="F31" s="117">
        <v>0</v>
      </c>
      <c r="G31" s="117">
        <v>0</v>
      </c>
      <c r="H31" s="117">
        <v>0</v>
      </c>
      <c r="I31" s="117">
        <v>0</v>
      </c>
      <c r="J31" s="117">
        <v>0</v>
      </c>
      <c r="K31" s="117">
        <v>0</v>
      </c>
      <c r="L31" s="117">
        <v>0</v>
      </c>
      <c r="M31" s="117">
        <v>0</v>
      </c>
    </row>
    <row r="32" spans="1:13" x14ac:dyDescent="0.25">
      <c r="A32" s="99">
        <v>70</v>
      </c>
      <c r="B32" s="117">
        <v>0</v>
      </c>
      <c r="C32" s="117">
        <v>0</v>
      </c>
      <c r="D32" s="117">
        <v>0</v>
      </c>
      <c r="E32" s="117">
        <v>0</v>
      </c>
      <c r="F32" s="117">
        <v>0</v>
      </c>
      <c r="G32" s="117">
        <v>0</v>
      </c>
      <c r="H32" s="117">
        <v>0</v>
      </c>
      <c r="I32" s="117">
        <v>0</v>
      </c>
      <c r="J32" s="117">
        <v>0</v>
      </c>
      <c r="K32" s="117">
        <v>0</v>
      </c>
      <c r="L32" s="117">
        <v>0</v>
      </c>
      <c r="M32" s="117">
        <v>0</v>
      </c>
    </row>
    <row r="33" spans="1:13" x14ac:dyDescent="0.25">
      <c r="A33" s="99">
        <v>71</v>
      </c>
      <c r="B33" s="117">
        <v>0</v>
      </c>
      <c r="C33" s="117">
        <v>0</v>
      </c>
      <c r="D33" s="117">
        <v>0</v>
      </c>
      <c r="E33" s="117">
        <v>0</v>
      </c>
      <c r="F33" s="117">
        <v>0</v>
      </c>
      <c r="G33" s="117">
        <v>0</v>
      </c>
      <c r="H33" s="117">
        <v>0</v>
      </c>
      <c r="I33" s="117">
        <v>0</v>
      </c>
      <c r="J33" s="117">
        <v>0</v>
      </c>
      <c r="K33" s="117">
        <v>0</v>
      </c>
      <c r="L33" s="117">
        <v>0</v>
      </c>
      <c r="M33" s="117">
        <v>0</v>
      </c>
    </row>
    <row r="34" spans="1:13" x14ac:dyDescent="0.25">
      <c r="A34" s="99">
        <v>72</v>
      </c>
      <c r="B34" s="117">
        <v>0</v>
      </c>
      <c r="C34" s="117">
        <v>0</v>
      </c>
      <c r="D34" s="117">
        <v>0</v>
      </c>
      <c r="E34" s="117">
        <v>0</v>
      </c>
      <c r="F34" s="117">
        <v>0</v>
      </c>
      <c r="G34" s="117">
        <v>0</v>
      </c>
      <c r="H34" s="117">
        <v>0</v>
      </c>
      <c r="I34" s="117">
        <v>0</v>
      </c>
      <c r="J34" s="117">
        <v>0</v>
      </c>
      <c r="K34" s="117">
        <v>0</v>
      </c>
      <c r="L34" s="117">
        <v>0</v>
      </c>
      <c r="M34" s="117">
        <v>0</v>
      </c>
    </row>
    <row r="35" spans="1:13" x14ac:dyDescent="0.25">
      <c r="A35" s="99">
        <v>73</v>
      </c>
      <c r="B35" s="117">
        <v>0</v>
      </c>
      <c r="C35" s="117">
        <v>0</v>
      </c>
      <c r="D35" s="117">
        <v>0</v>
      </c>
      <c r="E35" s="117">
        <v>0</v>
      </c>
      <c r="F35" s="117">
        <v>0</v>
      </c>
      <c r="G35" s="117">
        <v>0</v>
      </c>
      <c r="H35" s="117">
        <v>0</v>
      </c>
      <c r="I35" s="117">
        <v>0</v>
      </c>
      <c r="J35" s="117">
        <v>0</v>
      </c>
      <c r="K35" s="117">
        <v>0</v>
      </c>
      <c r="L35" s="117">
        <v>0</v>
      </c>
      <c r="M35" s="117">
        <v>0</v>
      </c>
    </row>
    <row r="36" spans="1:13" x14ac:dyDescent="0.25">
      <c r="A36" s="99">
        <v>74</v>
      </c>
      <c r="B36" s="117">
        <v>0</v>
      </c>
      <c r="C36" s="117">
        <v>0</v>
      </c>
      <c r="D36" s="117">
        <v>0</v>
      </c>
      <c r="E36" s="117">
        <v>0</v>
      </c>
      <c r="F36" s="117">
        <v>0</v>
      </c>
      <c r="G36" s="117">
        <v>0</v>
      </c>
      <c r="H36" s="117">
        <v>0</v>
      </c>
      <c r="I36" s="117">
        <v>0</v>
      </c>
      <c r="J36" s="117">
        <v>0</v>
      </c>
      <c r="K36" s="117">
        <v>0</v>
      </c>
      <c r="L36" s="117">
        <v>0</v>
      </c>
      <c r="M36" s="117">
        <v>0</v>
      </c>
    </row>
    <row r="37" spans="1:13" x14ac:dyDescent="0.25">
      <c r="A37" s="99">
        <v>75</v>
      </c>
      <c r="B37" s="117">
        <v>0</v>
      </c>
      <c r="C37" s="117"/>
      <c r="D37" s="117"/>
      <c r="E37" s="117"/>
      <c r="F37" s="117"/>
      <c r="G37" s="117"/>
      <c r="H37" s="117"/>
      <c r="I37" s="117"/>
      <c r="J37" s="117"/>
      <c r="K37" s="117"/>
      <c r="L37" s="117"/>
      <c r="M37" s="117"/>
    </row>
    <row r="44" spans="1:13" ht="39.65" customHeight="1" x14ac:dyDescent="0.25"/>
    <row r="46" spans="1:13" ht="27.65" customHeight="1" x14ac:dyDescent="0.25"/>
  </sheetData>
  <sheetProtection algorithmName="SHA-512" hashValue="cS18f5C8TokuWhAsO3vQa6q3T8sGI2a+UjgaJppx/h1Hld5Dute79orYsEPilf4xzmmZeTn8iaDib65OlixxTg==" saltValue="oBQ1A6YrxSP0JH1wkd7m6A==" spinCount="100000" sheet="1" objects="1" scenarios="1"/>
  <conditionalFormatting sqref="A6:A21">
    <cfRule type="expression" dxfId="631" priority="7" stopIfTrue="1">
      <formula>MOD(ROW(),2)=0</formula>
    </cfRule>
    <cfRule type="expression" dxfId="630" priority="8" stopIfTrue="1">
      <formula>MOD(ROW(),2)&lt;&gt;0</formula>
    </cfRule>
  </conditionalFormatting>
  <conditionalFormatting sqref="A26:A37">
    <cfRule type="expression" dxfId="629" priority="1" stopIfTrue="1">
      <formula>MOD(ROW(),2)=0</formula>
    </cfRule>
    <cfRule type="expression" dxfId="628" priority="2" stopIfTrue="1">
      <formula>MOD(ROW(),2)&lt;&gt;0</formula>
    </cfRule>
  </conditionalFormatting>
  <conditionalFormatting sqref="B17:B21">
    <cfRule type="expression" dxfId="627" priority="5" stopIfTrue="1">
      <formula>MOD(ROW(),2)=0</formula>
    </cfRule>
    <cfRule type="expression" dxfId="626" priority="6" stopIfTrue="1">
      <formula>MOD(ROW(),2)&lt;&gt;0</formula>
    </cfRule>
  </conditionalFormatting>
  <conditionalFormatting sqref="B6:M21">
    <cfRule type="expression" dxfId="625" priority="15" stopIfTrue="1">
      <formula>MOD(ROW(),2)=0</formula>
    </cfRule>
    <cfRule type="expression" dxfId="624" priority="16" stopIfTrue="1">
      <formula>MOD(ROW(),2)&lt;&gt;0</formula>
    </cfRule>
  </conditionalFormatting>
  <conditionalFormatting sqref="B26:M37">
    <cfRule type="expression" dxfId="623" priority="3" stopIfTrue="1">
      <formula>MOD(ROW(),2)=0</formula>
    </cfRule>
    <cfRule type="expression" dxfId="622" priority="4" stopIfTrue="1">
      <formula>MOD(ROW(),2)&lt;&gt;0</formula>
    </cfRule>
  </conditionalFormatting>
  <hyperlinks>
    <hyperlink ref="B24" location="Assumptions!A1" display="Assumptions" xr:uid="{338BB318-089F-4AF6-B832-C08318FF0B7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64"/>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x-420</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74</v>
      </c>
      <c r="C8" s="161"/>
      <c r="D8" s="161"/>
      <c r="E8" s="161"/>
      <c r="F8" s="161"/>
      <c r="G8" s="161"/>
      <c r="H8" s="161"/>
      <c r="I8" s="161"/>
      <c r="J8" s="161"/>
      <c r="K8" s="161"/>
      <c r="L8" s="161"/>
      <c r="M8" s="161"/>
    </row>
    <row r="9" spans="1:13" x14ac:dyDescent="0.25">
      <c r="A9" s="85" t="s">
        <v>282</v>
      </c>
      <c r="B9" s="161" t="s">
        <v>396</v>
      </c>
      <c r="C9" s="161"/>
      <c r="D9" s="161"/>
      <c r="E9" s="161"/>
      <c r="F9" s="161"/>
      <c r="G9" s="161"/>
      <c r="H9" s="161"/>
      <c r="I9" s="161"/>
      <c r="J9" s="161"/>
      <c r="K9" s="161"/>
      <c r="L9" s="161"/>
      <c r="M9" s="161"/>
    </row>
    <row r="10" spans="1:13" x14ac:dyDescent="0.25">
      <c r="A10" s="85" t="s">
        <v>6</v>
      </c>
      <c r="B10" s="161" t="s">
        <v>472</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473</v>
      </c>
      <c r="C12" s="161"/>
      <c r="D12" s="161"/>
      <c r="E12" s="161"/>
      <c r="F12" s="161"/>
      <c r="G12" s="161"/>
      <c r="H12" s="161"/>
      <c r="I12" s="161"/>
      <c r="J12" s="161"/>
      <c r="K12" s="161"/>
      <c r="L12" s="161"/>
      <c r="M12" s="161"/>
    </row>
    <row r="13" spans="1:13" x14ac:dyDescent="0.25">
      <c r="A13" s="85" t="s">
        <v>289</v>
      </c>
      <c r="B13" s="161">
        <v>0</v>
      </c>
      <c r="C13" s="161"/>
      <c r="D13" s="161"/>
      <c r="E13" s="161"/>
      <c r="F13" s="161"/>
      <c r="G13" s="161"/>
      <c r="H13" s="161"/>
      <c r="I13" s="161"/>
      <c r="J13" s="161"/>
      <c r="K13" s="161"/>
      <c r="L13" s="161"/>
      <c r="M13" s="161"/>
    </row>
    <row r="14" spans="1:13" x14ac:dyDescent="0.25">
      <c r="A14" s="85" t="s">
        <v>291</v>
      </c>
      <c r="B14" s="161">
        <v>420</v>
      </c>
      <c r="C14" s="161"/>
      <c r="D14" s="161"/>
      <c r="E14" s="161"/>
      <c r="F14" s="161"/>
      <c r="G14" s="161"/>
      <c r="H14" s="161"/>
      <c r="I14" s="161"/>
      <c r="J14" s="161"/>
      <c r="K14" s="161"/>
      <c r="L14" s="161"/>
      <c r="M14" s="161"/>
    </row>
    <row r="15" spans="1:13" x14ac:dyDescent="0.25">
      <c r="A15" s="85" t="s">
        <v>293</v>
      </c>
      <c r="B15" s="161" t="s">
        <v>474</v>
      </c>
      <c r="C15" s="161"/>
      <c r="D15" s="161"/>
      <c r="E15" s="161"/>
      <c r="F15" s="161"/>
      <c r="G15" s="161"/>
      <c r="H15" s="161"/>
      <c r="I15" s="161"/>
      <c r="J15" s="161"/>
      <c r="K15" s="161"/>
      <c r="L15" s="161"/>
      <c r="M15" s="161"/>
    </row>
    <row r="16" spans="1:13" x14ac:dyDescent="0.25">
      <c r="A16" s="85" t="s">
        <v>295</v>
      </c>
      <c r="B16" s="161" t="s">
        <v>400</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45107</v>
      </c>
      <c r="C18" s="161"/>
      <c r="D18" s="161"/>
      <c r="E18" s="161"/>
      <c r="F18" s="161"/>
      <c r="G18" s="161"/>
      <c r="H18" s="161"/>
      <c r="I18" s="161"/>
      <c r="J18" s="161"/>
      <c r="K18" s="161"/>
      <c r="L18" s="161"/>
      <c r="M18" s="161"/>
    </row>
    <row r="19" spans="1:13" x14ac:dyDescent="0.25">
      <c r="A19" s="85" t="s">
        <v>301</v>
      </c>
      <c r="B19" s="162">
        <v>45107</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765</v>
      </c>
      <c r="B26" s="98">
        <v>0</v>
      </c>
      <c r="C26" s="98">
        <v>1</v>
      </c>
      <c r="D26" s="98">
        <v>2</v>
      </c>
      <c r="E26" s="98">
        <v>3</v>
      </c>
      <c r="F26" s="98">
        <v>4</v>
      </c>
      <c r="G26" s="98">
        <v>5</v>
      </c>
      <c r="H26" s="98">
        <v>6</v>
      </c>
      <c r="I26" s="98">
        <v>7</v>
      </c>
      <c r="J26" s="98">
        <v>8</v>
      </c>
      <c r="K26" s="98">
        <v>9</v>
      </c>
      <c r="L26" s="98">
        <v>10</v>
      </c>
      <c r="M26" s="98">
        <v>11</v>
      </c>
    </row>
    <row r="27" spans="1:13" x14ac:dyDescent="0.25">
      <c r="A27" s="99">
        <v>0</v>
      </c>
      <c r="B27" s="117">
        <v>1</v>
      </c>
      <c r="C27" s="117">
        <v>0.996</v>
      </c>
      <c r="D27" s="117">
        <v>0.99099999999999999</v>
      </c>
      <c r="E27" s="117">
        <v>0.98699999999999999</v>
      </c>
      <c r="F27" s="117">
        <v>0.98299999999999998</v>
      </c>
      <c r="G27" s="117">
        <v>0.97799999999999998</v>
      </c>
      <c r="H27" s="117">
        <v>0.97399999999999998</v>
      </c>
      <c r="I27" s="117">
        <v>0.96899999999999997</v>
      </c>
      <c r="J27" s="117">
        <v>0.96499999999999997</v>
      </c>
      <c r="K27" s="117">
        <v>0.96099999999999997</v>
      </c>
      <c r="L27" s="117">
        <v>0.95599999999999996</v>
      </c>
      <c r="M27" s="117">
        <v>0.95199999999999996</v>
      </c>
    </row>
    <row r="28" spans="1:13" x14ac:dyDescent="0.25">
      <c r="A28" s="99">
        <v>1</v>
      </c>
      <c r="B28" s="117">
        <v>0.94799999999999995</v>
      </c>
      <c r="C28" s="117">
        <v>0.94399999999999995</v>
      </c>
      <c r="D28" s="117">
        <v>0.93899999999999995</v>
      </c>
      <c r="E28" s="117">
        <v>0.93500000000000005</v>
      </c>
      <c r="F28" s="117">
        <v>0.93100000000000005</v>
      </c>
      <c r="G28" s="117">
        <v>0.92700000000000005</v>
      </c>
      <c r="H28" s="117">
        <v>0.92300000000000004</v>
      </c>
      <c r="I28" s="117">
        <v>0.91900000000000004</v>
      </c>
      <c r="J28" s="117">
        <v>0.91500000000000004</v>
      </c>
      <c r="K28" s="117">
        <v>0.91100000000000003</v>
      </c>
      <c r="L28" s="117">
        <v>0.90700000000000003</v>
      </c>
      <c r="M28" s="117">
        <v>0.90300000000000002</v>
      </c>
    </row>
    <row r="29" spans="1:13" x14ac:dyDescent="0.25">
      <c r="A29" s="99">
        <v>2</v>
      </c>
      <c r="B29" s="117">
        <v>0.89900000000000002</v>
      </c>
      <c r="C29" s="117">
        <v>0.89600000000000002</v>
      </c>
      <c r="D29" s="117">
        <v>0.89200000000000002</v>
      </c>
      <c r="E29" s="117">
        <v>0.88800000000000001</v>
      </c>
      <c r="F29" s="117">
        <v>0.88500000000000001</v>
      </c>
      <c r="G29" s="117">
        <v>0.88100000000000001</v>
      </c>
      <c r="H29" s="117">
        <v>0.877</v>
      </c>
      <c r="I29" s="117">
        <v>0.874</v>
      </c>
      <c r="J29" s="117">
        <v>0.87</v>
      </c>
      <c r="K29" s="117">
        <v>0.86599999999999999</v>
      </c>
      <c r="L29" s="117">
        <v>0.86299999999999999</v>
      </c>
      <c r="M29" s="117">
        <v>0.85899999999999999</v>
      </c>
    </row>
    <row r="30" spans="1:13" x14ac:dyDescent="0.25">
      <c r="A30" s="99">
        <v>3</v>
      </c>
      <c r="B30" s="117">
        <v>0.85499999999999998</v>
      </c>
      <c r="C30" s="117">
        <v>0.85199999999999998</v>
      </c>
      <c r="D30" s="117">
        <v>0.84899999999999998</v>
      </c>
      <c r="E30" s="117">
        <v>0.84499999999999997</v>
      </c>
      <c r="F30" s="117">
        <v>0.84199999999999997</v>
      </c>
      <c r="G30" s="117">
        <v>0.83899999999999997</v>
      </c>
      <c r="H30" s="117">
        <v>0.83499999999999996</v>
      </c>
      <c r="I30" s="117">
        <v>0.83199999999999996</v>
      </c>
      <c r="J30" s="117">
        <v>0.82799999999999996</v>
      </c>
      <c r="K30" s="117">
        <v>0.82499999999999996</v>
      </c>
      <c r="L30" s="117">
        <v>0.82199999999999995</v>
      </c>
      <c r="M30" s="117">
        <v>0.81799999999999995</v>
      </c>
    </row>
    <row r="31" spans="1:13" x14ac:dyDescent="0.25">
      <c r="A31" s="99">
        <v>4</v>
      </c>
      <c r="B31" s="117">
        <v>0.81499999999999995</v>
      </c>
      <c r="C31" s="117">
        <v>0.81200000000000006</v>
      </c>
      <c r="D31" s="117">
        <v>0.80900000000000005</v>
      </c>
      <c r="E31" s="117">
        <v>0.80600000000000005</v>
      </c>
      <c r="F31" s="117">
        <v>0.80200000000000005</v>
      </c>
      <c r="G31" s="117">
        <v>0.79900000000000004</v>
      </c>
      <c r="H31" s="117">
        <v>0.79600000000000004</v>
      </c>
      <c r="I31" s="117">
        <v>0.79300000000000004</v>
      </c>
      <c r="J31" s="117">
        <v>0.79</v>
      </c>
      <c r="K31" s="117">
        <v>0.78700000000000003</v>
      </c>
      <c r="L31" s="117">
        <v>0.78400000000000003</v>
      </c>
      <c r="M31" s="117">
        <v>0.78100000000000003</v>
      </c>
    </row>
    <row r="32" spans="1:13" x14ac:dyDescent="0.25">
      <c r="A32" s="99">
        <v>5</v>
      </c>
      <c r="B32" s="117">
        <v>0.77700000000000002</v>
      </c>
      <c r="C32" s="117">
        <v>0.77500000000000002</v>
      </c>
      <c r="D32" s="117">
        <v>0.77200000000000002</v>
      </c>
      <c r="E32" s="117">
        <v>0.76900000000000002</v>
      </c>
      <c r="F32" s="117">
        <v>0.76600000000000001</v>
      </c>
      <c r="G32" s="117">
        <v>0.76300000000000001</v>
      </c>
      <c r="H32" s="117">
        <v>0.76</v>
      </c>
      <c r="I32" s="117">
        <v>0.75700000000000001</v>
      </c>
      <c r="J32" s="117">
        <v>0.754</v>
      </c>
      <c r="K32" s="117">
        <v>0.752</v>
      </c>
      <c r="L32" s="117">
        <v>0.749</v>
      </c>
      <c r="M32" s="117">
        <v>0.746</v>
      </c>
    </row>
    <row r="33" spans="1:13" x14ac:dyDescent="0.25">
      <c r="A33" s="99">
        <v>6</v>
      </c>
      <c r="B33" s="117">
        <v>0.74299999999999999</v>
      </c>
      <c r="C33" s="117">
        <v>0.74</v>
      </c>
      <c r="D33" s="117">
        <v>0.73799999999999999</v>
      </c>
      <c r="E33" s="117">
        <v>0.73499999999999999</v>
      </c>
      <c r="F33" s="117">
        <v>0.73199999999999998</v>
      </c>
      <c r="G33" s="117">
        <v>0.73</v>
      </c>
      <c r="H33" s="117">
        <v>0.72699999999999998</v>
      </c>
      <c r="I33" s="117">
        <v>0.72399999999999998</v>
      </c>
      <c r="J33" s="117">
        <v>0.72099999999999997</v>
      </c>
      <c r="K33" s="117">
        <v>0.71899999999999997</v>
      </c>
      <c r="L33" s="117">
        <v>0.71599999999999997</v>
      </c>
      <c r="M33" s="117">
        <v>0.71299999999999997</v>
      </c>
    </row>
    <row r="34" spans="1:13" x14ac:dyDescent="0.25">
      <c r="A34" s="99">
        <v>7</v>
      </c>
      <c r="B34" s="117">
        <v>0.71099999999999997</v>
      </c>
      <c r="C34" s="117">
        <v>0.70799999999999996</v>
      </c>
      <c r="D34" s="117">
        <v>0.70599999999999996</v>
      </c>
      <c r="E34" s="117">
        <v>0.70299999999999996</v>
      </c>
      <c r="F34" s="117">
        <v>0.70099999999999996</v>
      </c>
      <c r="G34" s="117">
        <v>0.69799999999999995</v>
      </c>
      <c r="H34" s="117">
        <v>0.69599999999999995</v>
      </c>
      <c r="I34" s="117">
        <v>0.69299999999999995</v>
      </c>
      <c r="J34" s="117">
        <v>0.69099999999999995</v>
      </c>
      <c r="K34" s="117">
        <v>0.68799999999999994</v>
      </c>
      <c r="L34" s="117">
        <v>0.68600000000000005</v>
      </c>
      <c r="M34" s="117">
        <v>0.68300000000000005</v>
      </c>
    </row>
    <row r="35" spans="1:13" x14ac:dyDescent="0.25">
      <c r="A35" s="99">
        <v>8</v>
      </c>
      <c r="B35" s="117">
        <v>0.68100000000000005</v>
      </c>
      <c r="C35" s="117">
        <v>0.67900000000000005</v>
      </c>
      <c r="D35" s="117">
        <v>0.67600000000000005</v>
      </c>
      <c r="E35" s="117">
        <v>0.67400000000000004</v>
      </c>
      <c r="F35" s="117">
        <v>0.67200000000000004</v>
      </c>
      <c r="G35" s="117">
        <v>0.66900000000000004</v>
      </c>
      <c r="H35" s="117">
        <v>0.66700000000000004</v>
      </c>
      <c r="I35" s="117">
        <v>0.66500000000000004</v>
      </c>
      <c r="J35" s="117">
        <v>0.66200000000000003</v>
      </c>
      <c r="K35" s="117">
        <v>0.66</v>
      </c>
      <c r="L35" s="117">
        <v>0.65800000000000003</v>
      </c>
      <c r="M35" s="117">
        <v>0.65500000000000003</v>
      </c>
    </row>
    <row r="36" spans="1:13" x14ac:dyDescent="0.25">
      <c r="A36" s="99">
        <v>9</v>
      </c>
      <c r="B36" s="117">
        <v>0.65300000000000002</v>
      </c>
      <c r="C36" s="117">
        <v>0.65100000000000002</v>
      </c>
      <c r="D36" s="117">
        <v>0.64900000000000002</v>
      </c>
      <c r="E36" s="117">
        <v>0.64700000000000002</v>
      </c>
      <c r="F36" s="117">
        <v>0.64400000000000002</v>
      </c>
      <c r="G36" s="117">
        <v>0.64200000000000002</v>
      </c>
      <c r="H36" s="117">
        <v>0.64</v>
      </c>
      <c r="I36" s="117">
        <v>0.63800000000000001</v>
      </c>
      <c r="J36" s="117">
        <v>0.63600000000000001</v>
      </c>
      <c r="K36" s="117">
        <v>0.63400000000000001</v>
      </c>
      <c r="L36" s="117">
        <v>0.63100000000000001</v>
      </c>
      <c r="M36" s="117">
        <v>0.629</v>
      </c>
    </row>
    <row r="37" spans="1:13" x14ac:dyDescent="0.25">
      <c r="A37" s="99">
        <v>10</v>
      </c>
      <c r="B37" s="117">
        <v>0.627</v>
      </c>
      <c r="C37" s="117">
        <v>0.625</v>
      </c>
      <c r="D37" s="117">
        <v>0.623</v>
      </c>
      <c r="E37" s="117">
        <v>0.621</v>
      </c>
      <c r="F37" s="117">
        <v>0.61899999999999999</v>
      </c>
      <c r="G37" s="117">
        <v>0.61699999999999999</v>
      </c>
      <c r="H37" s="117">
        <v>0.61499999999999999</v>
      </c>
      <c r="I37" s="117">
        <v>0.61299999999999999</v>
      </c>
      <c r="J37" s="117">
        <v>0.61099999999999999</v>
      </c>
      <c r="K37" s="117">
        <v>0.60899999999999999</v>
      </c>
      <c r="L37" s="117">
        <v>0.60699999999999998</v>
      </c>
      <c r="M37" s="117">
        <v>0.60499999999999998</v>
      </c>
    </row>
    <row r="38" spans="1:13" x14ac:dyDescent="0.25">
      <c r="A38" s="99">
        <v>11</v>
      </c>
      <c r="B38" s="117">
        <v>0.60299999999999998</v>
      </c>
      <c r="C38" s="117">
        <v>0.60099999999999998</v>
      </c>
      <c r="D38" s="117">
        <v>0.59899999999999998</v>
      </c>
      <c r="E38" s="117">
        <v>0.59699999999999998</v>
      </c>
      <c r="F38" s="117">
        <v>0.59499999999999997</v>
      </c>
      <c r="G38" s="117">
        <v>0.59299999999999997</v>
      </c>
      <c r="H38" s="117">
        <v>0.59099999999999997</v>
      </c>
      <c r="I38" s="117">
        <v>0.59</v>
      </c>
      <c r="J38" s="117">
        <v>0.58799999999999997</v>
      </c>
      <c r="K38" s="117">
        <v>0.58599999999999997</v>
      </c>
      <c r="L38" s="117">
        <v>0.58399999999999996</v>
      </c>
      <c r="M38" s="117">
        <v>0.58199999999999996</v>
      </c>
    </row>
    <row r="39" spans="1:13" x14ac:dyDescent="0.25">
      <c r="A39" s="99">
        <v>12</v>
      </c>
      <c r="B39" s="117">
        <v>0.57999999999999996</v>
      </c>
      <c r="C39" s="117">
        <v>0.57799999999999996</v>
      </c>
      <c r="D39" s="117">
        <v>0.57699999999999996</v>
      </c>
      <c r="E39" s="117">
        <v>0.57499999999999996</v>
      </c>
      <c r="F39" s="117">
        <v>0.57299999999999995</v>
      </c>
      <c r="G39" s="117">
        <v>0.57099999999999995</v>
      </c>
      <c r="H39" s="117">
        <v>0.56899999999999995</v>
      </c>
      <c r="I39" s="117">
        <v>0.56799999999999995</v>
      </c>
      <c r="J39" s="117">
        <v>0.56599999999999995</v>
      </c>
      <c r="K39" s="117">
        <v>0.56399999999999995</v>
      </c>
      <c r="L39" s="117">
        <v>0.56200000000000006</v>
      </c>
      <c r="M39" s="117">
        <v>0.56100000000000005</v>
      </c>
    </row>
    <row r="40" spans="1:13" x14ac:dyDescent="0.25">
      <c r="A40" s="99">
        <v>13</v>
      </c>
      <c r="B40" s="117">
        <v>0.55900000000000005</v>
      </c>
      <c r="C40" s="117"/>
      <c r="D40" s="117"/>
      <c r="E40" s="117"/>
      <c r="F40" s="117"/>
      <c r="G40" s="117"/>
      <c r="H40" s="117"/>
      <c r="I40" s="117"/>
      <c r="J40" s="117"/>
      <c r="K40" s="117"/>
      <c r="L40" s="117"/>
      <c r="M40" s="117"/>
    </row>
    <row r="44" spans="1:13" ht="39.65" customHeight="1" x14ac:dyDescent="0.25"/>
    <row r="46" spans="1:13" ht="27.65" customHeight="1" x14ac:dyDescent="0.25"/>
  </sheetData>
  <sheetProtection algorithmName="SHA-512" hashValue="8syGAUa6a4BEEXeI6D0pncobclbhPCWc8lCTJLyXLAWr4fzTXf58RArESeIwhEh09aMF/sK7yd/YhwI9T6kKjA==" saltValue="czpFyqNgSnQFg1hFgrqsUg==" spinCount="100000" sheet="1" objects="1" scenarios="1"/>
  <conditionalFormatting sqref="A6:A21">
    <cfRule type="expression" dxfId="621" priority="7" stopIfTrue="1">
      <formula>MOD(ROW(),2)=0</formula>
    </cfRule>
    <cfRule type="expression" dxfId="620" priority="8" stopIfTrue="1">
      <formula>MOD(ROW(),2)&lt;&gt;0</formula>
    </cfRule>
  </conditionalFormatting>
  <conditionalFormatting sqref="A26:A40">
    <cfRule type="expression" dxfId="619" priority="1" stopIfTrue="1">
      <formula>MOD(ROW(),2)=0</formula>
    </cfRule>
    <cfRule type="expression" dxfId="618" priority="2" stopIfTrue="1">
      <formula>MOD(ROW(),2)&lt;&gt;0</formula>
    </cfRule>
  </conditionalFormatting>
  <conditionalFormatting sqref="B17:B21">
    <cfRule type="expression" dxfId="617" priority="5" stopIfTrue="1">
      <formula>MOD(ROW(),2)=0</formula>
    </cfRule>
    <cfRule type="expression" dxfId="616" priority="6" stopIfTrue="1">
      <formula>MOD(ROW(),2)&lt;&gt;0</formula>
    </cfRule>
  </conditionalFormatting>
  <conditionalFormatting sqref="B6:M21">
    <cfRule type="expression" dxfId="615" priority="15" stopIfTrue="1">
      <formula>MOD(ROW(),2)=0</formula>
    </cfRule>
    <cfRule type="expression" dxfId="614" priority="16" stopIfTrue="1">
      <formula>MOD(ROW(),2)&lt;&gt;0</formula>
    </cfRule>
  </conditionalFormatting>
  <conditionalFormatting sqref="B26:M40">
    <cfRule type="expression" dxfId="613" priority="3" stopIfTrue="1">
      <formula>MOD(ROW(),2)=0</formula>
    </cfRule>
    <cfRule type="expression" dxfId="612" priority="4" stopIfTrue="1">
      <formula>MOD(ROW(),2)&lt;&gt;0</formula>
    </cfRule>
  </conditionalFormatting>
  <hyperlinks>
    <hyperlink ref="B24" location="Assumptions!A1" display="Assumptions" xr:uid="{9F6630B6-AA04-42AF-97E3-382DB5DBFBC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5"/>
  <dimension ref="A1:M45"/>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LRF - x-421</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74</v>
      </c>
      <c r="C8" s="161"/>
      <c r="D8" s="161"/>
      <c r="E8" s="161"/>
      <c r="F8" s="161"/>
      <c r="G8" s="161"/>
      <c r="H8" s="161"/>
      <c r="I8" s="161"/>
      <c r="J8" s="161"/>
      <c r="K8" s="161"/>
      <c r="L8" s="161"/>
      <c r="M8" s="161"/>
    </row>
    <row r="9" spans="1:13" x14ac:dyDescent="0.25">
      <c r="A9" s="85" t="s">
        <v>282</v>
      </c>
      <c r="B9" s="161" t="s">
        <v>459</v>
      </c>
      <c r="C9" s="161"/>
      <c r="D9" s="161"/>
      <c r="E9" s="161"/>
      <c r="F9" s="161"/>
      <c r="G9" s="161"/>
      <c r="H9" s="161"/>
      <c r="I9" s="161"/>
      <c r="J9" s="161"/>
      <c r="K9" s="161"/>
      <c r="L9" s="161"/>
      <c r="M9" s="161"/>
    </row>
    <row r="10" spans="1:13" x14ac:dyDescent="0.25">
      <c r="A10" s="85" t="s">
        <v>6</v>
      </c>
      <c r="B10" s="161" t="s">
        <v>475</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476</v>
      </c>
      <c r="C12" s="161"/>
      <c r="D12" s="161"/>
      <c r="E12" s="161"/>
      <c r="F12" s="161"/>
      <c r="G12" s="161"/>
      <c r="H12" s="161"/>
      <c r="I12" s="161"/>
      <c r="J12" s="161"/>
      <c r="K12" s="161"/>
      <c r="L12" s="161"/>
      <c r="M12" s="161"/>
    </row>
    <row r="13" spans="1:13" x14ac:dyDescent="0.25">
      <c r="A13" s="85" t="s">
        <v>289</v>
      </c>
      <c r="B13" s="161">
        <v>0</v>
      </c>
      <c r="C13" s="161"/>
      <c r="D13" s="161"/>
      <c r="E13" s="161"/>
      <c r="F13" s="161"/>
      <c r="G13" s="161"/>
      <c r="H13" s="161"/>
      <c r="I13" s="161"/>
      <c r="J13" s="161"/>
      <c r="K13" s="161"/>
      <c r="L13" s="161"/>
      <c r="M13" s="161"/>
    </row>
    <row r="14" spans="1:13" x14ac:dyDescent="0.25">
      <c r="A14" s="85" t="s">
        <v>291</v>
      </c>
      <c r="B14" s="161">
        <v>421</v>
      </c>
      <c r="C14" s="161"/>
      <c r="D14" s="161"/>
      <c r="E14" s="161"/>
      <c r="F14" s="161"/>
      <c r="G14" s="161"/>
      <c r="H14" s="161"/>
      <c r="I14" s="161"/>
      <c r="J14" s="161"/>
      <c r="K14" s="161"/>
      <c r="L14" s="161"/>
      <c r="M14" s="161"/>
    </row>
    <row r="15" spans="1:13" x14ac:dyDescent="0.25">
      <c r="A15" s="85" t="s">
        <v>293</v>
      </c>
      <c r="B15" s="161" t="s">
        <v>477</v>
      </c>
      <c r="C15" s="161"/>
      <c r="D15" s="161"/>
      <c r="E15" s="161"/>
      <c r="F15" s="161"/>
      <c r="G15" s="161"/>
      <c r="H15" s="161"/>
      <c r="I15" s="161"/>
      <c r="J15" s="161"/>
      <c r="K15" s="161"/>
      <c r="L15" s="161"/>
      <c r="M15" s="161"/>
    </row>
    <row r="16" spans="1:13" x14ac:dyDescent="0.25">
      <c r="A16" s="85" t="s">
        <v>295</v>
      </c>
      <c r="B16" s="161" t="s">
        <v>462</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45107</v>
      </c>
      <c r="C18" s="161"/>
      <c r="D18" s="161"/>
      <c r="E18" s="161"/>
      <c r="F18" s="161"/>
      <c r="G18" s="161"/>
      <c r="H18" s="161"/>
      <c r="I18" s="161"/>
      <c r="J18" s="161"/>
      <c r="K18" s="161"/>
      <c r="L18" s="161"/>
      <c r="M18" s="161"/>
    </row>
    <row r="19" spans="1:13" x14ac:dyDescent="0.25">
      <c r="A19" s="85" t="s">
        <v>301</v>
      </c>
      <c r="B19" s="162">
        <v>45107</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766</v>
      </c>
      <c r="B26" s="98">
        <v>0</v>
      </c>
      <c r="C26" s="98">
        <v>1</v>
      </c>
      <c r="D26" s="98">
        <v>2</v>
      </c>
      <c r="E26" s="98">
        <v>3</v>
      </c>
      <c r="F26" s="98">
        <v>4</v>
      </c>
      <c r="G26" s="98">
        <v>5</v>
      </c>
      <c r="H26" s="98">
        <v>6</v>
      </c>
      <c r="I26" s="98">
        <v>7</v>
      </c>
      <c r="J26" s="98">
        <v>8</v>
      </c>
      <c r="K26" s="98">
        <v>9</v>
      </c>
      <c r="L26" s="98">
        <v>10</v>
      </c>
      <c r="M26" s="98">
        <v>11</v>
      </c>
    </row>
    <row r="27" spans="1:13" x14ac:dyDescent="0.25">
      <c r="A27" s="99">
        <v>0</v>
      </c>
      <c r="B27" s="117">
        <v>1</v>
      </c>
      <c r="C27" s="117">
        <v>1.0029999999999999</v>
      </c>
      <c r="D27" s="117">
        <v>1.0069999999999999</v>
      </c>
      <c r="E27" s="117">
        <v>1.01</v>
      </c>
      <c r="F27" s="117">
        <v>1.014</v>
      </c>
      <c r="G27" s="117">
        <v>1.0169999999999999</v>
      </c>
      <c r="H27" s="117">
        <v>1.02</v>
      </c>
      <c r="I27" s="117">
        <v>1.024</v>
      </c>
      <c r="J27" s="117">
        <v>1.0269999999999999</v>
      </c>
      <c r="K27" s="117">
        <v>1.0309999999999999</v>
      </c>
      <c r="L27" s="117">
        <v>1.034</v>
      </c>
      <c r="M27" s="117">
        <v>1.0369999999999999</v>
      </c>
    </row>
    <row r="28" spans="1:13" x14ac:dyDescent="0.25">
      <c r="A28" s="99">
        <v>1</v>
      </c>
      <c r="B28" s="117">
        <v>1.0409999999999999</v>
      </c>
      <c r="C28" s="117">
        <v>1.044</v>
      </c>
      <c r="D28" s="117">
        <v>1.048</v>
      </c>
      <c r="E28" s="117">
        <v>1.052</v>
      </c>
      <c r="F28" s="117">
        <v>1.056</v>
      </c>
      <c r="G28" s="117">
        <v>1.0589999999999999</v>
      </c>
      <c r="H28" s="117">
        <v>1.0629999999999999</v>
      </c>
      <c r="I28" s="117">
        <v>1.0669999999999999</v>
      </c>
      <c r="J28" s="117">
        <v>1.07</v>
      </c>
      <c r="K28" s="117">
        <v>1.0740000000000001</v>
      </c>
      <c r="L28" s="117">
        <v>1.0780000000000001</v>
      </c>
      <c r="M28" s="117">
        <v>1.081</v>
      </c>
    </row>
    <row r="29" spans="1:13" x14ac:dyDescent="0.25">
      <c r="A29" s="99">
        <v>2</v>
      </c>
      <c r="B29" s="117">
        <v>1.085</v>
      </c>
      <c r="C29" s="117">
        <v>1.089</v>
      </c>
      <c r="D29" s="117">
        <v>1.093</v>
      </c>
      <c r="E29" s="117">
        <v>1.097</v>
      </c>
      <c r="F29" s="117">
        <v>1.101</v>
      </c>
      <c r="G29" s="117">
        <v>1.1060000000000001</v>
      </c>
      <c r="H29" s="117">
        <v>1.1100000000000001</v>
      </c>
      <c r="I29" s="117">
        <v>1.1140000000000001</v>
      </c>
      <c r="J29" s="117">
        <v>1.1180000000000001</v>
      </c>
      <c r="K29" s="117">
        <v>1.1220000000000001</v>
      </c>
      <c r="L29" s="117">
        <v>1.1259999999999999</v>
      </c>
      <c r="M29" s="117">
        <v>1.1299999999999999</v>
      </c>
    </row>
    <row r="30" spans="1:13" x14ac:dyDescent="0.25">
      <c r="A30" s="99">
        <v>3</v>
      </c>
      <c r="B30" s="117">
        <v>1.1339999999999999</v>
      </c>
      <c r="C30" s="117">
        <v>1.139</v>
      </c>
      <c r="D30" s="117">
        <v>1.143</v>
      </c>
      <c r="E30" s="117">
        <v>1.1479999999999999</v>
      </c>
      <c r="F30" s="117">
        <v>1.1519999999999999</v>
      </c>
      <c r="G30" s="117">
        <v>1.1559999999999999</v>
      </c>
      <c r="H30" s="117">
        <v>1.161</v>
      </c>
      <c r="I30" s="117">
        <v>1.165</v>
      </c>
      <c r="J30" s="117">
        <v>1.17</v>
      </c>
      <c r="K30" s="117">
        <v>1.1739999999999999</v>
      </c>
      <c r="L30" s="117">
        <v>1.179</v>
      </c>
      <c r="M30" s="117">
        <v>1.1830000000000001</v>
      </c>
    </row>
    <row r="31" spans="1:13" x14ac:dyDescent="0.25">
      <c r="A31" s="99">
        <v>4</v>
      </c>
      <c r="B31" s="117">
        <v>1.1879999999999999</v>
      </c>
      <c r="C31" s="117">
        <v>1.1930000000000001</v>
      </c>
      <c r="D31" s="117">
        <v>1.198</v>
      </c>
      <c r="E31" s="117">
        <v>1.2030000000000001</v>
      </c>
      <c r="F31" s="117">
        <v>1.208</v>
      </c>
      <c r="G31" s="117">
        <v>1.2130000000000001</v>
      </c>
      <c r="H31" s="117">
        <v>1.2170000000000001</v>
      </c>
      <c r="I31" s="117">
        <v>1.222</v>
      </c>
      <c r="J31" s="117">
        <v>1.2270000000000001</v>
      </c>
      <c r="K31" s="117">
        <v>1.232</v>
      </c>
      <c r="L31" s="117">
        <v>1.2370000000000001</v>
      </c>
      <c r="M31" s="117">
        <v>1.242</v>
      </c>
    </row>
    <row r="32" spans="1:13" x14ac:dyDescent="0.25">
      <c r="A32" s="99">
        <v>5</v>
      </c>
      <c r="B32" s="117">
        <v>1.2470000000000001</v>
      </c>
      <c r="C32" s="117">
        <v>1.2529999999999999</v>
      </c>
      <c r="D32" s="117">
        <v>1.258</v>
      </c>
      <c r="E32" s="117">
        <v>1.2629999999999999</v>
      </c>
      <c r="F32" s="117">
        <v>1.2689999999999999</v>
      </c>
      <c r="G32" s="117">
        <v>1.274</v>
      </c>
      <c r="H32" s="117">
        <v>1.28</v>
      </c>
      <c r="I32" s="117">
        <v>1.2849999999999999</v>
      </c>
      <c r="J32" s="117">
        <v>1.2909999999999999</v>
      </c>
      <c r="K32" s="117">
        <v>1.296</v>
      </c>
      <c r="L32" s="117">
        <v>1.302</v>
      </c>
      <c r="M32" s="117">
        <v>1.3069999999999999</v>
      </c>
    </row>
    <row r="33" spans="1:13" x14ac:dyDescent="0.25">
      <c r="A33" s="99">
        <v>6</v>
      </c>
      <c r="B33" s="117">
        <v>1.3129999999999999</v>
      </c>
      <c r="C33" s="117">
        <v>1.3180000000000001</v>
      </c>
      <c r="D33" s="117">
        <v>1.3240000000000001</v>
      </c>
      <c r="E33" s="117">
        <v>1.33</v>
      </c>
      <c r="F33" s="117">
        <v>1.3360000000000001</v>
      </c>
      <c r="G33" s="117">
        <v>1.3420000000000001</v>
      </c>
      <c r="H33" s="117">
        <v>1.3480000000000001</v>
      </c>
      <c r="I33" s="117">
        <v>1.3540000000000001</v>
      </c>
      <c r="J33" s="117">
        <v>1.36</v>
      </c>
      <c r="K33" s="117">
        <v>1.3660000000000001</v>
      </c>
      <c r="L33" s="117">
        <v>1.3720000000000001</v>
      </c>
      <c r="M33" s="117">
        <v>1.3779999999999999</v>
      </c>
    </row>
    <row r="34" spans="1:13" x14ac:dyDescent="0.25">
      <c r="A34" s="99">
        <v>7</v>
      </c>
      <c r="B34" s="117">
        <v>1.3839999999999999</v>
      </c>
      <c r="C34" s="117">
        <v>1.391</v>
      </c>
      <c r="D34" s="117">
        <v>1.397</v>
      </c>
      <c r="E34" s="117">
        <v>1.4039999999999999</v>
      </c>
      <c r="F34" s="117">
        <v>1.411</v>
      </c>
      <c r="G34" s="117">
        <v>1.417</v>
      </c>
      <c r="H34" s="117">
        <v>1.4239999999999999</v>
      </c>
      <c r="I34" s="117">
        <v>1.43</v>
      </c>
      <c r="J34" s="117">
        <v>1.4370000000000001</v>
      </c>
      <c r="K34" s="117">
        <v>1.444</v>
      </c>
      <c r="L34" s="117">
        <v>1.45</v>
      </c>
      <c r="M34" s="117">
        <v>1.4570000000000001</v>
      </c>
    </row>
    <row r="35" spans="1:13" x14ac:dyDescent="0.25">
      <c r="A35" s="99">
        <v>8</v>
      </c>
      <c r="B35" s="117">
        <v>1.4630000000000001</v>
      </c>
      <c r="C35" s="117">
        <v>1.4710000000000001</v>
      </c>
      <c r="D35" s="117">
        <v>1.478</v>
      </c>
      <c r="E35" s="117">
        <v>1.4850000000000001</v>
      </c>
      <c r="F35" s="117">
        <v>1.492</v>
      </c>
      <c r="G35" s="117">
        <v>1.5</v>
      </c>
      <c r="H35" s="117">
        <v>1.5069999999999999</v>
      </c>
      <c r="I35" s="117">
        <v>1.514</v>
      </c>
      <c r="J35" s="117">
        <v>1.5209999999999999</v>
      </c>
      <c r="K35" s="117">
        <v>1.5289999999999999</v>
      </c>
      <c r="L35" s="117">
        <v>1.536</v>
      </c>
      <c r="M35" s="117">
        <v>1.5429999999999999</v>
      </c>
    </row>
    <row r="36" spans="1:13" x14ac:dyDescent="0.25">
      <c r="A36" s="99">
        <v>9</v>
      </c>
      <c r="B36" s="117">
        <v>1.55</v>
      </c>
      <c r="C36" s="117">
        <v>1.5580000000000001</v>
      </c>
      <c r="D36" s="117">
        <v>1.5660000000000001</v>
      </c>
      <c r="E36" s="117">
        <v>1.5740000000000001</v>
      </c>
      <c r="F36" s="117">
        <v>1.5820000000000001</v>
      </c>
      <c r="G36" s="117">
        <v>1.59</v>
      </c>
      <c r="H36" s="117">
        <v>1.5980000000000001</v>
      </c>
      <c r="I36" s="117">
        <v>1.6060000000000001</v>
      </c>
      <c r="J36" s="117">
        <v>1.6140000000000001</v>
      </c>
      <c r="K36" s="117">
        <v>1.6220000000000001</v>
      </c>
      <c r="L36" s="117">
        <v>1.63</v>
      </c>
      <c r="M36" s="117">
        <v>1.6379999999999999</v>
      </c>
    </row>
    <row r="37" spans="1:13" x14ac:dyDescent="0.25">
      <c r="A37" s="99">
        <v>10</v>
      </c>
      <c r="B37" s="117">
        <v>1.6459999999999999</v>
      </c>
      <c r="C37" s="117"/>
      <c r="D37" s="117"/>
      <c r="E37" s="117"/>
      <c r="F37" s="117"/>
      <c r="G37" s="117"/>
      <c r="H37" s="117"/>
      <c r="I37" s="117"/>
      <c r="J37" s="117"/>
      <c r="K37" s="117"/>
      <c r="L37" s="117"/>
      <c r="M37" s="117"/>
    </row>
    <row r="43" spans="1:13" ht="39.65" customHeight="1" x14ac:dyDescent="0.25"/>
    <row r="45" spans="1:13" ht="27.65" customHeight="1" x14ac:dyDescent="0.25"/>
  </sheetData>
  <sheetProtection algorithmName="SHA-512" hashValue="AeN6rfM3ReVqtYTy6VNX8OAVDnZwBCsDmw9orpK7L5ETCvOa+FdZXtPA56L1rNG+ItOiz2r80IRBRiuXfSPh5Q==" saltValue="wWYrvokZxYFJAjqImOYTew==" spinCount="100000" sheet="1" objects="1" scenarios="1"/>
  <conditionalFormatting sqref="A6:A21">
    <cfRule type="expression" dxfId="611" priority="9" stopIfTrue="1">
      <formula>MOD(ROW(),2)=0</formula>
    </cfRule>
    <cfRule type="expression" dxfId="610" priority="10" stopIfTrue="1">
      <formula>MOD(ROW(),2)&lt;&gt;0</formula>
    </cfRule>
  </conditionalFormatting>
  <conditionalFormatting sqref="A26:A37">
    <cfRule type="expression" dxfId="609" priority="1" stopIfTrue="1">
      <formula>MOD(ROW(),2)=0</formula>
    </cfRule>
    <cfRule type="expression" dxfId="608" priority="2" stopIfTrue="1">
      <formula>MOD(ROW(),2)&lt;&gt;0</formula>
    </cfRule>
  </conditionalFormatting>
  <conditionalFormatting sqref="B17:B21">
    <cfRule type="expression" dxfId="607" priority="11" stopIfTrue="1">
      <formula>MOD(ROW(),2)=0</formula>
    </cfRule>
    <cfRule type="expression" dxfId="606" priority="12" stopIfTrue="1">
      <formula>MOD(ROW(),2)&lt;&gt;0</formula>
    </cfRule>
  </conditionalFormatting>
  <conditionalFormatting sqref="B6:M21">
    <cfRule type="expression" dxfId="605" priority="19" stopIfTrue="1">
      <formula>MOD(ROW(),2)=0</formula>
    </cfRule>
    <cfRule type="expression" dxfId="604" priority="20" stopIfTrue="1">
      <formula>MOD(ROW(),2)&lt;&gt;0</formula>
    </cfRule>
  </conditionalFormatting>
  <conditionalFormatting sqref="B26:M37">
    <cfRule type="expression" dxfId="603" priority="3" stopIfTrue="1">
      <formula>MOD(ROW(),2)=0</formula>
    </cfRule>
    <cfRule type="expression" dxfId="602" priority="4" stopIfTrue="1">
      <formula>MOD(ROW(),2)&lt;&gt;0</formula>
    </cfRule>
  </conditionalFormatting>
  <hyperlinks>
    <hyperlink ref="B24" location="Assumptions!A1" display="Assumptions" xr:uid="{949FF03C-8300-4375-B070-15682C531D2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6"/>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LRF - x-422</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74</v>
      </c>
      <c r="C8" s="161"/>
      <c r="D8" s="161"/>
      <c r="E8" s="161"/>
      <c r="F8" s="161"/>
      <c r="G8" s="161"/>
      <c r="H8" s="161"/>
      <c r="I8" s="161"/>
      <c r="J8" s="161"/>
      <c r="K8" s="161"/>
      <c r="L8" s="161"/>
      <c r="M8" s="161"/>
    </row>
    <row r="9" spans="1:13" x14ac:dyDescent="0.25">
      <c r="A9" s="85" t="s">
        <v>282</v>
      </c>
      <c r="B9" s="161" t="s">
        <v>459</v>
      </c>
      <c r="C9" s="161"/>
      <c r="D9" s="161"/>
      <c r="E9" s="161"/>
      <c r="F9" s="161"/>
      <c r="G9" s="161"/>
      <c r="H9" s="161"/>
      <c r="I9" s="161"/>
      <c r="J9" s="161"/>
      <c r="K9" s="161"/>
      <c r="L9" s="161"/>
      <c r="M9" s="161"/>
    </row>
    <row r="10" spans="1:13" x14ac:dyDescent="0.25">
      <c r="A10" s="85" t="s">
        <v>6</v>
      </c>
      <c r="B10" s="161" t="s">
        <v>478</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476</v>
      </c>
      <c r="C12" s="161"/>
      <c r="D12" s="161"/>
      <c r="E12" s="161"/>
      <c r="F12" s="161"/>
      <c r="G12" s="161"/>
      <c r="H12" s="161"/>
      <c r="I12" s="161"/>
      <c r="J12" s="161"/>
      <c r="K12" s="161"/>
      <c r="L12" s="161"/>
      <c r="M12" s="161"/>
    </row>
    <row r="13" spans="1:13" x14ac:dyDescent="0.25">
      <c r="A13" s="85" t="s">
        <v>289</v>
      </c>
      <c r="B13" s="161">
        <v>0</v>
      </c>
      <c r="C13" s="161"/>
      <c r="D13" s="161"/>
      <c r="E13" s="161"/>
      <c r="F13" s="161"/>
      <c r="G13" s="161"/>
      <c r="H13" s="161"/>
      <c r="I13" s="161"/>
      <c r="J13" s="161"/>
      <c r="K13" s="161"/>
      <c r="L13" s="161"/>
      <c r="M13" s="161"/>
    </row>
    <row r="14" spans="1:13" x14ac:dyDescent="0.25">
      <c r="A14" s="85" t="s">
        <v>291</v>
      </c>
      <c r="B14" s="161">
        <v>422</v>
      </c>
      <c r="C14" s="161"/>
      <c r="D14" s="161"/>
      <c r="E14" s="161"/>
      <c r="F14" s="161"/>
      <c r="G14" s="161"/>
      <c r="H14" s="161"/>
      <c r="I14" s="161"/>
      <c r="J14" s="161"/>
      <c r="K14" s="161"/>
      <c r="L14" s="161"/>
      <c r="M14" s="161"/>
    </row>
    <row r="15" spans="1:13" x14ac:dyDescent="0.25">
      <c r="A15" s="85" t="s">
        <v>293</v>
      </c>
      <c r="B15" s="161" t="s">
        <v>479</v>
      </c>
      <c r="C15" s="161"/>
      <c r="D15" s="161"/>
      <c r="E15" s="161"/>
      <c r="F15" s="161"/>
      <c r="G15" s="161"/>
      <c r="H15" s="161"/>
      <c r="I15" s="161"/>
      <c r="J15" s="161"/>
      <c r="K15" s="161"/>
      <c r="L15" s="161"/>
      <c r="M15" s="161"/>
    </row>
    <row r="16" spans="1:13" x14ac:dyDescent="0.25">
      <c r="A16" s="85" t="s">
        <v>295</v>
      </c>
      <c r="B16" s="161" t="s">
        <v>465</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45107</v>
      </c>
      <c r="C18" s="161"/>
      <c r="D18" s="161"/>
      <c r="E18" s="161"/>
      <c r="F18" s="161"/>
      <c r="G18" s="161"/>
      <c r="H18" s="161"/>
      <c r="I18" s="161"/>
      <c r="J18" s="161"/>
      <c r="K18" s="161"/>
      <c r="L18" s="161"/>
      <c r="M18" s="161"/>
    </row>
    <row r="19" spans="1:13" x14ac:dyDescent="0.25">
      <c r="A19" s="85" t="s">
        <v>301</v>
      </c>
      <c r="B19" s="162">
        <v>45107</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766</v>
      </c>
      <c r="B26" s="98">
        <v>0</v>
      </c>
      <c r="C26" s="98">
        <v>1</v>
      </c>
      <c r="D26" s="98">
        <v>2</v>
      </c>
      <c r="E26" s="98">
        <v>3</v>
      </c>
      <c r="F26" s="98">
        <v>4</v>
      </c>
      <c r="G26" s="98">
        <v>5</v>
      </c>
      <c r="H26" s="98">
        <v>6</v>
      </c>
      <c r="I26" s="98">
        <v>7</v>
      </c>
      <c r="J26" s="98">
        <v>8</v>
      </c>
      <c r="K26" s="98">
        <v>9</v>
      </c>
      <c r="L26" s="98">
        <v>10</v>
      </c>
      <c r="M26" s="98">
        <v>11</v>
      </c>
    </row>
    <row r="27" spans="1:13" x14ac:dyDescent="0.25">
      <c r="A27" s="99">
        <v>0</v>
      </c>
      <c r="B27" s="117">
        <v>1</v>
      </c>
      <c r="C27" s="117">
        <v>1.0049999999999999</v>
      </c>
      <c r="D27" s="117">
        <v>1.0089999999999999</v>
      </c>
      <c r="E27" s="117">
        <v>1.014</v>
      </c>
      <c r="F27" s="117">
        <v>1.0189999999999999</v>
      </c>
      <c r="G27" s="117">
        <v>1.0229999999999999</v>
      </c>
      <c r="H27" s="117">
        <v>1.028</v>
      </c>
      <c r="I27" s="117">
        <v>1.0329999999999999</v>
      </c>
      <c r="J27" s="117">
        <v>1.0369999999999999</v>
      </c>
      <c r="K27" s="117">
        <v>1.042</v>
      </c>
      <c r="L27" s="117">
        <v>1.0469999999999999</v>
      </c>
      <c r="M27" s="117">
        <v>1.0509999999999999</v>
      </c>
    </row>
    <row r="28" spans="1:13" x14ac:dyDescent="0.25">
      <c r="A28" s="99">
        <v>1</v>
      </c>
      <c r="B28" s="117">
        <v>1.056</v>
      </c>
      <c r="C28" s="117">
        <v>1.0609999999999999</v>
      </c>
      <c r="D28" s="117">
        <v>1.0660000000000001</v>
      </c>
      <c r="E28" s="117">
        <v>1.071</v>
      </c>
      <c r="F28" s="117">
        <v>1.0760000000000001</v>
      </c>
      <c r="G28" s="117">
        <v>1.0820000000000001</v>
      </c>
      <c r="H28" s="117">
        <v>1.087</v>
      </c>
      <c r="I28" s="117">
        <v>1.0920000000000001</v>
      </c>
      <c r="J28" s="117">
        <v>1.097</v>
      </c>
      <c r="K28" s="117">
        <v>1.1020000000000001</v>
      </c>
      <c r="L28" s="117">
        <v>1.107</v>
      </c>
      <c r="M28" s="117">
        <v>1.1120000000000001</v>
      </c>
    </row>
    <row r="29" spans="1:13" x14ac:dyDescent="0.25">
      <c r="A29" s="99">
        <v>2</v>
      </c>
      <c r="B29" s="117">
        <v>1.117</v>
      </c>
      <c r="C29" s="117">
        <v>1.123</v>
      </c>
      <c r="D29" s="117">
        <v>1.129</v>
      </c>
      <c r="E29" s="117">
        <v>1.1339999999999999</v>
      </c>
      <c r="F29" s="117">
        <v>1.1399999999999999</v>
      </c>
      <c r="G29" s="117">
        <v>1.145</v>
      </c>
      <c r="H29" s="117">
        <v>1.151</v>
      </c>
      <c r="I29" s="117">
        <v>1.157</v>
      </c>
      <c r="J29" s="117">
        <v>1.1619999999999999</v>
      </c>
      <c r="K29" s="117">
        <v>1.1679999999999999</v>
      </c>
      <c r="L29" s="117">
        <v>1.1739999999999999</v>
      </c>
      <c r="M29" s="117">
        <v>1.179</v>
      </c>
    </row>
    <row r="30" spans="1:13" x14ac:dyDescent="0.25">
      <c r="A30" s="99">
        <v>3</v>
      </c>
      <c r="B30" s="117">
        <v>1.1850000000000001</v>
      </c>
      <c r="C30" s="117">
        <v>1.1910000000000001</v>
      </c>
      <c r="D30" s="117">
        <v>1.1970000000000001</v>
      </c>
      <c r="E30" s="117">
        <v>1.2030000000000001</v>
      </c>
      <c r="F30" s="117">
        <v>1.21</v>
      </c>
      <c r="G30" s="117">
        <v>1.216</v>
      </c>
      <c r="H30" s="117">
        <v>1.222</v>
      </c>
      <c r="I30" s="117">
        <v>1.228</v>
      </c>
      <c r="J30" s="117">
        <v>1.234</v>
      </c>
      <c r="K30" s="117">
        <v>1.2410000000000001</v>
      </c>
      <c r="L30" s="117">
        <v>1.2470000000000001</v>
      </c>
      <c r="M30" s="117">
        <v>1.2529999999999999</v>
      </c>
    </row>
    <row r="31" spans="1:13" x14ac:dyDescent="0.25">
      <c r="A31" s="99">
        <v>4</v>
      </c>
      <c r="B31" s="117">
        <v>1.2589999999999999</v>
      </c>
      <c r="C31" s="117">
        <v>1.266</v>
      </c>
      <c r="D31" s="117">
        <v>1.2729999999999999</v>
      </c>
      <c r="E31" s="117">
        <v>1.28</v>
      </c>
      <c r="F31" s="117">
        <v>1.2869999999999999</v>
      </c>
      <c r="G31" s="117">
        <v>1.294</v>
      </c>
      <c r="H31" s="117">
        <v>1.3</v>
      </c>
      <c r="I31" s="117">
        <v>1.3069999999999999</v>
      </c>
      <c r="J31" s="117">
        <v>1.3140000000000001</v>
      </c>
      <c r="K31" s="117">
        <v>1.321</v>
      </c>
      <c r="L31" s="117">
        <v>1.3280000000000001</v>
      </c>
      <c r="M31" s="117">
        <v>1.335</v>
      </c>
    </row>
    <row r="32" spans="1:13" x14ac:dyDescent="0.25">
      <c r="A32" s="99">
        <v>5</v>
      </c>
      <c r="B32" s="117">
        <v>1.3420000000000001</v>
      </c>
      <c r="C32" s="117">
        <v>1.349</v>
      </c>
      <c r="D32" s="117">
        <v>1.357</v>
      </c>
      <c r="E32" s="117">
        <v>1.3640000000000001</v>
      </c>
      <c r="F32" s="117">
        <v>1.3720000000000001</v>
      </c>
      <c r="G32" s="117">
        <v>1.38</v>
      </c>
      <c r="H32" s="117">
        <v>1.387</v>
      </c>
      <c r="I32" s="117">
        <v>1.395</v>
      </c>
      <c r="J32" s="117">
        <v>1.4019999999999999</v>
      </c>
      <c r="K32" s="117">
        <v>1.41</v>
      </c>
      <c r="L32" s="117">
        <v>1.417</v>
      </c>
      <c r="M32" s="117">
        <v>1.425</v>
      </c>
    </row>
    <row r="33" spans="1:13" x14ac:dyDescent="0.25">
      <c r="A33" s="99">
        <v>6</v>
      </c>
      <c r="B33" s="117">
        <v>1.4330000000000001</v>
      </c>
      <c r="C33" s="117">
        <v>1.4410000000000001</v>
      </c>
      <c r="D33" s="117">
        <v>1.4490000000000001</v>
      </c>
      <c r="E33" s="117">
        <v>1.458</v>
      </c>
      <c r="F33" s="117">
        <v>1.466</v>
      </c>
      <c r="G33" s="117">
        <v>1.4750000000000001</v>
      </c>
      <c r="H33" s="117">
        <v>1.4830000000000001</v>
      </c>
      <c r="I33" s="117">
        <v>1.4910000000000001</v>
      </c>
      <c r="J33" s="117">
        <v>1.5</v>
      </c>
      <c r="K33" s="117">
        <v>1.508</v>
      </c>
      <c r="L33" s="117">
        <v>1.516</v>
      </c>
      <c r="M33" s="117">
        <v>1.5249999999999999</v>
      </c>
    </row>
    <row r="34" spans="1:13" x14ac:dyDescent="0.25">
      <c r="A34" s="99">
        <v>7</v>
      </c>
      <c r="B34" s="117">
        <v>1.5329999999999999</v>
      </c>
      <c r="C34" s="117">
        <v>1.5429999999999999</v>
      </c>
      <c r="D34" s="117">
        <v>1.552</v>
      </c>
      <c r="E34" s="117">
        <v>1.5609999999999999</v>
      </c>
      <c r="F34" s="117">
        <v>1.57</v>
      </c>
      <c r="G34" s="117">
        <v>1.58</v>
      </c>
      <c r="H34" s="117">
        <v>1.589</v>
      </c>
      <c r="I34" s="117">
        <v>1.5980000000000001</v>
      </c>
      <c r="J34" s="117">
        <v>1.6080000000000001</v>
      </c>
      <c r="K34" s="117">
        <v>1.617</v>
      </c>
      <c r="L34" s="117">
        <v>1.6259999999999999</v>
      </c>
      <c r="M34" s="117">
        <v>1.635</v>
      </c>
    </row>
    <row r="35" spans="1:13" x14ac:dyDescent="0.25">
      <c r="A35" s="99">
        <v>8</v>
      </c>
      <c r="B35" s="117">
        <v>1.645</v>
      </c>
      <c r="C35" s="117">
        <v>1.655</v>
      </c>
      <c r="D35" s="117">
        <v>1.665</v>
      </c>
      <c r="E35" s="117">
        <v>1.675</v>
      </c>
      <c r="F35" s="117">
        <v>1.6859999999999999</v>
      </c>
      <c r="G35" s="117">
        <v>1.696</v>
      </c>
      <c r="H35" s="117">
        <v>1.706</v>
      </c>
      <c r="I35" s="117">
        <v>1.7170000000000001</v>
      </c>
      <c r="J35" s="117">
        <v>1.7270000000000001</v>
      </c>
      <c r="K35" s="117">
        <v>1.7370000000000001</v>
      </c>
      <c r="L35" s="117">
        <v>1.748</v>
      </c>
      <c r="M35" s="117">
        <v>1.758</v>
      </c>
    </row>
    <row r="36" spans="1:13" x14ac:dyDescent="0.25">
      <c r="A36" s="99">
        <v>9</v>
      </c>
      <c r="B36" s="117">
        <v>1.768</v>
      </c>
      <c r="C36" s="117">
        <v>1.78</v>
      </c>
      <c r="D36" s="117">
        <v>1.7909999999999999</v>
      </c>
      <c r="E36" s="117">
        <v>1.802</v>
      </c>
      <c r="F36" s="117">
        <v>1.8140000000000001</v>
      </c>
      <c r="G36" s="117">
        <v>1.825</v>
      </c>
      <c r="H36" s="117">
        <v>1.837</v>
      </c>
      <c r="I36" s="117">
        <v>1.8480000000000001</v>
      </c>
      <c r="J36" s="117">
        <v>1.86</v>
      </c>
      <c r="K36" s="117">
        <v>1.871</v>
      </c>
      <c r="L36" s="117">
        <v>1.8819999999999999</v>
      </c>
      <c r="M36" s="117">
        <v>1.8939999999999999</v>
      </c>
    </row>
    <row r="37" spans="1:13" x14ac:dyDescent="0.25">
      <c r="A37" s="99">
        <v>10</v>
      </c>
      <c r="B37" s="117">
        <v>1.905</v>
      </c>
      <c r="C37" s="117"/>
      <c r="D37" s="117"/>
      <c r="E37" s="117"/>
      <c r="F37" s="117"/>
      <c r="G37" s="117"/>
      <c r="H37" s="117"/>
      <c r="I37" s="117"/>
      <c r="J37" s="117"/>
      <c r="K37" s="117"/>
      <c r="L37" s="117"/>
      <c r="M37" s="117"/>
    </row>
    <row r="44" spans="1:13" ht="39.65" customHeight="1" x14ac:dyDescent="0.25"/>
    <row r="46" spans="1:13" ht="27.65" customHeight="1" x14ac:dyDescent="0.25"/>
  </sheetData>
  <sheetProtection algorithmName="SHA-512" hashValue="Fi6MX/2LmOEItLptXZOUt2a54cY0QnF9r20/1ElRw26nlvWS9er9B7ISpjD0Iv7rhZ8hl8FIz9FjYpYOWysajw==" saltValue="j6Nl0t7xs8U3bUI5CDGkoA==" spinCount="100000" sheet="1" objects="1" scenarios="1"/>
  <conditionalFormatting sqref="A6:A21">
    <cfRule type="expression" dxfId="601" priority="7" stopIfTrue="1">
      <formula>MOD(ROW(),2)=0</formula>
    </cfRule>
    <cfRule type="expression" dxfId="600" priority="8" stopIfTrue="1">
      <formula>MOD(ROW(),2)&lt;&gt;0</formula>
    </cfRule>
  </conditionalFormatting>
  <conditionalFormatting sqref="A26:A37">
    <cfRule type="expression" dxfId="599" priority="1" stopIfTrue="1">
      <formula>MOD(ROW(),2)=0</formula>
    </cfRule>
    <cfRule type="expression" dxfId="598" priority="2" stopIfTrue="1">
      <formula>MOD(ROW(),2)&lt;&gt;0</formula>
    </cfRule>
  </conditionalFormatting>
  <conditionalFormatting sqref="B17:B21">
    <cfRule type="expression" dxfId="597" priority="5" stopIfTrue="1">
      <formula>MOD(ROW(),2)=0</formula>
    </cfRule>
    <cfRule type="expression" dxfId="596" priority="6" stopIfTrue="1">
      <formula>MOD(ROW(),2)&lt;&gt;0</formula>
    </cfRule>
  </conditionalFormatting>
  <conditionalFormatting sqref="B6:M21">
    <cfRule type="expression" dxfId="595" priority="15" stopIfTrue="1">
      <formula>MOD(ROW(),2)=0</formula>
    </cfRule>
    <cfRule type="expression" dxfId="594" priority="16" stopIfTrue="1">
      <formula>MOD(ROW(),2)&lt;&gt;0</formula>
    </cfRule>
  </conditionalFormatting>
  <conditionalFormatting sqref="B26:M37">
    <cfRule type="expression" dxfId="593" priority="3" stopIfTrue="1">
      <formula>MOD(ROW(),2)=0</formula>
    </cfRule>
    <cfRule type="expression" dxfId="592" priority="4" stopIfTrue="1">
      <formula>MOD(ROW(),2)&lt;&gt;0</formula>
    </cfRule>
  </conditionalFormatting>
  <hyperlinks>
    <hyperlink ref="B24" location="Assumptions!A1" display="Assumptions" xr:uid="{25937459-2FA2-4816-AC26-B4E92782DEB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67B61-E7DD-49E5-B69C-4BC43629B1FC}">
  <sheetPr codeName="Sheet88"/>
  <dimension ref="A1:M33"/>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x-423</v>
      </c>
      <c r="B3" s="39"/>
      <c r="C3" s="39"/>
      <c r="D3" s="39"/>
      <c r="E3" s="39"/>
      <c r="F3" s="39"/>
      <c r="G3" s="39"/>
      <c r="H3" s="39"/>
      <c r="I3" s="39"/>
    </row>
    <row r="4" spans="1:13" x14ac:dyDescent="0.25">
      <c r="A4" s="41"/>
    </row>
    <row r="6" spans="1:13" ht="13" x14ac:dyDescent="0.3">
      <c r="A6" s="83" t="s">
        <v>276</v>
      </c>
      <c r="B6" s="161" t="s">
        <v>277</v>
      </c>
      <c r="C6"/>
      <c r="D6"/>
      <c r="E6"/>
      <c r="F6"/>
      <c r="G6"/>
      <c r="H6"/>
      <c r="I6"/>
      <c r="J6"/>
      <c r="K6"/>
      <c r="L6"/>
      <c r="M6"/>
    </row>
    <row r="7" spans="1:13" x14ac:dyDescent="0.25">
      <c r="A7" s="85" t="s">
        <v>278</v>
      </c>
      <c r="B7" s="161" t="s">
        <v>310</v>
      </c>
      <c r="C7"/>
      <c r="D7"/>
      <c r="E7"/>
      <c r="F7"/>
      <c r="G7"/>
      <c r="H7"/>
      <c r="I7"/>
      <c r="J7"/>
      <c r="K7"/>
      <c r="L7"/>
      <c r="M7"/>
    </row>
    <row r="8" spans="1:13" x14ac:dyDescent="0.25">
      <c r="A8" s="85" t="s">
        <v>280</v>
      </c>
      <c r="B8" s="161" t="s">
        <v>75</v>
      </c>
      <c r="C8"/>
      <c r="D8"/>
      <c r="E8"/>
      <c r="F8"/>
      <c r="G8"/>
      <c r="H8"/>
      <c r="I8"/>
      <c r="J8"/>
      <c r="K8"/>
      <c r="L8"/>
      <c r="M8"/>
    </row>
    <row r="9" spans="1:13" x14ac:dyDescent="0.25">
      <c r="A9" s="85" t="s">
        <v>282</v>
      </c>
      <c r="B9" s="161" t="s">
        <v>396</v>
      </c>
      <c r="C9"/>
      <c r="D9"/>
      <c r="E9"/>
      <c r="F9"/>
      <c r="G9"/>
      <c r="H9"/>
      <c r="I9"/>
      <c r="J9"/>
      <c r="K9"/>
      <c r="L9"/>
      <c r="M9"/>
    </row>
    <row r="10" spans="1:13" x14ac:dyDescent="0.25">
      <c r="A10" s="85" t="s">
        <v>6</v>
      </c>
      <c r="B10" s="161" t="s">
        <v>480</v>
      </c>
      <c r="C10"/>
      <c r="D10"/>
      <c r="E10"/>
      <c r="F10"/>
      <c r="G10"/>
      <c r="H10"/>
      <c r="I10"/>
      <c r="J10"/>
      <c r="K10"/>
      <c r="L10"/>
      <c r="M10"/>
    </row>
    <row r="11" spans="1:13" x14ac:dyDescent="0.25">
      <c r="A11" s="85" t="s">
        <v>285</v>
      </c>
      <c r="B11" s="161" t="s">
        <v>359</v>
      </c>
      <c r="C11"/>
      <c r="D11"/>
      <c r="E11"/>
      <c r="F11"/>
      <c r="G11"/>
      <c r="H11"/>
      <c r="I11"/>
      <c r="J11"/>
      <c r="K11"/>
      <c r="L11"/>
      <c r="M11"/>
    </row>
    <row r="12" spans="1:13" x14ac:dyDescent="0.25">
      <c r="A12" s="85" t="s">
        <v>287</v>
      </c>
      <c r="B12" s="161" t="s">
        <v>398</v>
      </c>
      <c r="C12"/>
      <c r="D12"/>
      <c r="E12"/>
      <c r="F12"/>
      <c r="G12"/>
      <c r="H12"/>
      <c r="I12"/>
      <c r="J12"/>
      <c r="K12"/>
      <c r="L12"/>
      <c r="M12"/>
    </row>
    <row r="13" spans="1:13" x14ac:dyDescent="0.25">
      <c r="A13" s="85" t="s">
        <v>289</v>
      </c>
      <c r="B13" s="161">
        <v>1</v>
      </c>
      <c r="C13"/>
      <c r="D13"/>
      <c r="E13"/>
      <c r="F13"/>
      <c r="G13"/>
      <c r="H13"/>
      <c r="I13"/>
      <c r="J13"/>
      <c r="K13"/>
      <c r="L13"/>
      <c r="M13"/>
    </row>
    <row r="14" spans="1:13" x14ac:dyDescent="0.25">
      <c r="A14" s="85" t="s">
        <v>291</v>
      </c>
      <c r="B14" s="161">
        <v>423</v>
      </c>
      <c r="C14"/>
      <c r="D14"/>
      <c r="E14"/>
      <c r="F14"/>
      <c r="G14"/>
      <c r="H14"/>
      <c r="I14"/>
      <c r="J14"/>
      <c r="K14"/>
      <c r="L14"/>
      <c r="M14"/>
    </row>
    <row r="15" spans="1:13" x14ac:dyDescent="0.25">
      <c r="A15" s="85" t="s">
        <v>293</v>
      </c>
      <c r="B15" s="161" t="s">
        <v>481</v>
      </c>
      <c r="C15"/>
      <c r="D15"/>
      <c r="E15"/>
      <c r="F15"/>
      <c r="G15"/>
      <c r="H15"/>
      <c r="I15"/>
      <c r="J15"/>
      <c r="K15"/>
      <c r="L15"/>
      <c r="M15"/>
    </row>
    <row r="16" spans="1:13" x14ac:dyDescent="0.25">
      <c r="A16" s="85" t="s">
        <v>295</v>
      </c>
      <c r="B16" s="161" t="s">
        <v>482</v>
      </c>
      <c r="C16"/>
      <c r="D16"/>
      <c r="E16"/>
      <c r="F16"/>
      <c r="G16"/>
      <c r="H16"/>
      <c r="I16"/>
      <c r="J16"/>
      <c r="K16"/>
      <c r="L16"/>
      <c r="M16"/>
    </row>
    <row r="17" spans="1:13" x14ac:dyDescent="0.25">
      <c r="A17" s="69" t="s">
        <v>725</v>
      </c>
      <c r="B17" s="161"/>
      <c r="C17"/>
      <c r="D17"/>
      <c r="E17"/>
      <c r="F17"/>
      <c r="G17"/>
      <c r="H17"/>
      <c r="I17"/>
      <c r="J17"/>
      <c r="K17"/>
      <c r="L17"/>
      <c r="M17"/>
    </row>
    <row r="18" spans="1:13" x14ac:dyDescent="0.25">
      <c r="A18" s="85" t="s">
        <v>299</v>
      </c>
      <c r="B18" s="162">
        <v>45107</v>
      </c>
      <c r="C18"/>
      <c r="D18"/>
      <c r="E18"/>
      <c r="F18"/>
      <c r="G18"/>
      <c r="H18"/>
      <c r="I18"/>
      <c r="J18"/>
      <c r="K18"/>
      <c r="L18"/>
      <c r="M18"/>
    </row>
    <row r="19" spans="1:13" x14ac:dyDescent="0.25">
      <c r="A19" s="85" t="s">
        <v>301</v>
      </c>
      <c r="B19" s="162">
        <v>45107</v>
      </c>
      <c r="C19"/>
      <c r="D19"/>
      <c r="E19"/>
      <c r="F19"/>
      <c r="G19"/>
      <c r="H19"/>
      <c r="I19"/>
      <c r="J19"/>
      <c r="K19"/>
      <c r="L19"/>
      <c r="M19"/>
    </row>
    <row r="20" spans="1:13" x14ac:dyDescent="0.25">
      <c r="A20" s="85" t="s">
        <v>303</v>
      </c>
      <c r="B20" s="161" t="s">
        <v>317</v>
      </c>
      <c r="C20"/>
      <c r="D20"/>
      <c r="E20"/>
      <c r="F20"/>
      <c r="G20"/>
      <c r="H20"/>
      <c r="I20"/>
      <c r="J20"/>
      <c r="K20"/>
      <c r="L20"/>
      <c r="M20"/>
    </row>
    <row r="21" spans="1:13" x14ac:dyDescent="0.25">
      <c r="A21" s="85" t="s">
        <v>309</v>
      </c>
      <c r="B21" s="161" t="s">
        <v>318</v>
      </c>
      <c r="C21"/>
      <c r="D21"/>
      <c r="E21"/>
      <c r="F21"/>
      <c r="G21"/>
      <c r="H21"/>
      <c r="I21"/>
      <c r="J21"/>
      <c r="K21"/>
      <c r="L21"/>
      <c r="M21"/>
    </row>
    <row r="23" spans="1:13" ht="13" x14ac:dyDescent="0.3">
      <c r="B23" s="103" t="str">
        <f>HYPERLINK("#'Factor List'!A1","Back to Factor List")</f>
        <v>Back to Factor List</v>
      </c>
      <c r="C23" s="149" t="s">
        <v>767</v>
      </c>
    </row>
    <row r="24" spans="1:13" x14ac:dyDescent="0.25">
      <c r="B24" s="103" t="s">
        <v>15</v>
      </c>
    </row>
    <row r="26" spans="1:13" ht="13" x14ac:dyDescent="0.25">
      <c r="A26" s="150" t="s">
        <v>761</v>
      </c>
      <c r="B26" s="151" t="s">
        <v>762</v>
      </c>
    </row>
    <row r="27" spans="1:13" x14ac:dyDescent="0.25">
      <c r="A27" s="152" t="s">
        <v>482</v>
      </c>
      <c r="B27" s="153">
        <v>2.1999999999999999E-2</v>
      </c>
    </row>
    <row r="31" spans="1:13" ht="39.65" customHeight="1" x14ac:dyDescent="0.25"/>
    <row r="33" ht="27.65" customHeight="1" x14ac:dyDescent="0.25"/>
  </sheetData>
  <sheetProtection algorithmName="SHA-512" hashValue="l67VKKBy98RgltxonBPxvjXWacBQF4mCP57cv1P8mFdzgskwwpPWe/wUQ76ZRJHEWS2UBYzWbwuo0hGjeyJKnA==" saltValue="GVmXUq82iYTxtfCEQVsd9g==" spinCount="100000" sheet="1" objects="1" scenarios="1"/>
  <conditionalFormatting sqref="A6:A21">
    <cfRule type="expression" dxfId="591" priority="13" stopIfTrue="1">
      <formula>MOD(ROW(),2)=0</formula>
    </cfRule>
    <cfRule type="expression" dxfId="590" priority="14" stopIfTrue="1">
      <formula>MOD(ROW(),2)&lt;&gt;0</formula>
    </cfRule>
  </conditionalFormatting>
  <conditionalFormatting sqref="A26:A27">
    <cfRule type="expression" dxfId="589" priority="1" stopIfTrue="1">
      <formula>MOD(ROW(),2)=0</formula>
    </cfRule>
    <cfRule type="expression" dxfId="588" priority="2" stopIfTrue="1">
      <formula>MOD(ROW(),2)&lt;&gt;0</formula>
    </cfRule>
  </conditionalFormatting>
  <conditionalFormatting sqref="B6">
    <cfRule type="expression" dxfId="587" priority="17" stopIfTrue="1">
      <formula>MOD(ROW(),2)=0</formula>
    </cfRule>
    <cfRule type="expression" dxfId="586" priority="18" stopIfTrue="1">
      <formula>MOD(ROW(),2)&lt;&gt;0</formula>
    </cfRule>
  </conditionalFormatting>
  <conditionalFormatting sqref="B6:B21">
    <cfRule type="expression" dxfId="585" priority="7" stopIfTrue="1">
      <formula>MOD(ROW(),2)=0</formula>
    </cfRule>
    <cfRule type="expression" dxfId="584" priority="8" stopIfTrue="1">
      <formula>MOD(ROW(),2)&lt;&gt;0</formula>
    </cfRule>
  </conditionalFormatting>
  <conditionalFormatting sqref="B17:B19">
    <cfRule type="expression" dxfId="583" priority="5" stopIfTrue="1">
      <formula>MOD(ROW(),2)=0</formula>
    </cfRule>
    <cfRule type="expression" dxfId="582" priority="6" stopIfTrue="1">
      <formula>MOD(ROW(),2)&lt;&gt;0</formula>
    </cfRule>
  </conditionalFormatting>
  <conditionalFormatting sqref="B20:B21">
    <cfRule type="expression" dxfId="581" priority="11" stopIfTrue="1">
      <formula>MOD(ROW(),2)=0</formula>
    </cfRule>
    <cfRule type="expression" dxfId="580" priority="12" stopIfTrue="1">
      <formula>MOD(ROW(),2)&lt;&gt;0</formula>
    </cfRule>
  </conditionalFormatting>
  <conditionalFormatting sqref="B26:B27">
    <cfRule type="expression" dxfId="579" priority="3" stopIfTrue="1">
      <formula>MOD(ROW(),2)=0</formula>
    </cfRule>
    <cfRule type="expression" dxfId="578" priority="4" stopIfTrue="1">
      <formula>MOD(ROW(),2)&lt;&gt;0</formula>
    </cfRule>
  </conditionalFormatting>
  <hyperlinks>
    <hyperlink ref="B24" location="Assumptions!A1" display="Assumptions" xr:uid="{E4CEC705-EB44-4E68-BE62-9FB23CF91CB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9"/>
  <dimension ref="A1:I107"/>
  <sheetViews>
    <sheetView showGridLines="0" zoomScale="85" zoomScaleNormal="85" workbookViewId="0">
      <selection activeCell="A4" sqref="A4"/>
    </sheetView>
  </sheetViews>
  <sheetFormatPr defaultColWidth="10" defaultRowHeight="12.5" x14ac:dyDescent="0.25"/>
  <cols>
    <col min="1" max="1" width="31.90625" style="25" customWidth="1"/>
    <col min="2" max="3" width="22.90625" style="25" customWidth="1"/>
    <col min="4" max="4" width="10" style="25" customWidth="1"/>
    <col min="5"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Triv Comm - x-501</v>
      </c>
      <c r="B3" s="39"/>
      <c r="C3" s="39"/>
      <c r="D3" s="39"/>
      <c r="E3" s="39"/>
      <c r="F3" s="39"/>
      <c r="G3" s="39"/>
      <c r="H3" s="39"/>
      <c r="I3" s="39"/>
    </row>
    <row r="4" spans="1:9" x14ac:dyDescent="0.25">
      <c r="A4" s="41"/>
    </row>
    <row r="6" spans="1:9" ht="13" x14ac:dyDescent="0.3">
      <c r="A6" s="83" t="s">
        <v>276</v>
      </c>
      <c r="B6" s="161" t="s">
        <v>277</v>
      </c>
      <c r="C6" s="161"/>
    </row>
    <row r="7" spans="1:9" x14ac:dyDescent="0.25">
      <c r="A7" s="85" t="s">
        <v>278</v>
      </c>
      <c r="B7" s="161" t="s">
        <v>310</v>
      </c>
      <c r="C7" s="161"/>
    </row>
    <row r="8" spans="1:9" x14ac:dyDescent="0.25">
      <c r="A8" s="85" t="s">
        <v>280</v>
      </c>
      <c r="B8" s="161">
        <v>1995</v>
      </c>
      <c r="C8" s="161"/>
    </row>
    <row r="9" spans="1:9" x14ac:dyDescent="0.25">
      <c r="A9" s="85" t="s">
        <v>282</v>
      </c>
      <c r="B9" s="161" t="s">
        <v>483</v>
      </c>
      <c r="C9" s="161"/>
    </row>
    <row r="10" spans="1:9" ht="12.65" customHeight="1" x14ac:dyDescent="0.25">
      <c r="A10" s="85" t="s">
        <v>6</v>
      </c>
      <c r="B10" s="161" t="s">
        <v>484</v>
      </c>
      <c r="C10" s="161"/>
    </row>
    <row r="11" spans="1:9" x14ac:dyDescent="0.25">
      <c r="A11" s="85" t="s">
        <v>285</v>
      </c>
      <c r="B11" s="161" t="s">
        <v>359</v>
      </c>
      <c r="C11" s="161"/>
    </row>
    <row r="12" spans="1:9" x14ac:dyDescent="0.25">
      <c r="A12" s="85" t="s">
        <v>287</v>
      </c>
      <c r="B12" s="161" t="s">
        <v>408</v>
      </c>
      <c r="C12" s="161"/>
    </row>
    <row r="13" spans="1:9" x14ac:dyDescent="0.25">
      <c r="A13" s="85" t="s">
        <v>289</v>
      </c>
      <c r="B13" s="161">
        <v>1</v>
      </c>
      <c r="C13" s="161"/>
    </row>
    <row r="14" spans="1:9" x14ac:dyDescent="0.25">
      <c r="A14" s="85" t="s">
        <v>291</v>
      </c>
      <c r="B14" s="161">
        <v>501</v>
      </c>
      <c r="C14" s="161"/>
    </row>
    <row r="15" spans="1:9" x14ac:dyDescent="0.25">
      <c r="A15" s="85" t="s">
        <v>293</v>
      </c>
      <c r="B15" s="161" t="s">
        <v>485</v>
      </c>
      <c r="C15" s="161"/>
    </row>
    <row r="16" spans="1:9" ht="12.65" customHeight="1" x14ac:dyDescent="0.25">
      <c r="A16" s="85" t="s">
        <v>295</v>
      </c>
      <c r="B16" s="161" t="s">
        <v>486</v>
      </c>
      <c r="C16" s="161"/>
    </row>
    <row r="17" spans="1:3" x14ac:dyDescent="0.25">
      <c r="A17" s="69" t="s">
        <v>725</v>
      </c>
      <c r="B17" s="161"/>
      <c r="C17" s="161"/>
    </row>
    <row r="18" spans="1:3" x14ac:dyDescent="0.25">
      <c r="A18" s="85" t="s">
        <v>299</v>
      </c>
      <c r="B18" s="162">
        <v>45135</v>
      </c>
      <c r="C18" s="161"/>
    </row>
    <row r="19" spans="1:3" x14ac:dyDescent="0.25">
      <c r="A19" s="85" t="s">
        <v>301</v>
      </c>
      <c r="B19" s="162">
        <v>45200</v>
      </c>
      <c r="C19" s="161"/>
    </row>
    <row r="20" spans="1:3" x14ac:dyDescent="0.25">
      <c r="A20" s="85" t="s">
        <v>303</v>
      </c>
      <c r="B20" s="161" t="s">
        <v>317</v>
      </c>
      <c r="C20" s="161"/>
    </row>
    <row r="21" spans="1:3" x14ac:dyDescent="0.25">
      <c r="A21" s="85" t="s">
        <v>309</v>
      </c>
      <c r="B21" s="161" t="s">
        <v>318</v>
      </c>
      <c r="C21" s="161"/>
    </row>
    <row r="23" spans="1:3" x14ac:dyDescent="0.25">
      <c r="B23" s="103" t="str">
        <f>HYPERLINK("#'Factor List'!A1","Back to Factor List")</f>
        <v>Back to Factor List</v>
      </c>
    </row>
    <row r="24" spans="1:3" x14ac:dyDescent="0.25">
      <c r="B24" s="103" t="s">
        <v>15</v>
      </c>
    </row>
    <row r="26" spans="1:3" ht="26" x14ac:dyDescent="0.25">
      <c r="A26" s="98" t="s">
        <v>408</v>
      </c>
      <c r="B26" s="98" t="s">
        <v>768</v>
      </c>
      <c r="C26" s="98" t="s">
        <v>769</v>
      </c>
    </row>
    <row r="27" spans="1:3" x14ac:dyDescent="0.25">
      <c r="A27" s="99">
        <v>20</v>
      </c>
      <c r="B27" s="117" t="s">
        <v>770</v>
      </c>
      <c r="C27" s="117">
        <v>40.591999999999999</v>
      </c>
    </row>
    <row r="28" spans="1:3" x14ac:dyDescent="0.25">
      <c r="A28" s="99">
        <v>21</v>
      </c>
      <c r="B28" s="117" t="s">
        <v>770</v>
      </c>
      <c r="C28" s="117">
        <v>40.253</v>
      </c>
    </row>
    <row r="29" spans="1:3" x14ac:dyDescent="0.25">
      <c r="A29" s="99">
        <v>22</v>
      </c>
      <c r="B29" s="117" t="s">
        <v>770</v>
      </c>
      <c r="C29" s="117">
        <v>39.908999999999999</v>
      </c>
    </row>
    <row r="30" spans="1:3" x14ac:dyDescent="0.25">
      <c r="A30" s="99">
        <v>23</v>
      </c>
      <c r="B30" s="117" t="s">
        <v>770</v>
      </c>
      <c r="C30" s="117">
        <v>39.558999999999997</v>
      </c>
    </row>
    <row r="31" spans="1:3" x14ac:dyDescent="0.25">
      <c r="A31" s="99">
        <v>24</v>
      </c>
      <c r="B31" s="117" t="s">
        <v>770</v>
      </c>
      <c r="C31" s="117">
        <v>39.201999999999998</v>
      </c>
    </row>
    <row r="32" spans="1:3" x14ac:dyDescent="0.25">
      <c r="A32" s="99">
        <v>25</v>
      </c>
      <c r="B32" s="117" t="s">
        <v>770</v>
      </c>
      <c r="C32" s="117">
        <v>38.840000000000003</v>
      </c>
    </row>
    <row r="33" spans="1:3" x14ac:dyDescent="0.25">
      <c r="A33" s="99">
        <v>26</v>
      </c>
      <c r="B33" s="117" t="s">
        <v>770</v>
      </c>
      <c r="C33" s="117">
        <v>38.470999999999997</v>
      </c>
    </row>
    <row r="34" spans="1:3" x14ac:dyDescent="0.25">
      <c r="A34" s="99">
        <v>27</v>
      </c>
      <c r="B34" s="117" t="s">
        <v>770</v>
      </c>
      <c r="C34" s="117">
        <v>38.095999999999997</v>
      </c>
    </row>
    <row r="35" spans="1:3" x14ac:dyDescent="0.25">
      <c r="A35" s="99">
        <v>28</v>
      </c>
      <c r="B35" s="117" t="s">
        <v>770</v>
      </c>
      <c r="C35" s="117">
        <v>37.713999999999999</v>
      </c>
    </row>
    <row r="36" spans="1:3" x14ac:dyDescent="0.25">
      <c r="A36" s="99">
        <v>29</v>
      </c>
      <c r="B36" s="117" t="s">
        <v>770</v>
      </c>
      <c r="C36" s="117">
        <v>37.326000000000001</v>
      </c>
    </row>
    <row r="37" spans="1:3" x14ac:dyDescent="0.25">
      <c r="A37" s="99">
        <v>30</v>
      </c>
      <c r="B37" s="117" t="s">
        <v>770</v>
      </c>
      <c r="C37" s="117">
        <v>36.933</v>
      </c>
    </row>
    <row r="38" spans="1:3" x14ac:dyDescent="0.25">
      <c r="A38" s="99">
        <v>31</v>
      </c>
      <c r="B38" s="117" t="s">
        <v>770</v>
      </c>
      <c r="C38" s="117">
        <v>36.533000000000001</v>
      </c>
    </row>
    <row r="39" spans="1:3" x14ac:dyDescent="0.25">
      <c r="A39" s="99">
        <v>32</v>
      </c>
      <c r="B39" s="117" t="s">
        <v>770</v>
      </c>
      <c r="C39" s="117">
        <v>36.125999999999998</v>
      </c>
    </row>
    <row r="40" spans="1:3" x14ac:dyDescent="0.25">
      <c r="A40" s="99">
        <v>33</v>
      </c>
      <c r="B40" s="117" t="s">
        <v>770</v>
      </c>
      <c r="C40" s="117">
        <v>35.713000000000001</v>
      </c>
    </row>
    <row r="41" spans="1:3" x14ac:dyDescent="0.25">
      <c r="A41" s="99">
        <v>34</v>
      </c>
      <c r="B41" s="117" t="s">
        <v>770</v>
      </c>
      <c r="C41" s="117">
        <v>35.293999999999997</v>
      </c>
    </row>
    <row r="42" spans="1:3" x14ac:dyDescent="0.25">
      <c r="A42" s="99">
        <v>35</v>
      </c>
      <c r="B42" s="117" t="s">
        <v>770</v>
      </c>
      <c r="C42" s="117">
        <v>34.866999999999997</v>
      </c>
    </row>
    <row r="43" spans="1:3" x14ac:dyDescent="0.25">
      <c r="A43" s="99">
        <v>36</v>
      </c>
      <c r="B43" s="117" t="s">
        <v>770</v>
      </c>
      <c r="C43" s="117">
        <v>34.433999999999997</v>
      </c>
    </row>
    <row r="44" spans="1:3" x14ac:dyDescent="0.25">
      <c r="A44" s="99">
        <v>37</v>
      </c>
      <c r="B44" s="117" t="s">
        <v>770</v>
      </c>
      <c r="C44" s="117">
        <v>33.993000000000002</v>
      </c>
    </row>
    <row r="45" spans="1:3" x14ac:dyDescent="0.25">
      <c r="A45" s="99">
        <v>38</v>
      </c>
      <c r="B45" s="117" t="s">
        <v>770</v>
      </c>
      <c r="C45" s="117">
        <v>33.545000000000002</v>
      </c>
    </row>
    <row r="46" spans="1:3" x14ac:dyDescent="0.25">
      <c r="A46" s="99">
        <v>39</v>
      </c>
      <c r="B46" s="117" t="s">
        <v>770</v>
      </c>
      <c r="C46" s="117">
        <v>33.090000000000003</v>
      </c>
    </row>
    <row r="47" spans="1:3" x14ac:dyDescent="0.25">
      <c r="A47" s="99">
        <v>40</v>
      </c>
      <c r="B47" s="117" t="s">
        <v>770</v>
      </c>
      <c r="C47" s="117">
        <v>32.628</v>
      </c>
    </row>
    <row r="48" spans="1:3" x14ac:dyDescent="0.25">
      <c r="A48" s="99">
        <v>41</v>
      </c>
      <c r="B48" s="117" t="s">
        <v>770</v>
      </c>
      <c r="C48" s="117">
        <v>32.158999999999999</v>
      </c>
    </row>
    <row r="49" spans="1:3" x14ac:dyDescent="0.25">
      <c r="A49" s="99">
        <v>42</v>
      </c>
      <c r="B49" s="117" t="s">
        <v>770</v>
      </c>
      <c r="C49" s="117">
        <v>31.683</v>
      </c>
    </row>
    <row r="50" spans="1:3" x14ac:dyDescent="0.25">
      <c r="A50" s="99">
        <v>43</v>
      </c>
      <c r="B50" s="117" t="s">
        <v>770</v>
      </c>
      <c r="C50" s="117">
        <v>31.2</v>
      </c>
    </row>
    <row r="51" spans="1:3" x14ac:dyDescent="0.25">
      <c r="A51" s="99">
        <v>44</v>
      </c>
      <c r="B51" s="117" t="s">
        <v>770</v>
      </c>
      <c r="C51" s="117">
        <v>30.709</v>
      </c>
    </row>
    <row r="52" spans="1:3" x14ac:dyDescent="0.25">
      <c r="A52" s="99">
        <v>45</v>
      </c>
      <c r="B52" s="117" t="s">
        <v>770</v>
      </c>
      <c r="C52" s="117">
        <v>30.212</v>
      </c>
    </row>
    <row r="53" spans="1:3" x14ac:dyDescent="0.25">
      <c r="A53" s="99">
        <v>46</v>
      </c>
      <c r="B53" s="117" t="s">
        <v>770</v>
      </c>
      <c r="C53" s="117">
        <v>29.706</v>
      </c>
    </row>
    <row r="54" spans="1:3" x14ac:dyDescent="0.25">
      <c r="A54" s="99">
        <v>47</v>
      </c>
      <c r="B54" s="117" t="s">
        <v>770</v>
      </c>
      <c r="C54" s="117">
        <v>29.193000000000001</v>
      </c>
    </row>
    <row r="55" spans="1:3" x14ac:dyDescent="0.25">
      <c r="A55" s="99">
        <v>48</v>
      </c>
      <c r="B55" s="117" t="s">
        <v>770</v>
      </c>
      <c r="C55" s="117">
        <v>28.672999999999998</v>
      </c>
    </row>
    <row r="56" spans="1:3" x14ac:dyDescent="0.25">
      <c r="A56" s="99">
        <v>49</v>
      </c>
      <c r="B56" s="117" t="s">
        <v>770</v>
      </c>
      <c r="C56" s="117">
        <v>28.145</v>
      </c>
    </row>
    <row r="57" spans="1:3" x14ac:dyDescent="0.25">
      <c r="A57" s="99">
        <v>50</v>
      </c>
      <c r="B57" s="117" t="s">
        <v>770</v>
      </c>
      <c r="C57" s="117">
        <v>27.609000000000002</v>
      </c>
    </row>
    <row r="58" spans="1:3" x14ac:dyDescent="0.25">
      <c r="A58" s="99">
        <v>51</v>
      </c>
      <c r="B58" s="117" t="s">
        <v>770</v>
      </c>
      <c r="C58" s="117">
        <v>27.065999999999999</v>
      </c>
    </row>
    <row r="59" spans="1:3" x14ac:dyDescent="0.25">
      <c r="A59" s="99">
        <v>52</v>
      </c>
      <c r="B59" s="117" t="s">
        <v>770</v>
      </c>
      <c r="C59" s="117">
        <v>26.513999999999999</v>
      </c>
    </row>
    <row r="60" spans="1:3" x14ac:dyDescent="0.25">
      <c r="A60" s="99">
        <v>53</v>
      </c>
      <c r="B60" s="117" t="s">
        <v>770</v>
      </c>
      <c r="C60" s="117">
        <v>25.954000000000001</v>
      </c>
    </row>
    <row r="61" spans="1:3" x14ac:dyDescent="0.25">
      <c r="A61" s="99">
        <v>54</v>
      </c>
      <c r="B61" s="117" t="s">
        <v>770</v>
      </c>
      <c r="C61" s="117">
        <v>25.387</v>
      </c>
    </row>
    <row r="62" spans="1:3" x14ac:dyDescent="0.25">
      <c r="A62" s="99">
        <v>55</v>
      </c>
      <c r="B62" s="117">
        <v>25.995000000000001</v>
      </c>
      <c r="C62" s="117">
        <v>24.811</v>
      </c>
    </row>
    <row r="63" spans="1:3" x14ac:dyDescent="0.25">
      <c r="A63" s="99">
        <v>56</v>
      </c>
      <c r="B63" s="117">
        <v>25.417999999999999</v>
      </c>
      <c r="C63" s="117">
        <v>24.228000000000002</v>
      </c>
    </row>
    <row r="64" spans="1:3" x14ac:dyDescent="0.25">
      <c r="A64" s="99">
        <v>57</v>
      </c>
      <c r="B64" s="117">
        <v>24.832999999999998</v>
      </c>
      <c r="C64" s="117">
        <v>23.637</v>
      </c>
    </row>
    <row r="65" spans="1:3" x14ac:dyDescent="0.25">
      <c r="A65" s="99">
        <v>58</v>
      </c>
      <c r="B65" s="117">
        <v>24.241</v>
      </c>
      <c r="C65" s="117">
        <v>23.04</v>
      </c>
    </row>
    <row r="66" spans="1:3" x14ac:dyDescent="0.25">
      <c r="A66" s="99">
        <v>59</v>
      </c>
      <c r="B66" s="117">
        <v>23.641999999999999</v>
      </c>
      <c r="C66" s="117">
        <v>22.434999999999999</v>
      </c>
    </row>
    <row r="67" spans="1:3" x14ac:dyDescent="0.25">
      <c r="A67" s="99">
        <v>60</v>
      </c>
      <c r="B67" s="117">
        <v>23.033000000000001</v>
      </c>
      <c r="C67" s="117">
        <v>21.82</v>
      </c>
    </row>
    <row r="68" spans="1:3" x14ac:dyDescent="0.25">
      <c r="A68" s="99">
        <v>61</v>
      </c>
      <c r="B68" s="117">
        <v>22.417000000000002</v>
      </c>
      <c r="C68" s="117">
        <v>21.198</v>
      </c>
    </row>
    <row r="69" spans="1:3" x14ac:dyDescent="0.25">
      <c r="A69" s="99">
        <v>62</v>
      </c>
      <c r="B69" s="117">
        <v>21.797000000000001</v>
      </c>
      <c r="C69" s="117">
        <v>20.573</v>
      </c>
    </row>
    <row r="70" spans="1:3" x14ac:dyDescent="0.25">
      <c r="A70" s="99">
        <v>63</v>
      </c>
      <c r="B70" s="117">
        <v>21.170999999999999</v>
      </c>
      <c r="C70" s="117">
        <v>19.943000000000001</v>
      </c>
    </row>
    <row r="71" spans="1:3" x14ac:dyDescent="0.25">
      <c r="A71" s="99">
        <v>64</v>
      </c>
      <c r="B71" s="117">
        <v>20.538</v>
      </c>
      <c r="C71" s="117">
        <v>19.309000000000001</v>
      </c>
    </row>
    <row r="72" spans="1:3" x14ac:dyDescent="0.25">
      <c r="A72" s="99">
        <v>65</v>
      </c>
      <c r="B72" s="117">
        <v>19.899000000000001</v>
      </c>
      <c r="C72" s="117">
        <v>18.670000000000002</v>
      </c>
    </row>
    <row r="73" spans="1:3" x14ac:dyDescent="0.25">
      <c r="A73" s="99">
        <v>66</v>
      </c>
      <c r="B73" s="117">
        <v>19.257000000000001</v>
      </c>
      <c r="C73" s="117">
        <v>18.027999999999999</v>
      </c>
    </row>
    <row r="74" spans="1:3" x14ac:dyDescent="0.25">
      <c r="A74" s="99">
        <v>67</v>
      </c>
      <c r="B74" s="117">
        <v>18.61</v>
      </c>
      <c r="C74" s="117">
        <v>17.382000000000001</v>
      </c>
    </row>
    <row r="75" spans="1:3" x14ac:dyDescent="0.25">
      <c r="A75" s="99">
        <v>68</v>
      </c>
      <c r="B75" s="117">
        <v>17.957999999999998</v>
      </c>
      <c r="C75" s="117">
        <v>16.734000000000002</v>
      </c>
    </row>
    <row r="76" spans="1:3" x14ac:dyDescent="0.25">
      <c r="A76" s="99">
        <v>69</v>
      </c>
      <c r="B76" s="117">
        <v>17.271000000000001</v>
      </c>
      <c r="C76" s="117">
        <v>16.082999999999998</v>
      </c>
    </row>
    <row r="77" spans="1:3" x14ac:dyDescent="0.25">
      <c r="A77" s="99">
        <v>70</v>
      </c>
      <c r="B77" s="117">
        <v>16.581</v>
      </c>
      <c r="C77" s="117">
        <v>15.43</v>
      </c>
    </row>
    <row r="78" spans="1:3" x14ac:dyDescent="0.25">
      <c r="A78" s="99">
        <v>71</v>
      </c>
      <c r="B78" s="117">
        <v>15.919</v>
      </c>
      <c r="C78" s="117">
        <v>14.776999999999999</v>
      </c>
    </row>
    <row r="79" spans="1:3" x14ac:dyDescent="0.25">
      <c r="A79" s="99">
        <v>72</v>
      </c>
      <c r="B79" s="117">
        <v>15.257</v>
      </c>
      <c r="C79" s="117">
        <v>14.127000000000001</v>
      </c>
    </row>
    <row r="80" spans="1:3" x14ac:dyDescent="0.25">
      <c r="A80" s="99">
        <v>73</v>
      </c>
      <c r="B80" s="117">
        <v>14.593999999999999</v>
      </c>
      <c r="C80" s="117">
        <v>13.478</v>
      </c>
    </row>
    <row r="81" spans="1:3" x14ac:dyDescent="0.25">
      <c r="A81" s="99">
        <v>74</v>
      </c>
      <c r="B81" s="117">
        <v>13.88</v>
      </c>
      <c r="C81" s="117">
        <v>12.833</v>
      </c>
    </row>
    <row r="82" spans="1:3" x14ac:dyDescent="0.25">
      <c r="A82" s="99">
        <v>75</v>
      </c>
      <c r="B82" s="117">
        <v>13.167999999999999</v>
      </c>
      <c r="C82" s="117">
        <v>12.192</v>
      </c>
    </row>
    <row r="83" spans="1:3" x14ac:dyDescent="0.25">
      <c r="A83" s="99">
        <v>76</v>
      </c>
      <c r="B83" s="117">
        <v>12.512</v>
      </c>
      <c r="C83" s="117">
        <v>11.557</v>
      </c>
    </row>
    <row r="84" spans="1:3" x14ac:dyDescent="0.25">
      <c r="A84" s="99">
        <v>77</v>
      </c>
      <c r="B84" s="117">
        <v>11.861000000000001</v>
      </c>
      <c r="C84" s="117">
        <v>10.93</v>
      </c>
    </row>
    <row r="85" spans="1:3" x14ac:dyDescent="0.25">
      <c r="A85" s="99">
        <v>78</v>
      </c>
      <c r="B85" s="117">
        <v>11.218</v>
      </c>
      <c r="C85" s="117">
        <v>10.313000000000001</v>
      </c>
    </row>
    <row r="86" spans="1:3" x14ac:dyDescent="0.25">
      <c r="A86" s="99">
        <v>79</v>
      </c>
      <c r="B86" s="117">
        <v>10.521000000000001</v>
      </c>
      <c r="C86" s="117">
        <v>9.7080000000000002</v>
      </c>
    </row>
    <row r="87" spans="1:3" x14ac:dyDescent="0.25">
      <c r="A87" s="99">
        <v>80</v>
      </c>
      <c r="B87" s="117">
        <v>9.8379999999999992</v>
      </c>
      <c r="C87" s="117">
        <v>9.1180000000000003</v>
      </c>
    </row>
    <row r="88" spans="1:3" x14ac:dyDescent="0.25">
      <c r="A88" s="99">
        <v>81</v>
      </c>
      <c r="B88" s="117">
        <v>9.234</v>
      </c>
      <c r="C88" s="117">
        <v>8.5440000000000005</v>
      </c>
    </row>
    <row r="89" spans="1:3" x14ac:dyDescent="0.25">
      <c r="A89" s="99">
        <v>82</v>
      </c>
      <c r="B89" s="117">
        <v>8.6460000000000008</v>
      </c>
      <c r="C89" s="117">
        <v>7.99</v>
      </c>
    </row>
    <row r="90" spans="1:3" x14ac:dyDescent="0.25">
      <c r="A90" s="99">
        <v>83</v>
      </c>
      <c r="B90" s="117">
        <v>8.077</v>
      </c>
      <c r="C90" s="117">
        <v>7.4550000000000001</v>
      </c>
    </row>
    <row r="91" spans="1:3" x14ac:dyDescent="0.25">
      <c r="A91" s="99">
        <v>84</v>
      </c>
      <c r="B91" s="117">
        <v>7.4710000000000001</v>
      </c>
      <c r="C91" s="117">
        <v>6.9420000000000002</v>
      </c>
    </row>
    <row r="92" spans="1:3" x14ac:dyDescent="0.25">
      <c r="A92" s="99">
        <v>85</v>
      </c>
      <c r="B92" s="117">
        <v>6.8879999999999999</v>
      </c>
      <c r="C92" s="117">
        <v>6.45</v>
      </c>
    </row>
    <row r="93" spans="1:3" x14ac:dyDescent="0.25">
      <c r="A93" s="99">
        <v>86</v>
      </c>
      <c r="B93" s="117">
        <v>6.3890000000000002</v>
      </c>
      <c r="C93" s="117">
        <v>5.9829999999999997</v>
      </c>
    </row>
    <row r="94" spans="1:3" x14ac:dyDescent="0.25">
      <c r="A94" s="99">
        <v>87</v>
      </c>
      <c r="B94" s="117">
        <v>5.9169999999999998</v>
      </c>
      <c r="C94" s="117">
        <v>5.54</v>
      </c>
    </row>
    <row r="95" spans="1:3" x14ac:dyDescent="0.25">
      <c r="A95" s="99">
        <v>88</v>
      </c>
      <c r="B95" s="117">
        <v>5.4729999999999999</v>
      </c>
      <c r="C95" s="117">
        <v>5.1230000000000002</v>
      </c>
    </row>
    <row r="96" spans="1:3" x14ac:dyDescent="0.25">
      <c r="A96" s="99">
        <v>89</v>
      </c>
      <c r="B96" s="117">
        <v>5.0090000000000003</v>
      </c>
      <c r="C96" s="117">
        <v>4.7329999999999997</v>
      </c>
    </row>
    <row r="97" spans="1:3" x14ac:dyDescent="0.25">
      <c r="A97" s="99">
        <v>90</v>
      </c>
      <c r="B97" s="117">
        <v>4.5750000000000002</v>
      </c>
      <c r="C97" s="117">
        <v>4.37</v>
      </c>
    </row>
    <row r="98" spans="1:3" x14ac:dyDescent="0.25">
      <c r="A98" s="99">
        <v>91</v>
      </c>
      <c r="B98" s="117">
        <v>4.2210000000000001</v>
      </c>
      <c r="C98" s="117">
        <v>4.0350000000000001</v>
      </c>
    </row>
    <row r="99" spans="1:3" x14ac:dyDescent="0.25">
      <c r="A99" s="99">
        <v>92</v>
      </c>
      <c r="B99" s="117">
        <v>3.8969999999999998</v>
      </c>
      <c r="C99" s="117">
        <v>3.7290000000000001</v>
      </c>
    </row>
    <row r="100" spans="1:3" x14ac:dyDescent="0.25">
      <c r="A100" s="99">
        <v>93</v>
      </c>
      <c r="B100" s="117">
        <v>3.601</v>
      </c>
      <c r="C100" s="117">
        <v>3.4510000000000001</v>
      </c>
    </row>
    <row r="101" spans="1:3" x14ac:dyDescent="0.25">
      <c r="A101" s="99">
        <v>94</v>
      </c>
      <c r="B101" s="117">
        <v>3.3319999999999999</v>
      </c>
      <c r="C101" s="117">
        <v>3.1989999999999998</v>
      </c>
    </row>
    <row r="102" spans="1:3" x14ac:dyDescent="0.25">
      <c r="A102" s="99">
        <v>95</v>
      </c>
      <c r="B102" s="117">
        <v>3.0880000000000001</v>
      </c>
      <c r="C102" s="117">
        <v>2.9729999999999999</v>
      </c>
    </row>
    <row r="103" spans="1:3" x14ac:dyDescent="0.25">
      <c r="A103" s="99">
        <v>96</v>
      </c>
      <c r="B103" s="117">
        <v>2.871</v>
      </c>
      <c r="C103" s="117">
        <v>2.7719999999999998</v>
      </c>
    </row>
    <row r="104" spans="1:3" x14ac:dyDescent="0.25">
      <c r="A104" s="99">
        <v>97</v>
      </c>
      <c r="B104" s="117">
        <v>2.6779999999999999</v>
      </c>
      <c r="C104" s="117">
        <v>2.5939999999999999</v>
      </c>
    </row>
    <row r="105" spans="1:3" x14ac:dyDescent="0.25">
      <c r="A105" s="99">
        <v>98</v>
      </c>
      <c r="B105" s="117">
        <v>2.5110000000000001</v>
      </c>
      <c r="C105" s="117">
        <v>2.4390000000000001</v>
      </c>
    </row>
    <row r="106" spans="1:3" x14ac:dyDescent="0.25">
      <c r="A106" s="99">
        <v>99</v>
      </c>
      <c r="B106" s="117">
        <v>2.3759999999999999</v>
      </c>
      <c r="C106" s="117">
        <v>2.3149999999999999</v>
      </c>
    </row>
    <row r="107" spans="1:3" x14ac:dyDescent="0.25">
      <c r="A107" s="99">
        <v>100</v>
      </c>
      <c r="B107" s="117">
        <v>2.274</v>
      </c>
      <c r="C107" s="117">
        <v>2.222</v>
      </c>
    </row>
  </sheetData>
  <sheetProtection algorithmName="SHA-512" hashValue="AZBEWqITwp9jzEydfAfJK6glnHHaVD7PSF2LS5fqHbwuOpjsTNq2PlXTIjuMy0v3ajs2viALH+6BWeSr7vsaPg==" saltValue="gEwgo+W0oxN3kMsqG0UPcw==" spinCount="100000" sheet="1" objects="1" scenarios="1"/>
  <conditionalFormatting sqref="A6:A21">
    <cfRule type="expression" dxfId="577" priority="7" stopIfTrue="1">
      <formula>MOD(ROW(),2)=0</formula>
    </cfRule>
    <cfRule type="expression" dxfId="576" priority="8" stopIfTrue="1">
      <formula>MOD(ROW(),2)&lt;&gt;0</formula>
    </cfRule>
  </conditionalFormatting>
  <conditionalFormatting sqref="A26:A107">
    <cfRule type="expression" dxfId="575" priority="1" stopIfTrue="1">
      <formula>MOD(ROW(),2)=0</formula>
    </cfRule>
    <cfRule type="expression" dxfId="574" priority="2" stopIfTrue="1">
      <formula>MOD(ROW(),2)&lt;&gt;0</formula>
    </cfRule>
  </conditionalFormatting>
  <conditionalFormatting sqref="B17:B21">
    <cfRule type="expression" dxfId="573" priority="5" stopIfTrue="1">
      <formula>MOD(ROW(),2)=0</formula>
    </cfRule>
    <cfRule type="expression" dxfId="572" priority="6" stopIfTrue="1">
      <formula>MOD(ROW(),2)&lt;&gt;0</formula>
    </cfRule>
  </conditionalFormatting>
  <conditionalFormatting sqref="B6:C21">
    <cfRule type="expression" dxfId="571" priority="17" stopIfTrue="1">
      <formula>MOD(ROW(),2)=0</formula>
    </cfRule>
    <cfRule type="expression" dxfId="570" priority="18" stopIfTrue="1">
      <formula>MOD(ROW(),2)&lt;&gt;0</formula>
    </cfRule>
  </conditionalFormatting>
  <conditionalFormatting sqref="B26:C107">
    <cfRule type="expression" dxfId="569" priority="3" stopIfTrue="1">
      <formula>MOD(ROW(),2)=0</formula>
    </cfRule>
    <cfRule type="expression" dxfId="568" priority="4" stopIfTrue="1">
      <formula>MOD(ROW(),2)&lt;&gt;0</formula>
    </cfRule>
  </conditionalFormatting>
  <hyperlinks>
    <hyperlink ref="B24" location="Assumptions!A1" display="Assumptions" xr:uid="{2D0CFEC4-1CC3-48CB-AC2D-78FAA234614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70"/>
  <dimension ref="A1:I107"/>
  <sheetViews>
    <sheetView showGridLines="0" zoomScale="85" zoomScaleNormal="85" workbookViewId="0">
      <selection activeCell="A4" sqref="A4"/>
    </sheetView>
  </sheetViews>
  <sheetFormatPr defaultColWidth="10" defaultRowHeight="12.5" x14ac:dyDescent="0.25"/>
  <cols>
    <col min="1" max="1" width="31.90625" style="25" customWidth="1"/>
    <col min="2" max="3" width="22.90625" style="25" customWidth="1"/>
    <col min="4" max="4" width="10" style="25" customWidth="1"/>
    <col min="5"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Triv Comm - x-502</v>
      </c>
      <c r="B3" s="39"/>
      <c r="C3" s="39"/>
      <c r="D3" s="39"/>
      <c r="E3" s="39"/>
      <c r="F3" s="39"/>
      <c r="G3" s="39"/>
      <c r="H3" s="39"/>
      <c r="I3" s="39"/>
    </row>
    <row r="4" spans="1:9" x14ac:dyDescent="0.25">
      <c r="A4" s="41"/>
    </row>
    <row r="6" spans="1:9" ht="13" x14ac:dyDescent="0.3">
      <c r="A6" s="83" t="s">
        <v>276</v>
      </c>
      <c r="B6" s="161" t="s">
        <v>277</v>
      </c>
      <c r="C6" s="161"/>
    </row>
    <row r="7" spans="1:9" x14ac:dyDescent="0.25">
      <c r="A7" s="85" t="s">
        <v>278</v>
      </c>
      <c r="B7" s="161" t="s">
        <v>310</v>
      </c>
      <c r="C7" s="161"/>
    </row>
    <row r="8" spans="1:9" x14ac:dyDescent="0.25">
      <c r="A8" s="85" t="s">
        <v>280</v>
      </c>
      <c r="B8" s="161">
        <v>2008</v>
      </c>
      <c r="C8" s="161"/>
    </row>
    <row r="9" spans="1:9" x14ac:dyDescent="0.25">
      <c r="A9" s="85" t="s">
        <v>282</v>
      </c>
      <c r="B9" s="161" t="s">
        <v>483</v>
      </c>
      <c r="C9" s="161"/>
    </row>
    <row r="10" spans="1:9" ht="12.65" customHeight="1" x14ac:dyDescent="0.25">
      <c r="A10" s="85" t="s">
        <v>6</v>
      </c>
      <c r="B10" s="161" t="s">
        <v>484</v>
      </c>
      <c r="C10" s="161"/>
    </row>
    <row r="11" spans="1:9" x14ac:dyDescent="0.25">
      <c r="A11" s="85" t="s">
        <v>285</v>
      </c>
      <c r="B11" s="161" t="s">
        <v>359</v>
      </c>
      <c r="C11" s="161"/>
    </row>
    <row r="12" spans="1:9" x14ac:dyDescent="0.25">
      <c r="A12" s="85" t="s">
        <v>287</v>
      </c>
      <c r="B12" s="161" t="s">
        <v>408</v>
      </c>
      <c r="C12" s="161"/>
    </row>
    <row r="13" spans="1:9" x14ac:dyDescent="0.25">
      <c r="A13" s="85" t="s">
        <v>289</v>
      </c>
      <c r="B13" s="161">
        <v>2</v>
      </c>
      <c r="C13" s="161"/>
    </row>
    <row r="14" spans="1:9" x14ac:dyDescent="0.25">
      <c r="A14" s="85" t="s">
        <v>291</v>
      </c>
      <c r="B14" s="161">
        <v>502</v>
      </c>
      <c r="C14" s="161"/>
    </row>
    <row r="15" spans="1:9" x14ac:dyDescent="0.25">
      <c r="A15" s="85" t="s">
        <v>293</v>
      </c>
      <c r="B15" s="161" t="s">
        <v>487</v>
      </c>
      <c r="C15" s="161"/>
    </row>
    <row r="16" spans="1:9" ht="12.65" customHeight="1" x14ac:dyDescent="0.25">
      <c r="A16" s="85" t="s">
        <v>295</v>
      </c>
      <c r="B16" s="161" t="s">
        <v>488</v>
      </c>
      <c r="C16" s="161"/>
    </row>
    <row r="17" spans="1:3" x14ac:dyDescent="0.25">
      <c r="A17" s="69" t="s">
        <v>725</v>
      </c>
      <c r="B17" s="161"/>
      <c r="C17" s="161"/>
    </row>
    <row r="18" spans="1:3" x14ac:dyDescent="0.25">
      <c r="A18" s="85" t="s">
        <v>299</v>
      </c>
      <c r="B18" s="162">
        <v>45135</v>
      </c>
      <c r="C18" s="161"/>
    </row>
    <row r="19" spans="1:3" x14ac:dyDescent="0.25">
      <c r="A19" s="85" t="s">
        <v>301</v>
      </c>
      <c r="B19" s="162">
        <v>45200</v>
      </c>
      <c r="C19" s="161"/>
    </row>
    <row r="20" spans="1:3" x14ac:dyDescent="0.25">
      <c r="A20" s="85" t="s">
        <v>303</v>
      </c>
      <c r="B20" s="161" t="s">
        <v>317</v>
      </c>
      <c r="C20" s="161"/>
    </row>
    <row r="21" spans="1:3" x14ac:dyDescent="0.25">
      <c r="A21" s="85" t="s">
        <v>309</v>
      </c>
      <c r="B21" s="161" t="s">
        <v>318</v>
      </c>
      <c r="C21" s="161"/>
    </row>
    <row r="23" spans="1:3" x14ac:dyDescent="0.25">
      <c r="B23" s="103" t="str">
        <f>HYPERLINK("#'Factor List'!A1","Back to Factor List")</f>
        <v>Back to Factor List</v>
      </c>
    </row>
    <row r="24" spans="1:3" x14ac:dyDescent="0.25">
      <c r="B24" s="103" t="s">
        <v>15</v>
      </c>
    </row>
    <row r="26" spans="1:3" ht="26" x14ac:dyDescent="0.25">
      <c r="A26" s="98" t="s">
        <v>408</v>
      </c>
      <c r="B26" s="98" t="s">
        <v>768</v>
      </c>
      <c r="C26" s="98" t="s">
        <v>769</v>
      </c>
    </row>
    <row r="27" spans="1:3" x14ac:dyDescent="0.25">
      <c r="A27" s="99">
        <v>20</v>
      </c>
      <c r="B27" s="117" t="s">
        <v>770</v>
      </c>
      <c r="C27" s="117">
        <v>40.594999999999999</v>
      </c>
    </row>
    <row r="28" spans="1:3" x14ac:dyDescent="0.25">
      <c r="A28" s="99">
        <v>21</v>
      </c>
      <c r="B28" s="117" t="s">
        <v>770</v>
      </c>
      <c r="C28" s="117">
        <v>40.256</v>
      </c>
    </row>
    <row r="29" spans="1:3" x14ac:dyDescent="0.25">
      <c r="A29" s="99">
        <v>22</v>
      </c>
      <c r="B29" s="117" t="s">
        <v>770</v>
      </c>
      <c r="C29" s="117">
        <v>39.911999999999999</v>
      </c>
    </row>
    <row r="30" spans="1:3" x14ac:dyDescent="0.25">
      <c r="A30" s="99">
        <v>23</v>
      </c>
      <c r="B30" s="117" t="s">
        <v>770</v>
      </c>
      <c r="C30" s="117">
        <v>39.561999999999998</v>
      </c>
    </row>
    <row r="31" spans="1:3" x14ac:dyDescent="0.25">
      <c r="A31" s="99">
        <v>24</v>
      </c>
      <c r="B31" s="117" t="s">
        <v>770</v>
      </c>
      <c r="C31" s="117">
        <v>39.206000000000003</v>
      </c>
    </row>
    <row r="32" spans="1:3" x14ac:dyDescent="0.25">
      <c r="A32" s="99">
        <v>25</v>
      </c>
      <c r="B32" s="117" t="s">
        <v>770</v>
      </c>
      <c r="C32" s="117">
        <v>38.843000000000004</v>
      </c>
    </row>
    <row r="33" spans="1:3" x14ac:dyDescent="0.25">
      <c r="A33" s="99">
        <v>26</v>
      </c>
      <c r="B33" s="117" t="s">
        <v>770</v>
      </c>
      <c r="C33" s="117">
        <v>38.475000000000001</v>
      </c>
    </row>
    <row r="34" spans="1:3" x14ac:dyDescent="0.25">
      <c r="A34" s="99">
        <v>27</v>
      </c>
      <c r="B34" s="117" t="s">
        <v>770</v>
      </c>
      <c r="C34" s="117">
        <v>38.1</v>
      </c>
    </row>
    <row r="35" spans="1:3" x14ac:dyDescent="0.25">
      <c r="A35" s="99">
        <v>28</v>
      </c>
      <c r="B35" s="117" t="s">
        <v>770</v>
      </c>
      <c r="C35" s="117">
        <v>37.718000000000004</v>
      </c>
    </row>
    <row r="36" spans="1:3" x14ac:dyDescent="0.25">
      <c r="A36" s="99">
        <v>29</v>
      </c>
      <c r="B36" s="117" t="s">
        <v>770</v>
      </c>
      <c r="C36" s="117">
        <v>37.331000000000003</v>
      </c>
    </row>
    <row r="37" spans="1:3" x14ac:dyDescent="0.25">
      <c r="A37" s="99">
        <v>30</v>
      </c>
      <c r="B37" s="117" t="s">
        <v>770</v>
      </c>
      <c r="C37" s="117">
        <v>36.938000000000002</v>
      </c>
    </row>
    <row r="38" spans="1:3" x14ac:dyDescent="0.25">
      <c r="A38" s="99">
        <v>31</v>
      </c>
      <c r="B38" s="117" t="s">
        <v>770</v>
      </c>
      <c r="C38" s="117">
        <v>36.537999999999997</v>
      </c>
    </row>
    <row r="39" spans="1:3" x14ac:dyDescent="0.25">
      <c r="A39" s="99">
        <v>32</v>
      </c>
      <c r="B39" s="117" t="s">
        <v>770</v>
      </c>
      <c r="C39" s="117">
        <v>36.131999999999998</v>
      </c>
    </row>
    <row r="40" spans="1:3" x14ac:dyDescent="0.25">
      <c r="A40" s="99">
        <v>33</v>
      </c>
      <c r="B40" s="117" t="s">
        <v>770</v>
      </c>
      <c r="C40" s="117">
        <v>35.719000000000001</v>
      </c>
    </row>
    <row r="41" spans="1:3" x14ac:dyDescent="0.25">
      <c r="A41" s="99">
        <v>34</v>
      </c>
      <c r="B41" s="117" t="s">
        <v>770</v>
      </c>
      <c r="C41" s="117">
        <v>35.298999999999999</v>
      </c>
    </row>
    <row r="42" spans="1:3" x14ac:dyDescent="0.25">
      <c r="A42" s="99">
        <v>35</v>
      </c>
      <c r="B42" s="117" t="s">
        <v>770</v>
      </c>
      <c r="C42" s="117">
        <v>34.872999999999998</v>
      </c>
    </row>
    <row r="43" spans="1:3" x14ac:dyDescent="0.25">
      <c r="A43" s="99">
        <v>36</v>
      </c>
      <c r="B43" s="117" t="s">
        <v>770</v>
      </c>
      <c r="C43" s="117">
        <v>34.44</v>
      </c>
    </row>
    <row r="44" spans="1:3" x14ac:dyDescent="0.25">
      <c r="A44" s="99">
        <v>37</v>
      </c>
      <c r="B44" s="117" t="s">
        <v>770</v>
      </c>
      <c r="C44" s="117">
        <v>34</v>
      </c>
    </row>
    <row r="45" spans="1:3" x14ac:dyDescent="0.25">
      <c r="A45" s="99">
        <v>38</v>
      </c>
      <c r="B45" s="117" t="s">
        <v>770</v>
      </c>
      <c r="C45" s="117">
        <v>33.552999999999997</v>
      </c>
    </row>
    <row r="46" spans="1:3" x14ac:dyDescent="0.25">
      <c r="A46" s="99">
        <v>39</v>
      </c>
      <c r="B46" s="117" t="s">
        <v>770</v>
      </c>
      <c r="C46" s="117">
        <v>33.097999999999999</v>
      </c>
    </row>
    <row r="47" spans="1:3" x14ac:dyDescent="0.25">
      <c r="A47" s="99">
        <v>40</v>
      </c>
      <c r="B47" s="117" t="s">
        <v>770</v>
      </c>
      <c r="C47" s="117">
        <v>32.637</v>
      </c>
    </row>
    <row r="48" spans="1:3" x14ac:dyDescent="0.25">
      <c r="A48" s="99">
        <v>41</v>
      </c>
      <c r="B48" s="117" t="s">
        <v>770</v>
      </c>
      <c r="C48" s="117">
        <v>32.167999999999999</v>
      </c>
    </row>
    <row r="49" spans="1:3" x14ac:dyDescent="0.25">
      <c r="A49" s="99">
        <v>42</v>
      </c>
      <c r="B49" s="117" t="s">
        <v>770</v>
      </c>
      <c r="C49" s="117">
        <v>31.693000000000001</v>
      </c>
    </row>
    <row r="50" spans="1:3" x14ac:dyDescent="0.25">
      <c r="A50" s="99">
        <v>43</v>
      </c>
      <c r="B50" s="117" t="s">
        <v>770</v>
      </c>
      <c r="C50" s="117">
        <v>31.210999999999999</v>
      </c>
    </row>
    <row r="51" spans="1:3" x14ac:dyDescent="0.25">
      <c r="A51" s="99">
        <v>44</v>
      </c>
      <c r="B51" s="117" t="s">
        <v>770</v>
      </c>
      <c r="C51" s="117">
        <v>30.721</v>
      </c>
    </row>
    <row r="52" spans="1:3" x14ac:dyDescent="0.25">
      <c r="A52" s="99">
        <v>45</v>
      </c>
      <c r="B52" s="117" t="s">
        <v>770</v>
      </c>
      <c r="C52" s="117">
        <v>30.224</v>
      </c>
    </row>
    <row r="53" spans="1:3" x14ac:dyDescent="0.25">
      <c r="A53" s="99">
        <v>46</v>
      </c>
      <c r="B53" s="117" t="s">
        <v>770</v>
      </c>
      <c r="C53" s="117">
        <v>29.719000000000001</v>
      </c>
    </row>
    <row r="54" spans="1:3" x14ac:dyDescent="0.25">
      <c r="A54" s="99">
        <v>47</v>
      </c>
      <c r="B54" s="117" t="s">
        <v>770</v>
      </c>
      <c r="C54" s="117">
        <v>29.207000000000001</v>
      </c>
    </row>
    <row r="55" spans="1:3" x14ac:dyDescent="0.25">
      <c r="A55" s="99">
        <v>48</v>
      </c>
      <c r="B55" s="117" t="s">
        <v>770</v>
      </c>
      <c r="C55" s="117">
        <v>28.687999999999999</v>
      </c>
    </row>
    <row r="56" spans="1:3" x14ac:dyDescent="0.25">
      <c r="A56" s="99">
        <v>49</v>
      </c>
      <c r="B56" s="117" t="s">
        <v>770</v>
      </c>
      <c r="C56" s="117">
        <v>28.161000000000001</v>
      </c>
    </row>
    <row r="57" spans="1:3" x14ac:dyDescent="0.25">
      <c r="A57" s="99">
        <v>50</v>
      </c>
      <c r="B57" s="117" t="s">
        <v>770</v>
      </c>
      <c r="C57" s="117">
        <v>27.626000000000001</v>
      </c>
    </row>
    <row r="58" spans="1:3" x14ac:dyDescent="0.25">
      <c r="A58" s="99">
        <v>51</v>
      </c>
      <c r="B58" s="117" t="s">
        <v>770</v>
      </c>
      <c r="C58" s="117">
        <v>27.082999999999998</v>
      </c>
    </row>
    <row r="59" spans="1:3" x14ac:dyDescent="0.25">
      <c r="A59" s="99">
        <v>52</v>
      </c>
      <c r="B59" s="117" t="s">
        <v>770</v>
      </c>
      <c r="C59" s="117">
        <v>26.533000000000001</v>
      </c>
    </row>
    <row r="60" spans="1:3" x14ac:dyDescent="0.25">
      <c r="A60" s="99">
        <v>53</v>
      </c>
      <c r="B60" s="117" t="s">
        <v>770</v>
      </c>
      <c r="C60" s="117">
        <v>25.975000000000001</v>
      </c>
    </row>
    <row r="61" spans="1:3" x14ac:dyDescent="0.25">
      <c r="A61" s="99">
        <v>54</v>
      </c>
      <c r="B61" s="117" t="s">
        <v>770</v>
      </c>
      <c r="C61" s="117">
        <v>25.408000000000001</v>
      </c>
    </row>
    <row r="62" spans="1:3" x14ac:dyDescent="0.25">
      <c r="A62" s="99">
        <v>55</v>
      </c>
      <c r="B62" s="117">
        <v>25.803000000000001</v>
      </c>
      <c r="C62" s="117">
        <v>24.835000000000001</v>
      </c>
    </row>
    <row r="63" spans="1:3" x14ac:dyDescent="0.25">
      <c r="A63" s="99">
        <v>56</v>
      </c>
      <c r="B63" s="117">
        <v>25.225000000000001</v>
      </c>
      <c r="C63" s="117">
        <v>24.253</v>
      </c>
    </row>
    <row r="64" spans="1:3" x14ac:dyDescent="0.25">
      <c r="A64" s="99">
        <v>57</v>
      </c>
      <c r="B64" s="117">
        <v>24.640999999999998</v>
      </c>
      <c r="C64" s="117">
        <v>23.664999999999999</v>
      </c>
    </row>
    <row r="65" spans="1:3" x14ac:dyDescent="0.25">
      <c r="A65" s="99">
        <v>58</v>
      </c>
      <c r="B65" s="117">
        <v>24.05</v>
      </c>
      <c r="C65" s="117">
        <v>23.068999999999999</v>
      </c>
    </row>
    <row r="66" spans="1:3" x14ac:dyDescent="0.25">
      <c r="A66" s="99">
        <v>59</v>
      </c>
      <c r="B66" s="117">
        <v>23.452000000000002</v>
      </c>
      <c r="C66" s="117">
        <v>22.466999999999999</v>
      </c>
    </row>
    <row r="67" spans="1:3" x14ac:dyDescent="0.25">
      <c r="A67" s="99">
        <v>60</v>
      </c>
      <c r="B67" s="117">
        <v>22.847999999999999</v>
      </c>
      <c r="C67" s="117">
        <v>21.859000000000002</v>
      </c>
    </row>
    <row r="68" spans="1:3" x14ac:dyDescent="0.25">
      <c r="A68" s="99">
        <v>61</v>
      </c>
      <c r="B68" s="117">
        <v>22.236999999999998</v>
      </c>
      <c r="C68" s="117">
        <v>21.245000000000001</v>
      </c>
    </row>
    <row r="69" spans="1:3" x14ac:dyDescent="0.25">
      <c r="A69" s="99">
        <v>62</v>
      </c>
      <c r="B69" s="117">
        <v>21.620999999999999</v>
      </c>
      <c r="C69" s="117">
        <v>20.625</v>
      </c>
    </row>
    <row r="70" spans="1:3" x14ac:dyDescent="0.25">
      <c r="A70" s="99">
        <v>63</v>
      </c>
      <c r="B70" s="117">
        <v>21</v>
      </c>
      <c r="C70" s="117">
        <v>20.001000000000001</v>
      </c>
    </row>
    <row r="71" spans="1:3" x14ac:dyDescent="0.25">
      <c r="A71" s="99">
        <v>64</v>
      </c>
      <c r="B71" s="117">
        <v>20.372</v>
      </c>
      <c r="C71" s="117">
        <v>19.373000000000001</v>
      </c>
    </row>
    <row r="72" spans="1:3" x14ac:dyDescent="0.25">
      <c r="A72" s="99">
        <v>65</v>
      </c>
      <c r="B72" s="117">
        <v>19.727</v>
      </c>
      <c r="C72" s="117">
        <v>18.727</v>
      </c>
    </row>
    <row r="73" spans="1:3" x14ac:dyDescent="0.25">
      <c r="A73" s="99">
        <v>66</v>
      </c>
      <c r="B73" s="117">
        <v>19.067</v>
      </c>
      <c r="C73" s="117">
        <v>18.065999999999999</v>
      </c>
    </row>
    <row r="74" spans="1:3" x14ac:dyDescent="0.25">
      <c r="A74" s="99">
        <v>67</v>
      </c>
      <c r="B74" s="117">
        <v>18.405000000000001</v>
      </c>
      <c r="C74" s="117">
        <v>17.402999999999999</v>
      </c>
    </row>
    <row r="75" spans="1:3" x14ac:dyDescent="0.25">
      <c r="A75" s="99">
        <v>68</v>
      </c>
      <c r="B75" s="117">
        <v>17.742000000000001</v>
      </c>
      <c r="C75" s="117">
        <v>16.742000000000001</v>
      </c>
    </row>
    <row r="76" spans="1:3" x14ac:dyDescent="0.25">
      <c r="A76" s="99">
        <v>69</v>
      </c>
      <c r="B76" s="117">
        <v>17.056999999999999</v>
      </c>
      <c r="C76" s="117">
        <v>16.085000000000001</v>
      </c>
    </row>
    <row r="77" spans="1:3" x14ac:dyDescent="0.25">
      <c r="A77" s="99">
        <v>70</v>
      </c>
      <c r="B77" s="117">
        <v>16.373000000000001</v>
      </c>
      <c r="C77" s="117">
        <v>15.43</v>
      </c>
    </row>
    <row r="78" spans="1:3" x14ac:dyDescent="0.25">
      <c r="A78" s="99">
        <v>71</v>
      </c>
      <c r="B78" s="117">
        <v>15.712</v>
      </c>
      <c r="C78" s="117">
        <v>14.776999999999999</v>
      </c>
    </row>
    <row r="79" spans="1:3" x14ac:dyDescent="0.25">
      <c r="A79" s="99">
        <v>72</v>
      </c>
      <c r="B79" s="117">
        <v>15.051</v>
      </c>
      <c r="C79" s="117">
        <v>14.127000000000001</v>
      </c>
    </row>
    <row r="80" spans="1:3" x14ac:dyDescent="0.25">
      <c r="A80" s="99">
        <v>73</v>
      </c>
      <c r="B80" s="117">
        <v>14.388999999999999</v>
      </c>
      <c r="C80" s="117">
        <v>13.478</v>
      </c>
    </row>
    <row r="81" spans="1:3" x14ac:dyDescent="0.25">
      <c r="A81" s="99">
        <v>74</v>
      </c>
      <c r="B81" s="117">
        <v>13.69</v>
      </c>
      <c r="C81" s="117">
        <v>12.833</v>
      </c>
    </row>
    <row r="82" spans="1:3" x14ac:dyDescent="0.25">
      <c r="A82" s="99">
        <v>75</v>
      </c>
      <c r="B82" s="117">
        <v>12.992000000000001</v>
      </c>
      <c r="C82" s="117">
        <v>12.192</v>
      </c>
    </row>
    <row r="83" spans="1:3" x14ac:dyDescent="0.25">
      <c r="A83" s="99">
        <v>76</v>
      </c>
      <c r="B83" s="117">
        <v>12.337999999999999</v>
      </c>
      <c r="C83" s="117">
        <v>11.557</v>
      </c>
    </row>
    <row r="84" spans="1:3" x14ac:dyDescent="0.25">
      <c r="A84" s="99">
        <v>77</v>
      </c>
      <c r="B84" s="117">
        <v>11.69</v>
      </c>
      <c r="C84" s="117">
        <v>10.93</v>
      </c>
    </row>
    <row r="85" spans="1:3" x14ac:dyDescent="0.25">
      <c r="A85" s="99">
        <v>78</v>
      </c>
      <c r="B85" s="117">
        <v>11.048999999999999</v>
      </c>
      <c r="C85" s="117">
        <v>10.313000000000001</v>
      </c>
    </row>
    <row r="86" spans="1:3" x14ac:dyDescent="0.25">
      <c r="A86" s="99">
        <v>79</v>
      </c>
      <c r="B86" s="117">
        <v>10.371</v>
      </c>
      <c r="C86" s="117">
        <v>9.7080000000000002</v>
      </c>
    </row>
    <row r="87" spans="1:3" x14ac:dyDescent="0.25">
      <c r="A87" s="99">
        <v>80</v>
      </c>
      <c r="B87" s="117">
        <v>9.7059999999999995</v>
      </c>
      <c r="C87" s="117">
        <v>9.1180000000000003</v>
      </c>
    </row>
    <row r="88" spans="1:3" x14ac:dyDescent="0.25">
      <c r="A88" s="99">
        <v>81</v>
      </c>
      <c r="B88" s="117">
        <v>9.1039999999999992</v>
      </c>
      <c r="C88" s="117">
        <v>8.5440000000000005</v>
      </c>
    </row>
    <row r="89" spans="1:3" x14ac:dyDescent="0.25">
      <c r="A89" s="99">
        <v>82</v>
      </c>
      <c r="B89" s="117">
        <v>8.52</v>
      </c>
      <c r="C89" s="117">
        <v>7.99</v>
      </c>
    </row>
    <row r="90" spans="1:3" x14ac:dyDescent="0.25">
      <c r="A90" s="99">
        <v>83</v>
      </c>
      <c r="B90" s="117">
        <v>7.9539999999999997</v>
      </c>
      <c r="C90" s="117">
        <v>7.4550000000000001</v>
      </c>
    </row>
    <row r="91" spans="1:3" x14ac:dyDescent="0.25">
      <c r="A91" s="99">
        <v>84</v>
      </c>
      <c r="B91" s="117">
        <v>7.3659999999999997</v>
      </c>
      <c r="C91" s="117">
        <v>6.9420000000000002</v>
      </c>
    </row>
    <row r="92" spans="1:3" x14ac:dyDescent="0.25">
      <c r="A92" s="99">
        <v>85</v>
      </c>
      <c r="B92" s="117">
        <v>6.8019999999999996</v>
      </c>
      <c r="C92" s="117">
        <v>6.45</v>
      </c>
    </row>
    <row r="93" spans="1:3" x14ac:dyDescent="0.25">
      <c r="A93" s="99">
        <v>86</v>
      </c>
      <c r="B93" s="117">
        <v>6.306</v>
      </c>
      <c r="C93" s="117">
        <v>5.9829999999999997</v>
      </c>
    </row>
    <row r="94" spans="1:3" x14ac:dyDescent="0.25">
      <c r="A94" s="99">
        <v>87</v>
      </c>
      <c r="B94" s="117">
        <v>5.8369999999999997</v>
      </c>
      <c r="C94" s="117">
        <v>5.54</v>
      </c>
    </row>
    <row r="95" spans="1:3" x14ac:dyDescent="0.25">
      <c r="A95" s="99">
        <v>88</v>
      </c>
      <c r="B95" s="117">
        <v>5.3959999999999999</v>
      </c>
      <c r="C95" s="117">
        <v>5.1230000000000002</v>
      </c>
    </row>
    <row r="96" spans="1:3" x14ac:dyDescent="0.25">
      <c r="A96" s="99">
        <v>89</v>
      </c>
      <c r="B96" s="117">
        <v>4.9480000000000004</v>
      </c>
      <c r="C96" s="117">
        <v>4.7329999999999997</v>
      </c>
    </row>
    <row r="97" spans="1:3" x14ac:dyDescent="0.25">
      <c r="A97" s="99">
        <v>90</v>
      </c>
      <c r="B97" s="117">
        <v>4.5289999999999999</v>
      </c>
      <c r="C97" s="117">
        <v>4.37</v>
      </c>
    </row>
    <row r="98" spans="1:3" x14ac:dyDescent="0.25">
      <c r="A98" s="99">
        <v>91</v>
      </c>
      <c r="B98" s="117">
        <v>4.1779999999999999</v>
      </c>
      <c r="C98" s="117">
        <v>4.0350000000000001</v>
      </c>
    </row>
    <row r="99" spans="1:3" x14ac:dyDescent="0.25">
      <c r="A99" s="99">
        <v>92</v>
      </c>
      <c r="B99" s="117">
        <v>3.8559999999999999</v>
      </c>
      <c r="C99" s="117">
        <v>3.7290000000000001</v>
      </c>
    </row>
    <row r="100" spans="1:3" x14ac:dyDescent="0.25">
      <c r="A100" s="99">
        <v>93</v>
      </c>
      <c r="B100" s="117">
        <v>3.5619999999999998</v>
      </c>
      <c r="C100" s="117">
        <v>3.4510000000000001</v>
      </c>
    </row>
    <row r="101" spans="1:3" x14ac:dyDescent="0.25">
      <c r="A101" s="99">
        <v>94</v>
      </c>
      <c r="B101" s="117">
        <v>3.2949999999999999</v>
      </c>
      <c r="C101" s="117">
        <v>3.1989999999999998</v>
      </c>
    </row>
    <row r="102" spans="1:3" x14ac:dyDescent="0.25">
      <c r="A102" s="99">
        <v>95</v>
      </c>
      <c r="B102" s="117">
        <v>3.0539999999999998</v>
      </c>
      <c r="C102" s="117">
        <v>2.9729999999999999</v>
      </c>
    </row>
    <row r="103" spans="1:3" x14ac:dyDescent="0.25">
      <c r="A103" s="99">
        <v>96</v>
      </c>
      <c r="B103" s="117">
        <v>2.839</v>
      </c>
      <c r="C103" s="117">
        <v>2.7719999999999998</v>
      </c>
    </row>
    <row r="104" spans="1:3" x14ac:dyDescent="0.25">
      <c r="A104" s="99">
        <v>97</v>
      </c>
      <c r="B104" s="117">
        <v>2.6480000000000001</v>
      </c>
      <c r="C104" s="117">
        <v>2.5939999999999999</v>
      </c>
    </row>
    <row r="105" spans="1:3" x14ac:dyDescent="0.25">
      <c r="A105" s="99">
        <v>98</v>
      </c>
      <c r="B105" s="117">
        <v>2.4820000000000002</v>
      </c>
      <c r="C105" s="117">
        <v>2.4390000000000001</v>
      </c>
    </row>
    <row r="106" spans="1:3" x14ac:dyDescent="0.25">
      <c r="A106" s="99">
        <v>99</v>
      </c>
      <c r="B106" s="117">
        <v>2.3479999999999999</v>
      </c>
      <c r="C106" s="117">
        <v>2.3149999999999999</v>
      </c>
    </row>
    <row r="107" spans="1:3" x14ac:dyDescent="0.25">
      <c r="A107" s="99">
        <v>100</v>
      </c>
      <c r="B107" s="117">
        <v>2.2490000000000001</v>
      </c>
      <c r="C107" s="117">
        <v>2.222</v>
      </c>
    </row>
  </sheetData>
  <sheetProtection algorithmName="SHA-512" hashValue="gb+397lNj2bkpv3J3Dc85QxnkQfzxupEld6dFpzcc0Vug+i/0B1nzDUGIg3zNbmiNcj97qgJq2dOyGgafyH9ow==" saltValue="Fl6mzhMkPGsi9jF2z/7sCQ==" spinCount="100000" sheet="1" objects="1" scenarios="1"/>
  <conditionalFormatting sqref="A6:A21">
    <cfRule type="expression" dxfId="567" priority="7" stopIfTrue="1">
      <formula>MOD(ROW(),2)=0</formula>
    </cfRule>
    <cfRule type="expression" dxfId="566" priority="8" stopIfTrue="1">
      <formula>MOD(ROW(),2)&lt;&gt;0</formula>
    </cfRule>
  </conditionalFormatting>
  <conditionalFormatting sqref="A26:A107">
    <cfRule type="expression" dxfId="565" priority="1" stopIfTrue="1">
      <formula>MOD(ROW(),2)=0</formula>
    </cfRule>
    <cfRule type="expression" dxfId="564" priority="2" stopIfTrue="1">
      <formula>MOD(ROW(),2)&lt;&gt;0</formula>
    </cfRule>
  </conditionalFormatting>
  <conditionalFormatting sqref="B17:B21">
    <cfRule type="expression" dxfId="563" priority="5" stopIfTrue="1">
      <formula>MOD(ROW(),2)=0</formula>
    </cfRule>
    <cfRule type="expression" dxfId="562" priority="6" stopIfTrue="1">
      <formula>MOD(ROW(),2)&lt;&gt;0</formula>
    </cfRule>
  </conditionalFormatting>
  <conditionalFormatting sqref="B6:C21">
    <cfRule type="expression" dxfId="561" priority="17" stopIfTrue="1">
      <formula>MOD(ROW(),2)=0</formula>
    </cfRule>
    <cfRule type="expression" dxfId="560" priority="18" stopIfTrue="1">
      <formula>MOD(ROW(),2)&lt;&gt;0</formula>
    </cfRule>
  </conditionalFormatting>
  <conditionalFormatting sqref="B26:C107">
    <cfRule type="expression" dxfId="559" priority="3" stopIfTrue="1">
      <formula>MOD(ROW(),2)=0</formula>
    </cfRule>
    <cfRule type="expression" dxfId="558" priority="4" stopIfTrue="1">
      <formula>MOD(ROW(),2)&lt;&gt;0</formula>
    </cfRule>
  </conditionalFormatting>
  <hyperlinks>
    <hyperlink ref="B24" location="Assumptions!A1" display="Assumptions" xr:uid="{1BEA1F61-6D08-4FC2-9D93-2F71E6229A7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71"/>
  <dimension ref="A1:I107"/>
  <sheetViews>
    <sheetView showGridLines="0" zoomScale="85" zoomScaleNormal="85" workbookViewId="0">
      <selection activeCell="A4" sqref="A4"/>
    </sheetView>
  </sheetViews>
  <sheetFormatPr defaultColWidth="10" defaultRowHeight="12.5" x14ac:dyDescent="0.25"/>
  <cols>
    <col min="1" max="1" width="31.90625" style="25" customWidth="1"/>
    <col min="2" max="3" width="22.90625" style="25" customWidth="1"/>
    <col min="4" max="4" width="10" style="25" customWidth="1"/>
    <col min="5"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Triv Comm - x-503</v>
      </c>
      <c r="B3" s="39"/>
      <c r="C3" s="39"/>
      <c r="D3" s="39"/>
      <c r="E3" s="39"/>
      <c r="F3" s="39"/>
      <c r="G3" s="39"/>
      <c r="H3" s="39"/>
      <c r="I3" s="39"/>
    </row>
    <row r="4" spans="1:9" x14ac:dyDescent="0.25">
      <c r="A4" s="41"/>
    </row>
    <row r="6" spans="1:9" ht="13" x14ac:dyDescent="0.3">
      <c r="A6" s="83" t="s">
        <v>276</v>
      </c>
      <c r="B6" s="161" t="s">
        <v>277</v>
      </c>
      <c r="C6" s="161"/>
    </row>
    <row r="7" spans="1:9" x14ac:dyDescent="0.25">
      <c r="A7" s="85" t="s">
        <v>278</v>
      </c>
      <c r="B7" s="161" t="s">
        <v>310</v>
      </c>
      <c r="C7" s="161"/>
    </row>
    <row r="8" spans="1:9" x14ac:dyDescent="0.25">
      <c r="A8" s="85" t="s">
        <v>280</v>
      </c>
      <c r="B8" s="161" t="s">
        <v>74</v>
      </c>
      <c r="C8" s="161"/>
    </row>
    <row r="9" spans="1:9" x14ac:dyDescent="0.25">
      <c r="A9" s="85" t="s">
        <v>282</v>
      </c>
      <c r="B9" s="161" t="s">
        <v>483</v>
      </c>
      <c r="C9" s="161"/>
    </row>
    <row r="10" spans="1:9" ht="12.65" customHeight="1" x14ac:dyDescent="0.25">
      <c r="A10" s="85" t="s">
        <v>6</v>
      </c>
      <c r="B10" s="161" t="s">
        <v>484</v>
      </c>
      <c r="C10" s="161"/>
    </row>
    <row r="11" spans="1:9" x14ac:dyDescent="0.25">
      <c r="A11" s="85" t="s">
        <v>285</v>
      </c>
      <c r="B11" s="161" t="s">
        <v>359</v>
      </c>
      <c r="C11" s="161"/>
    </row>
    <row r="12" spans="1:9" x14ac:dyDescent="0.25">
      <c r="A12" s="85" t="s">
        <v>287</v>
      </c>
      <c r="B12" s="161" t="s">
        <v>408</v>
      </c>
      <c r="C12" s="161"/>
    </row>
    <row r="13" spans="1:9" x14ac:dyDescent="0.25">
      <c r="A13" s="85" t="s">
        <v>289</v>
      </c>
      <c r="B13" s="161">
        <v>0</v>
      </c>
      <c r="C13" s="161"/>
    </row>
    <row r="14" spans="1:9" x14ac:dyDescent="0.25">
      <c r="A14" s="85" t="s">
        <v>291</v>
      </c>
      <c r="B14" s="161">
        <v>503</v>
      </c>
      <c r="C14" s="161"/>
    </row>
    <row r="15" spans="1:9" x14ac:dyDescent="0.25">
      <c r="A15" s="85" t="s">
        <v>293</v>
      </c>
      <c r="B15" s="161" t="s">
        <v>489</v>
      </c>
      <c r="C15" s="161"/>
    </row>
    <row r="16" spans="1:9" x14ac:dyDescent="0.25">
      <c r="A16" s="85" t="s">
        <v>295</v>
      </c>
      <c r="B16" s="161" t="s">
        <v>490</v>
      </c>
      <c r="C16" s="161"/>
    </row>
    <row r="17" spans="1:3" x14ac:dyDescent="0.25">
      <c r="A17" s="69" t="s">
        <v>725</v>
      </c>
      <c r="B17" s="161"/>
      <c r="C17" s="161"/>
    </row>
    <row r="18" spans="1:3" x14ac:dyDescent="0.25">
      <c r="A18" s="85" t="s">
        <v>299</v>
      </c>
      <c r="B18" s="162">
        <v>45135</v>
      </c>
      <c r="C18" s="161"/>
    </row>
    <row r="19" spans="1:3" x14ac:dyDescent="0.25">
      <c r="A19" s="85" t="s">
        <v>301</v>
      </c>
      <c r="B19" s="162">
        <v>45200</v>
      </c>
      <c r="C19" s="161"/>
    </row>
    <row r="20" spans="1:3" x14ac:dyDescent="0.25">
      <c r="A20" s="85" t="s">
        <v>303</v>
      </c>
      <c r="B20" s="161" t="s">
        <v>317</v>
      </c>
      <c r="C20" s="161"/>
    </row>
    <row r="21" spans="1:3" x14ac:dyDescent="0.25">
      <c r="A21" s="85" t="s">
        <v>309</v>
      </c>
      <c r="B21" s="161" t="s">
        <v>318</v>
      </c>
      <c r="C21" s="161"/>
    </row>
    <row r="23" spans="1:3" x14ac:dyDescent="0.25">
      <c r="B23" s="103" t="str">
        <f>HYPERLINK("#'Factor List'!A1","Back to Factor List")</f>
        <v>Back to Factor List</v>
      </c>
    </row>
    <row r="24" spans="1:3" x14ac:dyDescent="0.25">
      <c r="B24" s="103" t="s">
        <v>15</v>
      </c>
    </row>
    <row r="26" spans="1:3" ht="26" x14ac:dyDescent="0.25">
      <c r="A26" s="98" t="s">
        <v>408</v>
      </c>
      <c r="B26" s="98" t="s">
        <v>768</v>
      </c>
      <c r="C26" s="98" t="s">
        <v>769</v>
      </c>
    </row>
    <row r="27" spans="1:3" x14ac:dyDescent="0.25">
      <c r="A27" s="99">
        <v>20</v>
      </c>
      <c r="B27" s="117" t="s">
        <v>770</v>
      </c>
      <c r="C27" s="117">
        <v>40.594999999999999</v>
      </c>
    </row>
    <row r="28" spans="1:3" x14ac:dyDescent="0.25">
      <c r="A28" s="99">
        <v>21</v>
      </c>
      <c r="B28" s="117" t="s">
        <v>770</v>
      </c>
      <c r="C28" s="117">
        <v>40.256</v>
      </c>
    </row>
    <row r="29" spans="1:3" x14ac:dyDescent="0.25">
      <c r="A29" s="99">
        <v>22</v>
      </c>
      <c r="B29" s="117" t="s">
        <v>770</v>
      </c>
      <c r="C29" s="117">
        <v>39.911999999999999</v>
      </c>
    </row>
    <row r="30" spans="1:3" x14ac:dyDescent="0.25">
      <c r="A30" s="99">
        <v>23</v>
      </c>
      <c r="B30" s="117" t="s">
        <v>770</v>
      </c>
      <c r="C30" s="117">
        <v>39.561999999999998</v>
      </c>
    </row>
    <row r="31" spans="1:3" x14ac:dyDescent="0.25">
      <c r="A31" s="99">
        <v>24</v>
      </c>
      <c r="B31" s="117" t="s">
        <v>770</v>
      </c>
      <c r="C31" s="117">
        <v>39.206000000000003</v>
      </c>
    </row>
    <row r="32" spans="1:3" x14ac:dyDescent="0.25">
      <c r="A32" s="99">
        <v>25</v>
      </c>
      <c r="B32" s="117" t="s">
        <v>770</v>
      </c>
      <c r="C32" s="117">
        <v>38.843000000000004</v>
      </c>
    </row>
    <row r="33" spans="1:3" x14ac:dyDescent="0.25">
      <c r="A33" s="99">
        <v>26</v>
      </c>
      <c r="B33" s="117" t="s">
        <v>770</v>
      </c>
      <c r="C33" s="117">
        <v>38.475000000000001</v>
      </c>
    </row>
    <row r="34" spans="1:3" x14ac:dyDescent="0.25">
      <c r="A34" s="99">
        <v>27</v>
      </c>
      <c r="B34" s="117" t="s">
        <v>770</v>
      </c>
      <c r="C34" s="117">
        <v>38.1</v>
      </c>
    </row>
    <row r="35" spans="1:3" x14ac:dyDescent="0.25">
      <c r="A35" s="99">
        <v>28</v>
      </c>
      <c r="B35" s="117" t="s">
        <v>770</v>
      </c>
      <c r="C35" s="117">
        <v>37.718000000000004</v>
      </c>
    </row>
    <row r="36" spans="1:3" x14ac:dyDescent="0.25">
      <c r="A36" s="99">
        <v>29</v>
      </c>
      <c r="B36" s="117" t="s">
        <v>770</v>
      </c>
      <c r="C36" s="117">
        <v>37.331000000000003</v>
      </c>
    </row>
    <row r="37" spans="1:3" x14ac:dyDescent="0.25">
      <c r="A37" s="99">
        <v>30</v>
      </c>
      <c r="B37" s="117" t="s">
        <v>770</v>
      </c>
      <c r="C37" s="117">
        <v>36.938000000000002</v>
      </c>
    </row>
    <row r="38" spans="1:3" x14ac:dyDescent="0.25">
      <c r="A38" s="99">
        <v>31</v>
      </c>
      <c r="B38" s="117" t="s">
        <v>770</v>
      </c>
      <c r="C38" s="117">
        <v>36.537999999999997</v>
      </c>
    </row>
    <row r="39" spans="1:3" x14ac:dyDescent="0.25">
      <c r="A39" s="99">
        <v>32</v>
      </c>
      <c r="B39" s="117" t="s">
        <v>770</v>
      </c>
      <c r="C39" s="117">
        <v>36.131999999999998</v>
      </c>
    </row>
    <row r="40" spans="1:3" x14ac:dyDescent="0.25">
      <c r="A40" s="99">
        <v>33</v>
      </c>
      <c r="B40" s="117" t="s">
        <v>770</v>
      </c>
      <c r="C40" s="117">
        <v>35.719000000000001</v>
      </c>
    </row>
    <row r="41" spans="1:3" x14ac:dyDescent="0.25">
      <c r="A41" s="99">
        <v>34</v>
      </c>
      <c r="B41" s="117" t="s">
        <v>770</v>
      </c>
      <c r="C41" s="117">
        <v>35.298999999999999</v>
      </c>
    </row>
    <row r="42" spans="1:3" x14ac:dyDescent="0.25">
      <c r="A42" s="99">
        <v>35</v>
      </c>
      <c r="B42" s="117" t="s">
        <v>770</v>
      </c>
      <c r="C42" s="117">
        <v>34.872999999999998</v>
      </c>
    </row>
    <row r="43" spans="1:3" x14ac:dyDescent="0.25">
      <c r="A43" s="99">
        <v>36</v>
      </c>
      <c r="B43" s="117" t="s">
        <v>770</v>
      </c>
      <c r="C43" s="117">
        <v>34.44</v>
      </c>
    </row>
    <row r="44" spans="1:3" x14ac:dyDescent="0.25">
      <c r="A44" s="99">
        <v>37</v>
      </c>
      <c r="B44" s="117" t="s">
        <v>770</v>
      </c>
      <c r="C44" s="117">
        <v>34</v>
      </c>
    </row>
    <row r="45" spans="1:3" x14ac:dyDescent="0.25">
      <c r="A45" s="99">
        <v>38</v>
      </c>
      <c r="B45" s="117" t="s">
        <v>770</v>
      </c>
      <c r="C45" s="117">
        <v>33.552999999999997</v>
      </c>
    </row>
    <row r="46" spans="1:3" x14ac:dyDescent="0.25">
      <c r="A46" s="99">
        <v>39</v>
      </c>
      <c r="B46" s="117" t="s">
        <v>770</v>
      </c>
      <c r="C46" s="117">
        <v>33.097999999999999</v>
      </c>
    </row>
    <row r="47" spans="1:3" x14ac:dyDescent="0.25">
      <c r="A47" s="99">
        <v>40</v>
      </c>
      <c r="B47" s="117" t="s">
        <v>770</v>
      </c>
      <c r="C47" s="117">
        <v>32.637</v>
      </c>
    </row>
    <row r="48" spans="1:3" x14ac:dyDescent="0.25">
      <c r="A48" s="99">
        <v>41</v>
      </c>
      <c r="B48" s="117" t="s">
        <v>770</v>
      </c>
      <c r="C48" s="117">
        <v>32.167999999999999</v>
      </c>
    </row>
    <row r="49" spans="1:3" x14ac:dyDescent="0.25">
      <c r="A49" s="99">
        <v>42</v>
      </c>
      <c r="B49" s="117" t="s">
        <v>770</v>
      </c>
      <c r="C49" s="117">
        <v>31.693000000000001</v>
      </c>
    </row>
    <row r="50" spans="1:3" x14ac:dyDescent="0.25">
      <c r="A50" s="99">
        <v>43</v>
      </c>
      <c r="B50" s="117" t="s">
        <v>770</v>
      </c>
      <c r="C50" s="117">
        <v>31.210999999999999</v>
      </c>
    </row>
    <row r="51" spans="1:3" x14ac:dyDescent="0.25">
      <c r="A51" s="99">
        <v>44</v>
      </c>
      <c r="B51" s="117" t="s">
        <v>770</v>
      </c>
      <c r="C51" s="117">
        <v>30.721</v>
      </c>
    </row>
    <row r="52" spans="1:3" x14ac:dyDescent="0.25">
      <c r="A52" s="99">
        <v>45</v>
      </c>
      <c r="B52" s="117" t="s">
        <v>770</v>
      </c>
      <c r="C52" s="117">
        <v>30.224</v>
      </c>
    </row>
    <row r="53" spans="1:3" x14ac:dyDescent="0.25">
      <c r="A53" s="99">
        <v>46</v>
      </c>
      <c r="B53" s="117" t="s">
        <v>770</v>
      </c>
      <c r="C53" s="117">
        <v>29.719000000000001</v>
      </c>
    </row>
    <row r="54" spans="1:3" x14ac:dyDescent="0.25">
      <c r="A54" s="99">
        <v>47</v>
      </c>
      <c r="B54" s="117" t="s">
        <v>770</v>
      </c>
      <c r="C54" s="117">
        <v>29.207000000000001</v>
      </c>
    </row>
    <row r="55" spans="1:3" x14ac:dyDescent="0.25">
      <c r="A55" s="99">
        <v>48</v>
      </c>
      <c r="B55" s="117" t="s">
        <v>770</v>
      </c>
      <c r="C55" s="117">
        <v>28.687999999999999</v>
      </c>
    </row>
    <row r="56" spans="1:3" x14ac:dyDescent="0.25">
      <c r="A56" s="99">
        <v>49</v>
      </c>
      <c r="B56" s="117" t="s">
        <v>770</v>
      </c>
      <c r="C56" s="117">
        <v>28.161000000000001</v>
      </c>
    </row>
    <row r="57" spans="1:3" x14ac:dyDescent="0.25">
      <c r="A57" s="99">
        <v>50</v>
      </c>
      <c r="B57" s="117" t="s">
        <v>770</v>
      </c>
      <c r="C57" s="117">
        <v>27.626000000000001</v>
      </c>
    </row>
    <row r="58" spans="1:3" x14ac:dyDescent="0.25">
      <c r="A58" s="99">
        <v>51</v>
      </c>
      <c r="B58" s="117" t="s">
        <v>770</v>
      </c>
      <c r="C58" s="117">
        <v>27.082999999999998</v>
      </c>
    </row>
    <row r="59" spans="1:3" x14ac:dyDescent="0.25">
      <c r="A59" s="99">
        <v>52</v>
      </c>
      <c r="B59" s="117" t="s">
        <v>770</v>
      </c>
      <c r="C59" s="117">
        <v>26.533000000000001</v>
      </c>
    </row>
    <row r="60" spans="1:3" x14ac:dyDescent="0.25">
      <c r="A60" s="99">
        <v>53</v>
      </c>
      <c r="B60" s="117" t="s">
        <v>770</v>
      </c>
      <c r="C60" s="117">
        <v>25.975000000000001</v>
      </c>
    </row>
    <row r="61" spans="1:3" x14ac:dyDescent="0.25">
      <c r="A61" s="99">
        <v>54</v>
      </c>
      <c r="B61" s="117" t="s">
        <v>770</v>
      </c>
      <c r="C61" s="117">
        <v>25.408000000000001</v>
      </c>
    </row>
    <row r="62" spans="1:3" x14ac:dyDescent="0.25">
      <c r="A62" s="99">
        <v>55</v>
      </c>
      <c r="B62" s="117">
        <v>25.739000000000001</v>
      </c>
      <c r="C62" s="117">
        <v>24.835000000000001</v>
      </c>
    </row>
    <row r="63" spans="1:3" x14ac:dyDescent="0.25">
      <c r="A63" s="99">
        <v>56</v>
      </c>
      <c r="B63" s="117">
        <v>25.161000000000001</v>
      </c>
      <c r="C63" s="117">
        <v>24.253</v>
      </c>
    </row>
    <row r="64" spans="1:3" x14ac:dyDescent="0.25">
      <c r="A64" s="99">
        <v>57</v>
      </c>
      <c r="B64" s="117">
        <v>24.576000000000001</v>
      </c>
      <c r="C64" s="117">
        <v>23.664999999999999</v>
      </c>
    </row>
    <row r="65" spans="1:3" x14ac:dyDescent="0.25">
      <c r="A65" s="99">
        <v>58</v>
      </c>
      <c r="B65" s="117">
        <v>23.984999999999999</v>
      </c>
      <c r="C65" s="117">
        <v>23.068999999999999</v>
      </c>
    </row>
    <row r="66" spans="1:3" x14ac:dyDescent="0.25">
      <c r="A66" s="99">
        <v>59</v>
      </c>
      <c r="B66" s="117">
        <v>23.385999999999999</v>
      </c>
      <c r="C66" s="117">
        <v>22.466999999999999</v>
      </c>
    </row>
    <row r="67" spans="1:3" x14ac:dyDescent="0.25">
      <c r="A67" s="99">
        <v>60</v>
      </c>
      <c r="B67" s="117">
        <v>22.782</v>
      </c>
      <c r="C67" s="117">
        <v>21.859000000000002</v>
      </c>
    </row>
    <row r="68" spans="1:3" x14ac:dyDescent="0.25">
      <c r="A68" s="99">
        <v>61</v>
      </c>
      <c r="B68" s="117">
        <v>22.170999999999999</v>
      </c>
      <c r="C68" s="117">
        <v>21.245000000000001</v>
      </c>
    </row>
    <row r="69" spans="1:3" x14ac:dyDescent="0.25">
      <c r="A69" s="99">
        <v>62</v>
      </c>
      <c r="B69" s="117">
        <v>21.555</v>
      </c>
      <c r="C69" s="117">
        <v>20.625</v>
      </c>
    </row>
    <row r="70" spans="1:3" x14ac:dyDescent="0.25">
      <c r="A70" s="99">
        <v>63</v>
      </c>
      <c r="B70" s="117">
        <v>20.933</v>
      </c>
      <c r="C70" s="117">
        <v>20.001000000000001</v>
      </c>
    </row>
    <row r="71" spans="1:3" x14ac:dyDescent="0.25">
      <c r="A71" s="99">
        <v>64</v>
      </c>
      <c r="B71" s="117">
        <v>20.305</v>
      </c>
      <c r="C71" s="117">
        <v>19.373000000000001</v>
      </c>
    </row>
    <row r="72" spans="1:3" x14ac:dyDescent="0.25">
      <c r="A72" s="99">
        <v>65</v>
      </c>
      <c r="B72" s="117">
        <v>19.672999999999998</v>
      </c>
      <c r="C72" s="117">
        <v>18.741</v>
      </c>
    </row>
    <row r="73" spans="1:3" x14ac:dyDescent="0.25">
      <c r="A73" s="99">
        <v>66</v>
      </c>
      <c r="B73" s="117">
        <v>19.036000000000001</v>
      </c>
      <c r="C73" s="117">
        <v>18.106000000000002</v>
      </c>
    </row>
    <row r="74" spans="1:3" x14ac:dyDescent="0.25">
      <c r="A74" s="99">
        <v>67</v>
      </c>
      <c r="B74" s="117">
        <v>18.396000000000001</v>
      </c>
      <c r="C74" s="117">
        <v>17.469000000000001</v>
      </c>
    </row>
    <row r="75" spans="1:3" x14ac:dyDescent="0.25">
      <c r="A75" s="99">
        <v>68</v>
      </c>
      <c r="B75" s="117">
        <v>17.736000000000001</v>
      </c>
      <c r="C75" s="117">
        <v>16.811</v>
      </c>
    </row>
    <row r="76" spans="1:3" x14ac:dyDescent="0.25">
      <c r="A76" s="99">
        <v>69</v>
      </c>
      <c r="B76" s="117">
        <v>17.036999999999999</v>
      </c>
      <c r="C76" s="117">
        <v>16.134</v>
      </c>
    </row>
    <row r="77" spans="1:3" x14ac:dyDescent="0.25">
      <c r="A77" s="99">
        <v>70</v>
      </c>
      <c r="B77" s="117">
        <v>16.337</v>
      </c>
      <c r="C77" s="117">
        <v>15.459</v>
      </c>
    </row>
    <row r="78" spans="1:3" x14ac:dyDescent="0.25">
      <c r="A78" s="99">
        <v>71</v>
      </c>
      <c r="B78" s="117">
        <v>15.661</v>
      </c>
      <c r="C78" s="117">
        <v>14.79</v>
      </c>
    </row>
    <row r="79" spans="1:3" x14ac:dyDescent="0.25">
      <c r="A79" s="99">
        <v>72</v>
      </c>
      <c r="B79" s="117">
        <v>14.991</v>
      </c>
      <c r="C79" s="117">
        <v>14.13</v>
      </c>
    </row>
    <row r="80" spans="1:3" x14ac:dyDescent="0.25">
      <c r="A80" s="99">
        <v>73</v>
      </c>
      <c r="B80" s="117">
        <v>14.327999999999999</v>
      </c>
      <c r="C80" s="117">
        <v>13.478</v>
      </c>
    </row>
    <row r="81" spans="1:3" x14ac:dyDescent="0.25">
      <c r="A81" s="99">
        <v>74</v>
      </c>
      <c r="B81" s="117">
        <v>13.632999999999999</v>
      </c>
      <c r="C81" s="117">
        <v>12.833</v>
      </c>
    </row>
    <row r="82" spans="1:3" x14ac:dyDescent="0.25">
      <c r="A82" s="99">
        <v>75</v>
      </c>
      <c r="B82" s="117">
        <v>12.94</v>
      </c>
      <c r="C82" s="117">
        <v>12.192</v>
      </c>
    </row>
    <row r="83" spans="1:3" x14ac:dyDescent="0.25">
      <c r="A83" s="99">
        <v>76</v>
      </c>
      <c r="B83" s="117">
        <v>12.286</v>
      </c>
      <c r="C83" s="117">
        <v>11.557</v>
      </c>
    </row>
    <row r="84" spans="1:3" x14ac:dyDescent="0.25">
      <c r="A84" s="99">
        <v>77</v>
      </c>
      <c r="B84" s="117">
        <v>11.638</v>
      </c>
      <c r="C84" s="117">
        <v>10.93</v>
      </c>
    </row>
    <row r="85" spans="1:3" x14ac:dyDescent="0.25">
      <c r="A85" s="99">
        <v>78</v>
      </c>
      <c r="B85" s="117">
        <v>10.997999999999999</v>
      </c>
      <c r="C85" s="117">
        <v>10.313000000000001</v>
      </c>
    </row>
    <row r="86" spans="1:3" x14ac:dyDescent="0.25">
      <c r="A86" s="99">
        <v>79</v>
      </c>
      <c r="B86" s="117">
        <v>10.326000000000001</v>
      </c>
      <c r="C86" s="117">
        <v>9.7080000000000002</v>
      </c>
    </row>
    <row r="87" spans="1:3" x14ac:dyDescent="0.25">
      <c r="A87" s="99">
        <v>80</v>
      </c>
      <c r="B87" s="117">
        <v>9.6660000000000004</v>
      </c>
      <c r="C87" s="117">
        <v>9.1180000000000003</v>
      </c>
    </row>
    <row r="88" spans="1:3" x14ac:dyDescent="0.25">
      <c r="A88" s="99">
        <v>81</v>
      </c>
      <c r="B88" s="117">
        <v>9.0660000000000007</v>
      </c>
      <c r="C88" s="117">
        <v>8.5440000000000005</v>
      </c>
    </row>
    <row r="89" spans="1:3" x14ac:dyDescent="0.25">
      <c r="A89" s="99">
        <v>82</v>
      </c>
      <c r="B89" s="117">
        <v>8.4819999999999993</v>
      </c>
      <c r="C89" s="117">
        <v>7.99</v>
      </c>
    </row>
    <row r="90" spans="1:3" x14ac:dyDescent="0.25">
      <c r="A90" s="99">
        <v>83</v>
      </c>
      <c r="B90" s="117">
        <v>7.9180000000000001</v>
      </c>
      <c r="C90" s="117">
        <v>7.4550000000000001</v>
      </c>
    </row>
    <row r="91" spans="1:3" x14ac:dyDescent="0.25">
      <c r="A91" s="99">
        <v>84</v>
      </c>
      <c r="B91" s="117">
        <v>7.335</v>
      </c>
      <c r="C91" s="117">
        <v>6.9420000000000002</v>
      </c>
    </row>
    <row r="92" spans="1:3" x14ac:dyDescent="0.25">
      <c r="A92" s="99">
        <v>85</v>
      </c>
      <c r="B92" s="117">
        <v>6.7759999999999998</v>
      </c>
      <c r="C92" s="117">
        <v>6.45</v>
      </c>
    </row>
    <row r="93" spans="1:3" x14ac:dyDescent="0.25">
      <c r="A93" s="99">
        <v>86</v>
      </c>
      <c r="B93" s="117">
        <v>6.2809999999999997</v>
      </c>
      <c r="C93" s="117">
        <v>5.9829999999999997</v>
      </c>
    </row>
    <row r="94" spans="1:3" x14ac:dyDescent="0.25">
      <c r="A94" s="99">
        <v>87</v>
      </c>
      <c r="B94" s="117">
        <v>5.8129999999999997</v>
      </c>
      <c r="C94" s="117">
        <v>5.54</v>
      </c>
    </row>
    <row r="95" spans="1:3" x14ac:dyDescent="0.25">
      <c r="A95" s="99">
        <v>88</v>
      </c>
      <c r="B95" s="117">
        <v>5.3730000000000002</v>
      </c>
      <c r="C95" s="117">
        <v>5.1230000000000002</v>
      </c>
    </row>
    <row r="96" spans="1:3" x14ac:dyDescent="0.25">
      <c r="A96" s="99">
        <v>89</v>
      </c>
      <c r="B96" s="117">
        <v>4.93</v>
      </c>
      <c r="C96" s="117">
        <v>4.7329999999999997</v>
      </c>
    </row>
    <row r="97" spans="1:3" x14ac:dyDescent="0.25">
      <c r="A97" s="99">
        <v>90</v>
      </c>
      <c r="B97" s="117">
        <v>4.516</v>
      </c>
      <c r="C97" s="117">
        <v>4.37</v>
      </c>
    </row>
    <row r="98" spans="1:3" x14ac:dyDescent="0.25">
      <c r="A98" s="99">
        <v>91</v>
      </c>
      <c r="B98" s="117">
        <v>4.165</v>
      </c>
      <c r="C98" s="117">
        <v>4.0350000000000001</v>
      </c>
    </row>
    <row r="99" spans="1:3" x14ac:dyDescent="0.25">
      <c r="A99" s="99">
        <v>92</v>
      </c>
      <c r="B99" s="117">
        <v>3.843</v>
      </c>
      <c r="C99" s="117">
        <v>3.7290000000000001</v>
      </c>
    </row>
    <row r="100" spans="1:3" x14ac:dyDescent="0.25">
      <c r="A100" s="99">
        <v>93</v>
      </c>
      <c r="B100" s="117">
        <v>3.5510000000000002</v>
      </c>
      <c r="C100" s="117">
        <v>3.4510000000000001</v>
      </c>
    </row>
    <row r="101" spans="1:3" x14ac:dyDescent="0.25">
      <c r="A101" s="99">
        <v>94</v>
      </c>
      <c r="B101" s="117">
        <v>3.2839999999999998</v>
      </c>
      <c r="C101" s="117">
        <v>3.1989999999999998</v>
      </c>
    </row>
    <row r="102" spans="1:3" x14ac:dyDescent="0.25">
      <c r="A102" s="99">
        <v>95</v>
      </c>
      <c r="B102" s="117">
        <v>3.044</v>
      </c>
      <c r="C102" s="117">
        <v>2.9729999999999999</v>
      </c>
    </row>
    <row r="103" spans="1:3" x14ac:dyDescent="0.25">
      <c r="A103" s="99">
        <v>96</v>
      </c>
      <c r="B103" s="117">
        <v>2.8290000000000002</v>
      </c>
      <c r="C103" s="117">
        <v>2.7719999999999998</v>
      </c>
    </row>
    <row r="104" spans="1:3" x14ac:dyDescent="0.25">
      <c r="A104" s="99">
        <v>97</v>
      </c>
      <c r="B104" s="117">
        <v>2.6389999999999998</v>
      </c>
      <c r="C104" s="117">
        <v>2.5939999999999999</v>
      </c>
    </row>
    <row r="105" spans="1:3" x14ac:dyDescent="0.25">
      <c r="A105" s="99">
        <v>98</v>
      </c>
      <c r="B105" s="117">
        <v>2.4729999999999999</v>
      </c>
      <c r="C105" s="117">
        <v>2.4390000000000001</v>
      </c>
    </row>
    <row r="106" spans="1:3" x14ac:dyDescent="0.25">
      <c r="A106" s="99">
        <v>99</v>
      </c>
      <c r="B106" s="117">
        <v>2.34</v>
      </c>
      <c r="C106" s="117">
        <v>2.3149999999999999</v>
      </c>
    </row>
    <row r="107" spans="1:3" x14ac:dyDescent="0.25">
      <c r="A107" s="99">
        <v>100</v>
      </c>
      <c r="B107" s="117">
        <v>2.2410000000000001</v>
      </c>
      <c r="C107" s="117">
        <v>2.222</v>
      </c>
    </row>
  </sheetData>
  <sheetProtection algorithmName="SHA-512" hashValue="rygfyh1rGQNlVOkfjyEKrQQ+vVJXjFxVIxUxEj60OYh7Zj0ChNqcA/nZ4FqG8LWUoyNnVZXn9/tPhhasKKqJ6Q==" saltValue="8kZFBEI5pXMRCePmmSErnA==" spinCount="100000" sheet="1" objects="1" scenarios="1"/>
  <conditionalFormatting sqref="A6:A21">
    <cfRule type="expression" dxfId="557" priority="7" stopIfTrue="1">
      <formula>MOD(ROW(),2)=0</formula>
    </cfRule>
    <cfRule type="expression" dxfId="556" priority="8" stopIfTrue="1">
      <formula>MOD(ROW(),2)&lt;&gt;0</formula>
    </cfRule>
  </conditionalFormatting>
  <conditionalFormatting sqref="A26:A107">
    <cfRule type="expression" dxfId="555" priority="1" stopIfTrue="1">
      <formula>MOD(ROW(),2)=0</formula>
    </cfRule>
    <cfRule type="expression" dxfId="554" priority="2" stopIfTrue="1">
      <formula>MOD(ROW(),2)&lt;&gt;0</formula>
    </cfRule>
  </conditionalFormatting>
  <conditionalFormatting sqref="B17:B21">
    <cfRule type="expression" dxfId="553" priority="5" stopIfTrue="1">
      <formula>MOD(ROW(),2)=0</formula>
    </cfRule>
    <cfRule type="expression" dxfId="552" priority="6" stopIfTrue="1">
      <formula>MOD(ROW(),2)&lt;&gt;0</formula>
    </cfRule>
  </conditionalFormatting>
  <conditionalFormatting sqref="B6:C21">
    <cfRule type="expression" dxfId="551" priority="17" stopIfTrue="1">
      <formula>MOD(ROW(),2)=0</formula>
    </cfRule>
    <cfRule type="expression" dxfId="550" priority="18" stopIfTrue="1">
      <formula>MOD(ROW(),2)&lt;&gt;0</formula>
    </cfRule>
  </conditionalFormatting>
  <conditionalFormatting sqref="B26:C107">
    <cfRule type="expression" dxfId="549" priority="3" stopIfTrue="1">
      <formula>MOD(ROW(),2)=0</formula>
    </cfRule>
    <cfRule type="expression" dxfId="548" priority="4" stopIfTrue="1">
      <formula>MOD(ROW(),2)&lt;&gt;0</formula>
    </cfRule>
  </conditionalFormatting>
  <hyperlinks>
    <hyperlink ref="B24" location="Assumptions!A1" display="Assumptions" xr:uid="{B1CBB288-F336-4564-B88A-BE46E9F56BD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72"/>
  <dimension ref="A1:I52"/>
  <sheetViews>
    <sheetView showGridLines="0" zoomScale="85" zoomScaleNormal="85" workbookViewId="0">
      <selection activeCell="A4" sqref="A4"/>
    </sheetView>
  </sheetViews>
  <sheetFormatPr defaultColWidth="10" defaultRowHeight="12.5" x14ac:dyDescent="0.25"/>
  <cols>
    <col min="1" max="1" width="31.90625" style="25" customWidth="1"/>
    <col min="2" max="2" width="26.90625" style="25" customWidth="1"/>
    <col min="3" max="3" width="10.08984375" style="25" customWidth="1"/>
    <col min="4" max="4" width="10" style="25" customWidth="1"/>
    <col min="5"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Inverse Comm - x-504</v>
      </c>
      <c r="B3" s="39"/>
      <c r="C3" s="39"/>
      <c r="D3" s="39"/>
      <c r="E3" s="39"/>
      <c r="F3" s="39"/>
      <c r="G3" s="39"/>
      <c r="H3" s="39"/>
      <c r="I3" s="39"/>
    </row>
    <row r="4" spans="1:9" x14ac:dyDescent="0.25">
      <c r="A4" s="41"/>
    </row>
    <row r="6" spans="1:9" ht="13" x14ac:dyDescent="0.3">
      <c r="A6" s="83" t="s">
        <v>276</v>
      </c>
      <c r="B6" s="161" t="s">
        <v>277</v>
      </c>
    </row>
    <row r="7" spans="1:9" x14ac:dyDescent="0.25">
      <c r="A7" s="85" t="s">
        <v>278</v>
      </c>
      <c r="B7" s="161" t="s">
        <v>310</v>
      </c>
    </row>
    <row r="8" spans="1:9" x14ac:dyDescent="0.25">
      <c r="A8" s="85" t="s">
        <v>280</v>
      </c>
      <c r="B8" s="161">
        <v>1995</v>
      </c>
    </row>
    <row r="9" spans="1:9" x14ac:dyDescent="0.25">
      <c r="A9" s="85" t="s">
        <v>282</v>
      </c>
      <c r="B9" s="161" t="s">
        <v>491</v>
      </c>
    </row>
    <row r="10" spans="1:9" x14ac:dyDescent="0.25">
      <c r="A10" s="85" t="s">
        <v>6</v>
      </c>
      <c r="B10" s="161" t="s">
        <v>492</v>
      </c>
    </row>
    <row r="11" spans="1:9" x14ac:dyDescent="0.25">
      <c r="A11" s="85" t="s">
        <v>285</v>
      </c>
      <c r="B11" s="161" t="s">
        <v>359</v>
      </c>
    </row>
    <row r="12" spans="1:9" x14ac:dyDescent="0.25">
      <c r="A12" s="85" t="s">
        <v>287</v>
      </c>
      <c r="B12" s="161" t="s">
        <v>408</v>
      </c>
    </row>
    <row r="13" spans="1:9" x14ac:dyDescent="0.25">
      <c r="A13" s="85" t="s">
        <v>289</v>
      </c>
      <c r="B13" s="161">
        <v>1</v>
      </c>
    </row>
    <row r="14" spans="1:9" x14ac:dyDescent="0.25">
      <c r="A14" s="85" t="s">
        <v>291</v>
      </c>
      <c r="B14" s="161">
        <v>504</v>
      </c>
    </row>
    <row r="15" spans="1:9" x14ac:dyDescent="0.25">
      <c r="A15" s="85" t="s">
        <v>293</v>
      </c>
      <c r="B15" s="161" t="s">
        <v>493</v>
      </c>
    </row>
    <row r="16" spans="1:9" x14ac:dyDescent="0.25">
      <c r="A16" s="85" t="s">
        <v>295</v>
      </c>
      <c r="B16" s="161" t="s">
        <v>494</v>
      </c>
    </row>
    <row r="17" spans="1:2" x14ac:dyDescent="0.25">
      <c r="A17" s="69" t="s">
        <v>725</v>
      </c>
      <c r="B17" s="161"/>
    </row>
    <row r="18" spans="1:2" x14ac:dyDescent="0.25">
      <c r="A18" s="85" t="s">
        <v>299</v>
      </c>
      <c r="B18" s="162">
        <v>45135</v>
      </c>
    </row>
    <row r="19" spans="1:2" x14ac:dyDescent="0.25">
      <c r="A19" s="85" t="s">
        <v>301</v>
      </c>
      <c r="B19" s="162">
        <v>45200</v>
      </c>
    </row>
    <row r="20" spans="1:2" x14ac:dyDescent="0.25">
      <c r="A20" s="85" t="s">
        <v>303</v>
      </c>
      <c r="B20" s="161" t="s">
        <v>317</v>
      </c>
    </row>
    <row r="21" spans="1:2" x14ac:dyDescent="0.25">
      <c r="A21" s="85" t="s">
        <v>309</v>
      </c>
      <c r="B21" s="161" t="s">
        <v>318</v>
      </c>
    </row>
    <row r="23" spans="1:2" x14ac:dyDescent="0.25">
      <c r="B23" s="103" t="str">
        <f>HYPERLINK("#'Factor List'!A1","Back to Factor List")</f>
        <v>Back to Factor List</v>
      </c>
    </row>
    <row r="24" spans="1:2" x14ac:dyDescent="0.25">
      <c r="B24" s="103" t="s">
        <v>15</v>
      </c>
    </row>
    <row r="26" spans="1:2" ht="13" x14ac:dyDescent="0.25">
      <c r="A26" s="98" t="s">
        <v>408</v>
      </c>
      <c r="B26" s="98" t="s">
        <v>761</v>
      </c>
    </row>
    <row r="27" spans="1:2" x14ac:dyDescent="0.25">
      <c r="A27" s="99">
        <v>75</v>
      </c>
      <c r="B27" s="117">
        <v>12.465999999999999</v>
      </c>
    </row>
    <row r="28" spans="1:2" x14ac:dyDescent="0.25">
      <c r="A28" s="99">
        <v>76</v>
      </c>
      <c r="B28" s="117">
        <v>11.817</v>
      </c>
    </row>
    <row r="29" spans="1:2" x14ac:dyDescent="0.25">
      <c r="A29" s="99">
        <v>77</v>
      </c>
      <c r="B29" s="117">
        <v>11.175000000000001</v>
      </c>
    </row>
    <row r="30" spans="1:2" x14ac:dyDescent="0.25">
      <c r="A30" s="99">
        <v>78</v>
      </c>
      <c r="B30" s="117">
        <v>10.542</v>
      </c>
    </row>
    <row r="31" spans="1:2" x14ac:dyDescent="0.25">
      <c r="A31" s="99">
        <v>79</v>
      </c>
      <c r="B31" s="117">
        <v>9.9190000000000005</v>
      </c>
    </row>
    <row r="32" spans="1:2" x14ac:dyDescent="0.25">
      <c r="A32" s="99">
        <v>80</v>
      </c>
      <c r="B32" s="117">
        <v>9.31</v>
      </c>
    </row>
    <row r="33" spans="1:2" x14ac:dyDescent="0.25">
      <c r="A33" s="99">
        <v>81</v>
      </c>
      <c r="B33" s="117">
        <v>8.7170000000000005</v>
      </c>
    </row>
    <row r="34" spans="1:2" x14ac:dyDescent="0.25">
      <c r="A34" s="99">
        <v>82</v>
      </c>
      <c r="B34" s="117">
        <v>8.1419999999999995</v>
      </c>
    </row>
    <row r="35" spans="1:2" x14ac:dyDescent="0.25">
      <c r="A35" s="99">
        <v>83</v>
      </c>
      <c r="B35" s="117">
        <v>7.5869999999999997</v>
      </c>
    </row>
    <row r="36" spans="1:2" x14ac:dyDescent="0.25">
      <c r="A36" s="99">
        <v>84</v>
      </c>
      <c r="B36" s="117">
        <v>7.0529999999999999</v>
      </c>
    </row>
    <row r="37" spans="1:2" x14ac:dyDescent="0.25">
      <c r="A37" s="99">
        <v>85</v>
      </c>
      <c r="B37" s="117">
        <v>6.5419999999999998</v>
      </c>
    </row>
    <row r="38" spans="1:2" x14ac:dyDescent="0.25">
      <c r="A38" s="99">
        <v>86</v>
      </c>
      <c r="B38" s="117">
        <v>6.056</v>
      </c>
    </row>
    <row r="39" spans="1:2" x14ac:dyDescent="0.25">
      <c r="A39" s="99">
        <v>87</v>
      </c>
      <c r="B39" s="117">
        <v>5.5970000000000004</v>
      </c>
    </row>
    <row r="40" spans="1:2" x14ac:dyDescent="0.25">
      <c r="A40" s="99">
        <v>88</v>
      </c>
      <c r="B40" s="117">
        <v>5.1669999999999998</v>
      </c>
    </row>
    <row r="41" spans="1:2" x14ac:dyDescent="0.25">
      <c r="A41" s="99">
        <v>89</v>
      </c>
      <c r="B41" s="117">
        <v>4.7649999999999997</v>
      </c>
    </row>
    <row r="42" spans="1:2" x14ac:dyDescent="0.25">
      <c r="A42" s="99">
        <v>90</v>
      </c>
      <c r="B42" s="117">
        <v>4.3920000000000003</v>
      </c>
    </row>
    <row r="43" spans="1:2" x14ac:dyDescent="0.25">
      <c r="A43" s="99">
        <v>91</v>
      </c>
      <c r="B43" s="117">
        <v>4.048</v>
      </c>
    </row>
    <row r="44" spans="1:2" x14ac:dyDescent="0.25">
      <c r="A44" s="99">
        <v>92</v>
      </c>
      <c r="B44" s="117">
        <v>3.7330000000000001</v>
      </c>
    </row>
    <row r="45" spans="1:2" x14ac:dyDescent="0.25">
      <c r="A45" s="99">
        <v>93</v>
      </c>
      <c r="B45" s="117">
        <v>3.4460000000000002</v>
      </c>
    </row>
    <row r="46" spans="1:2" x14ac:dyDescent="0.25">
      <c r="A46" s="99">
        <v>94</v>
      </c>
      <c r="B46" s="117">
        <v>3.1859999999999999</v>
      </c>
    </row>
    <row r="47" spans="1:2" x14ac:dyDescent="0.25">
      <c r="A47" s="99">
        <v>95</v>
      </c>
      <c r="B47" s="117">
        <v>2.9510000000000001</v>
      </c>
    </row>
    <row r="48" spans="1:2" x14ac:dyDescent="0.25">
      <c r="A48" s="99">
        <v>96</v>
      </c>
      <c r="B48" s="117">
        <v>2.742</v>
      </c>
    </row>
    <row r="49" spans="1:2" x14ac:dyDescent="0.25">
      <c r="A49" s="99">
        <v>97</v>
      </c>
      <c r="B49" s="117">
        <v>2.5569999999999999</v>
      </c>
    </row>
    <row r="50" spans="1:2" x14ac:dyDescent="0.25">
      <c r="A50" s="99">
        <v>98</v>
      </c>
      <c r="B50" s="117">
        <v>2.3959999999999999</v>
      </c>
    </row>
    <row r="51" spans="1:2" x14ac:dyDescent="0.25">
      <c r="A51" s="99">
        <v>99</v>
      </c>
      <c r="B51" s="117">
        <v>2.2669999999999999</v>
      </c>
    </row>
    <row r="52" spans="1:2" x14ac:dyDescent="0.25">
      <c r="A52" s="99">
        <v>100</v>
      </c>
      <c r="B52" s="117">
        <v>2.173</v>
      </c>
    </row>
  </sheetData>
  <sheetProtection algorithmName="SHA-512" hashValue="Dr5tv0IwCTJAj8xPinhG2eSKt447WCMSdmK94tadj52e5YMD8EVueiObr3Hudf+oBRgnKoF3gHpwiUgz5OOrww==" saltValue="Csqo13XDEQPUbhM6m73olA==" spinCount="100000" sheet="1" objects="1" scenarios="1"/>
  <conditionalFormatting sqref="A6:A21">
    <cfRule type="expression" dxfId="547" priority="7" stopIfTrue="1">
      <formula>MOD(ROW(),2)=0</formula>
    </cfRule>
    <cfRule type="expression" dxfId="546" priority="8" stopIfTrue="1">
      <formula>MOD(ROW(),2)&lt;&gt;0</formula>
    </cfRule>
  </conditionalFormatting>
  <conditionalFormatting sqref="A26:A52">
    <cfRule type="expression" dxfId="545" priority="1" stopIfTrue="1">
      <formula>MOD(ROW(),2)=0</formula>
    </cfRule>
    <cfRule type="expression" dxfId="544" priority="2" stopIfTrue="1">
      <formula>MOD(ROW(),2)&lt;&gt;0</formula>
    </cfRule>
  </conditionalFormatting>
  <conditionalFormatting sqref="B6:B21">
    <cfRule type="expression" dxfId="543" priority="17" stopIfTrue="1">
      <formula>MOD(ROW(),2)=0</formula>
    </cfRule>
    <cfRule type="expression" dxfId="542" priority="18" stopIfTrue="1">
      <formula>MOD(ROW(),2)&lt;&gt;0</formula>
    </cfRule>
  </conditionalFormatting>
  <conditionalFormatting sqref="B17:B21">
    <cfRule type="expression" dxfId="541" priority="5" stopIfTrue="1">
      <formula>MOD(ROW(),2)=0</formula>
    </cfRule>
    <cfRule type="expression" dxfId="540" priority="6" stopIfTrue="1">
      <formula>MOD(ROW(),2)&lt;&gt;0</formula>
    </cfRule>
  </conditionalFormatting>
  <conditionalFormatting sqref="B26:B52">
    <cfRule type="expression" dxfId="539" priority="3" stopIfTrue="1">
      <formula>MOD(ROW(),2)=0</formula>
    </cfRule>
    <cfRule type="expression" dxfId="538" priority="4" stopIfTrue="1">
      <formula>MOD(ROW(),2)&lt;&gt;0</formula>
    </cfRule>
  </conditionalFormatting>
  <hyperlinks>
    <hyperlink ref="B24" location="Assumptions!A1" display="Assumptions" xr:uid="{20861B17-31E1-48A6-AB20-1483DAA9A6A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8"/>
  <dimension ref="A1:I64"/>
  <sheetViews>
    <sheetView showGridLines="0" zoomScale="85" zoomScaleNormal="85" workbookViewId="0">
      <selection activeCell="D17" sqref="D17"/>
    </sheetView>
  </sheetViews>
  <sheetFormatPr defaultColWidth="10" defaultRowHeight="12.5" x14ac:dyDescent="0.25"/>
  <cols>
    <col min="1" max="1" width="31.90625" style="25" customWidth="1"/>
    <col min="2" max="2" width="40.453125" style="25" customWidth="1"/>
    <col min="3" max="3" width="10.08984375" style="25" customWidth="1"/>
    <col min="4" max="4" width="10" style="25" customWidth="1"/>
    <col min="5"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39"/>
      <c r="C3" s="39"/>
      <c r="D3" s="39"/>
      <c r="E3" s="39"/>
      <c r="F3" s="39"/>
      <c r="G3" s="39"/>
      <c r="H3" s="39"/>
      <c r="I3" s="39"/>
    </row>
    <row r="4" spans="1:9" x14ac:dyDescent="0.25">
      <c r="A4" s="41" t="str">
        <f ca="1">CELL("filename",A1)</f>
        <v>https://tris42.sharepoint.com/sites/gad_wrkgrp_actuarial/pspsactuarialwork/Central/Factors &amp; Guidance/2024 Guidance Review/4. Online portal/3. Import data/3. Factor tables/0_client_friendly/Ready to be uploaded/2025-03/[NHS NI Consolidated Factors 2025-02.xlsx]x-Series Number</v>
      </c>
    </row>
    <row r="6" spans="1:9" ht="13" x14ac:dyDescent="0.25">
      <c r="A6" s="42" t="s">
        <v>276</v>
      </c>
      <c r="B6" s="43" t="s">
        <v>277</v>
      </c>
    </row>
    <row r="7" spans="1:9" x14ac:dyDescent="0.25">
      <c r="A7" s="44" t="s">
        <v>278</v>
      </c>
      <c r="B7" s="46" t="s">
        <v>279</v>
      </c>
    </row>
    <row r="8" spans="1:9" x14ac:dyDescent="0.25">
      <c r="A8" s="44" t="s">
        <v>280</v>
      </c>
      <c r="B8" s="46" t="s">
        <v>281</v>
      </c>
    </row>
    <row r="9" spans="1:9" ht="12.75" customHeight="1" x14ac:dyDescent="0.25">
      <c r="A9" s="44" t="s">
        <v>282</v>
      </c>
      <c r="B9" s="47" t="s">
        <v>283</v>
      </c>
    </row>
    <row r="10" spans="1:9" ht="12.75" customHeight="1" x14ac:dyDescent="0.25">
      <c r="A10" s="44" t="s">
        <v>6</v>
      </c>
      <c r="B10" s="47" t="s">
        <v>284</v>
      </c>
    </row>
    <row r="11" spans="1:9" x14ac:dyDescent="0.25">
      <c r="A11" s="44" t="s">
        <v>285</v>
      </c>
      <c r="B11" s="47" t="s">
        <v>286</v>
      </c>
    </row>
    <row r="12" spans="1:9" x14ac:dyDescent="0.25">
      <c r="A12" s="44" t="s">
        <v>287</v>
      </c>
      <c r="B12" s="45" t="s">
        <v>288</v>
      </c>
    </row>
    <row r="13" spans="1:9" ht="12.75" customHeight="1" x14ac:dyDescent="0.25">
      <c r="A13" s="44" t="s">
        <v>289</v>
      </c>
      <c r="B13" s="45" t="s">
        <v>290</v>
      </c>
    </row>
    <row r="14" spans="1:9" ht="12.75" customHeight="1" x14ac:dyDescent="0.25">
      <c r="A14" s="44" t="s">
        <v>291</v>
      </c>
      <c r="B14" s="45" t="s">
        <v>292</v>
      </c>
    </row>
    <row r="15" spans="1:9" ht="75" x14ac:dyDescent="0.25">
      <c r="A15" s="48" t="s">
        <v>293</v>
      </c>
      <c r="B15" s="49" t="s">
        <v>294</v>
      </c>
    </row>
    <row r="16" spans="1:9" ht="25" x14ac:dyDescent="0.25">
      <c r="A16" s="50" t="s">
        <v>295</v>
      </c>
      <c r="B16" s="49" t="s">
        <v>296</v>
      </c>
    </row>
    <row r="17" spans="1:2" ht="52.5" customHeight="1" x14ac:dyDescent="0.25">
      <c r="A17" s="51" t="s">
        <v>297</v>
      </c>
      <c r="B17" s="49" t="s">
        <v>298</v>
      </c>
    </row>
    <row r="18" spans="1:2" ht="25" x14ac:dyDescent="0.25">
      <c r="A18" s="48" t="s">
        <v>299</v>
      </c>
      <c r="B18" s="52" t="s">
        <v>300</v>
      </c>
    </row>
    <row r="19" spans="1:2" x14ac:dyDescent="0.25">
      <c r="A19" s="50" t="s">
        <v>301</v>
      </c>
      <c r="B19" s="52" t="s">
        <v>302</v>
      </c>
    </row>
    <row r="20" spans="1:2" ht="25" x14ac:dyDescent="0.25">
      <c r="A20" s="50" t="s">
        <v>303</v>
      </c>
      <c r="B20" s="52" t="s">
        <v>304</v>
      </c>
    </row>
    <row r="22" spans="1:2" x14ac:dyDescent="0.25">
      <c r="B22" s="103" t="str">
        <f>HYPERLINK("#'Factor List'!A1","Back to Factor List")</f>
        <v>Back to Factor List</v>
      </c>
    </row>
    <row r="25" spans="1:2" ht="13" x14ac:dyDescent="0.3">
      <c r="A25" s="53" t="s">
        <v>305</v>
      </c>
      <c r="B25" s="54"/>
    </row>
    <row r="26" spans="1:2" ht="13" x14ac:dyDescent="0.3">
      <c r="A26" s="55"/>
      <c r="B26" s="56"/>
    </row>
    <row r="27" spans="1:2" ht="13" x14ac:dyDescent="0.3">
      <c r="A27" s="57"/>
      <c r="B27" s="58"/>
    </row>
    <row r="28" spans="1:2" ht="13" x14ac:dyDescent="0.3">
      <c r="A28" s="55"/>
      <c r="B28" s="56"/>
    </row>
    <row r="29" spans="1:2" x14ac:dyDescent="0.25">
      <c r="A29" s="59"/>
      <c r="B29" s="60"/>
    </row>
    <row r="30" spans="1:2" x14ac:dyDescent="0.25">
      <c r="A30" s="61"/>
      <c r="B30" s="62"/>
    </row>
    <row r="31" spans="1:2" ht="13" x14ac:dyDescent="0.3">
      <c r="A31" s="55"/>
      <c r="B31" s="56"/>
    </row>
    <row r="32" spans="1:2" x14ac:dyDescent="0.25">
      <c r="A32" s="63"/>
      <c r="B32" s="64"/>
    </row>
    <row r="33" spans="1:2" x14ac:dyDescent="0.25">
      <c r="A33" s="63"/>
      <c r="B33" s="64"/>
    </row>
    <row r="34" spans="1:2" x14ac:dyDescent="0.25">
      <c r="A34" s="63"/>
      <c r="B34" s="64"/>
    </row>
    <row r="35" spans="1:2" x14ac:dyDescent="0.25">
      <c r="A35" s="63"/>
      <c r="B35" s="64"/>
    </row>
    <row r="36" spans="1:2" x14ac:dyDescent="0.25">
      <c r="A36" s="63"/>
      <c r="B36" s="64"/>
    </row>
    <row r="37" spans="1:2" x14ac:dyDescent="0.25">
      <c r="A37" s="63"/>
      <c r="B37" s="64"/>
    </row>
    <row r="38" spans="1:2" x14ac:dyDescent="0.25">
      <c r="A38" s="63"/>
      <c r="B38" s="64"/>
    </row>
    <row r="39" spans="1:2" x14ac:dyDescent="0.25">
      <c r="A39" s="63"/>
      <c r="B39" s="64"/>
    </row>
    <row r="40" spans="1:2" x14ac:dyDescent="0.25">
      <c r="A40" s="63"/>
      <c r="B40" s="64"/>
    </row>
    <row r="41" spans="1:2" x14ac:dyDescent="0.25">
      <c r="A41" s="63"/>
      <c r="B41" s="64"/>
    </row>
    <row r="42" spans="1:2" x14ac:dyDescent="0.25">
      <c r="A42" s="59"/>
      <c r="B42" s="60"/>
    </row>
    <row r="43" spans="1:2" ht="39.65" customHeight="1" x14ac:dyDescent="0.25">
      <c r="A43" s="65"/>
      <c r="B43" s="66"/>
    </row>
    <row r="44" spans="1:2" x14ac:dyDescent="0.25">
      <c r="A44" s="59"/>
      <c r="B44" s="60"/>
    </row>
    <row r="45" spans="1:2" ht="27.65" customHeight="1" x14ac:dyDescent="0.25">
      <c r="A45" s="59"/>
      <c r="B45" s="60"/>
    </row>
    <row r="46" spans="1:2" x14ac:dyDescent="0.25">
      <c r="A46" s="59"/>
      <c r="B46" s="60"/>
    </row>
    <row r="47" spans="1:2" x14ac:dyDescent="0.25">
      <c r="A47" s="59"/>
      <c r="B47" s="60"/>
    </row>
    <row r="48" spans="1:2" x14ac:dyDescent="0.25">
      <c r="A48" s="59"/>
      <c r="B48" s="60"/>
    </row>
    <row r="49" spans="1:2" x14ac:dyDescent="0.25">
      <c r="A49" s="59"/>
      <c r="B49" s="60"/>
    </row>
    <row r="50" spans="1:2" x14ac:dyDescent="0.25">
      <c r="A50" s="59"/>
      <c r="B50" s="60"/>
    </row>
    <row r="51" spans="1:2" x14ac:dyDescent="0.25">
      <c r="A51" s="59"/>
      <c r="B51" s="60"/>
    </row>
    <row r="52" spans="1:2" x14ac:dyDescent="0.25">
      <c r="A52" s="59"/>
      <c r="B52" s="60"/>
    </row>
    <row r="53" spans="1:2" x14ac:dyDescent="0.25">
      <c r="A53" s="59"/>
      <c r="B53" s="60"/>
    </row>
    <row r="54" spans="1:2" x14ac:dyDescent="0.25">
      <c r="A54" s="59"/>
      <c r="B54" s="60"/>
    </row>
    <row r="55" spans="1:2" x14ac:dyDescent="0.25">
      <c r="A55" s="59"/>
      <c r="B55" s="60"/>
    </row>
    <row r="56" spans="1:2" x14ac:dyDescent="0.25">
      <c r="A56" s="59"/>
      <c r="B56" s="60"/>
    </row>
    <row r="57" spans="1:2" x14ac:dyDescent="0.25">
      <c r="A57" s="59"/>
      <c r="B57" s="60"/>
    </row>
    <row r="58" spans="1:2" x14ac:dyDescent="0.25">
      <c r="A58" s="59"/>
      <c r="B58" s="60"/>
    </row>
    <row r="59" spans="1:2" x14ac:dyDescent="0.25">
      <c r="A59" s="59"/>
      <c r="B59" s="60"/>
    </row>
    <row r="60" spans="1:2" x14ac:dyDescent="0.25">
      <c r="A60" s="59"/>
      <c r="B60" s="60"/>
    </row>
    <row r="61" spans="1:2" x14ac:dyDescent="0.25">
      <c r="A61" s="59"/>
      <c r="B61" s="60"/>
    </row>
    <row r="62" spans="1:2" x14ac:dyDescent="0.25">
      <c r="A62" s="59"/>
      <c r="B62" s="60"/>
    </row>
    <row r="63" spans="1:2" x14ac:dyDescent="0.25">
      <c r="A63" s="59"/>
      <c r="B63" s="60"/>
    </row>
    <row r="64" spans="1:2" x14ac:dyDescent="0.25">
      <c r="A64" s="67"/>
      <c r="B64" s="68"/>
    </row>
  </sheetData>
  <sheetProtection algorithmName="SHA-512" hashValue="XrC1CfgG3b57TPeNk0aL/X/AbEpXxm2QcYbTAFZai8Vawauffpuv3ccUDsFkz7SnyXQvI8k7IKc3+EE7iAFsPg==" saltValue="i7XVJha2pRExCQ1JmLZLkQ=="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E260D-9C9A-4611-A357-42D86A2D25BA}">
  <sheetPr codeName="Sheet118"/>
  <dimension ref="A1:I27"/>
  <sheetViews>
    <sheetView showGridLines="0" zoomScale="85" zoomScaleNormal="85" workbookViewId="0">
      <selection activeCell="A4" sqref="A4"/>
    </sheetView>
  </sheetViews>
  <sheetFormatPr defaultColWidth="10" defaultRowHeight="12.5" x14ac:dyDescent="0.25"/>
  <cols>
    <col min="1" max="1" width="31.90625" style="25" customWidth="1"/>
    <col min="2" max="2" width="26.90625" style="25" customWidth="1"/>
    <col min="3" max="3" width="10.08984375" style="25" customWidth="1"/>
    <col min="4" max="4" width="10" style="25" customWidth="1"/>
    <col min="5"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Inverse Comm - x-505</v>
      </c>
      <c r="B3" s="39"/>
      <c r="C3" s="39"/>
      <c r="D3" s="39"/>
      <c r="E3" s="39"/>
      <c r="F3" s="39"/>
      <c r="G3" s="39"/>
      <c r="H3" s="39"/>
      <c r="I3" s="39"/>
    </row>
    <row r="4" spans="1:9" x14ac:dyDescent="0.25">
      <c r="A4" s="41"/>
    </row>
    <row r="6" spans="1:9" ht="13" x14ac:dyDescent="0.3">
      <c r="A6" s="83" t="s">
        <v>276</v>
      </c>
      <c r="B6" s="161" t="s">
        <v>277</v>
      </c>
    </row>
    <row r="7" spans="1:9" x14ac:dyDescent="0.25">
      <c r="A7" s="85" t="s">
        <v>278</v>
      </c>
      <c r="B7" s="161" t="s">
        <v>310</v>
      </c>
    </row>
    <row r="8" spans="1:9" x14ac:dyDescent="0.25">
      <c r="A8" s="85" t="s">
        <v>280</v>
      </c>
      <c r="B8" s="161" t="s">
        <v>75</v>
      </c>
    </row>
    <row r="9" spans="1:9" x14ac:dyDescent="0.25">
      <c r="A9" s="85" t="s">
        <v>282</v>
      </c>
      <c r="B9" s="161" t="s">
        <v>491</v>
      </c>
    </row>
    <row r="10" spans="1:9" x14ac:dyDescent="0.25">
      <c r="A10" s="85" t="s">
        <v>6</v>
      </c>
      <c r="B10" s="161" t="s">
        <v>484</v>
      </c>
    </row>
    <row r="11" spans="1:9" x14ac:dyDescent="0.25">
      <c r="A11" s="85" t="s">
        <v>285</v>
      </c>
      <c r="B11" s="161" t="s">
        <v>359</v>
      </c>
    </row>
    <row r="12" spans="1:9" x14ac:dyDescent="0.25">
      <c r="A12" s="85" t="s">
        <v>287</v>
      </c>
      <c r="B12" s="161" t="s">
        <v>408</v>
      </c>
    </row>
    <row r="13" spans="1:9" x14ac:dyDescent="0.25">
      <c r="A13" s="85" t="s">
        <v>289</v>
      </c>
      <c r="B13" s="161">
        <v>1</v>
      </c>
    </row>
    <row r="14" spans="1:9" x14ac:dyDescent="0.25">
      <c r="A14" s="85" t="s">
        <v>291</v>
      </c>
      <c r="B14" s="161">
        <v>505</v>
      </c>
    </row>
    <row r="15" spans="1:9" x14ac:dyDescent="0.25">
      <c r="A15" s="85" t="s">
        <v>293</v>
      </c>
      <c r="B15" s="161" t="s">
        <v>495</v>
      </c>
    </row>
    <row r="16" spans="1:9" x14ac:dyDescent="0.25">
      <c r="A16" s="85" t="s">
        <v>295</v>
      </c>
      <c r="B16" s="161" t="s">
        <v>496</v>
      </c>
    </row>
    <row r="17" spans="1:3" x14ac:dyDescent="0.25">
      <c r="A17" s="69" t="s">
        <v>725</v>
      </c>
      <c r="B17" s="161"/>
    </row>
    <row r="18" spans="1:3" x14ac:dyDescent="0.25">
      <c r="A18" s="85" t="s">
        <v>299</v>
      </c>
      <c r="B18" s="162">
        <v>45135</v>
      </c>
    </row>
    <row r="19" spans="1:3" x14ac:dyDescent="0.25">
      <c r="A19" s="85" t="s">
        <v>301</v>
      </c>
      <c r="B19" s="162">
        <v>45200</v>
      </c>
    </row>
    <row r="20" spans="1:3" x14ac:dyDescent="0.25">
      <c r="A20" s="85" t="s">
        <v>303</v>
      </c>
      <c r="B20" s="161" t="s">
        <v>317</v>
      </c>
    </row>
    <row r="21" spans="1:3" x14ac:dyDescent="0.25">
      <c r="A21" s="85" t="s">
        <v>309</v>
      </c>
      <c r="B21" s="161" t="s">
        <v>318</v>
      </c>
    </row>
    <row r="23" spans="1:3" ht="13" x14ac:dyDescent="0.3">
      <c r="B23" s="103" t="str">
        <f>HYPERLINK("#'Factor List'!A1","Back to Factor List")</f>
        <v>Back to Factor List</v>
      </c>
      <c r="C23" s="149" t="s">
        <v>771</v>
      </c>
    </row>
    <row r="24" spans="1:3" x14ac:dyDescent="0.25">
      <c r="B24" s="103" t="s">
        <v>15</v>
      </c>
    </row>
    <row r="26" spans="1:3" ht="13" x14ac:dyDescent="0.25">
      <c r="A26" s="150" t="s">
        <v>761</v>
      </c>
      <c r="B26" s="151" t="s">
        <v>762</v>
      </c>
    </row>
    <row r="27" spans="1:3" x14ac:dyDescent="0.25">
      <c r="A27" s="152" t="s">
        <v>772</v>
      </c>
      <c r="B27" s="153">
        <v>2.1999999999999999E-2</v>
      </c>
    </row>
  </sheetData>
  <sheetProtection algorithmName="SHA-512" hashValue="R5EsqzHm2ZcAvowmlfLFRWDiPzwMc1ExtEtSUxr2ppX/PoIvxW7VFxVBhpz0pacfmjSf3mfIZX+Yw+vtUv0Hog==" saltValue="SVkuwbtOlzAamkj2/iQP9Q==" spinCount="100000" sheet="1" objects="1" scenarios="1"/>
  <conditionalFormatting sqref="A6:A21">
    <cfRule type="expression" dxfId="537" priority="23" stopIfTrue="1">
      <formula>MOD(ROW(),2)=0</formula>
    </cfRule>
    <cfRule type="expression" dxfId="536" priority="24" stopIfTrue="1">
      <formula>MOD(ROW(),2)&lt;&gt;0</formula>
    </cfRule>
  </conditionalFormatting>
  <conditionalFormatting sqref="A26:A27">
    <cfRule type="expression" dxfId="535" priority="1" stopIfTrue="1">
      <formula>MOD(ROW(),2)=0</formula>
    </cfRule>
    <cfRule type="expression" dxfId="534" priority="2" stopIfTrue="1">
      <formula>MOD(ROW(),2)&lt;&gt;0</formula>
    </cfRule>
  </conditionalFormatting>
  <conditionalFormatting sqref="B6:B21">
    <cfRule type="expression" dxfId="533" priority="29" stopIfTrue="1">
      <formula>MOD(ROW(),2)=0</formula>
    </cfRule>
    <cfRule type="expression" dxfId="532" priority="30" stopIfTrue="1">
      <formula>MOD(ROW(),2)&lt;&gt;0</formula>
    </cfRule>
  </conditionalFormatting>
  <conditionalFormatting sqref="B10">
    <cfRule type="expression" dxfId="531" priority="9" stopIfTrue="1">
      <formula>MOD(ROW(),2)=0</formula>
    </cfRule>
    <cfRule type="expression" dxfId="530" priority="10" stopIfTrue="1">
      <formula>MOD(ROW(),2)&lt;&gt;0</formula>
    </cfRule>
  </conditionalFormatting>
  <conditionalFormatting sqref="B17:B21">
    <cfRule type="expression" dxfId="529" priority="11" stopIfTrue="1">
      <formula>MOD(ROW(),2)=0</formula>
    </cfRule>
    <cfRule type="expression" dxfId="528" priority="12" stopIfTrue="1">
      <formula>MOD(ROW(),2)&lt;&gt;0</formula>
    </cfRule>
  </conditionalFormatting>
  <conditionalFormatting sqref="B26:B27">
    <cfRule type="expression" dxfId="527" priority="3" stopIfTrue="1">
      <formula>MOD(ROW(),2)=0</formula>
    </cfRule>
    <cfRule type="expression" dxfId="526" priority="4" stopIfTrue="1">
      <formula>MOD(ROW(),2)&lt;&gt;0</formula>
    </cfRule>
  </conditionalFormatting>
  <hyperlinks>
    <hyperlink ref="B24" location="Assumptions!A1" display="Assumptions" xr:uid="{46821AA2-B8C8-4309-A25B-662215FD7F5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26"/>
  <dimension ref="A1:I52"/>
  <sheetViews>
    <sheetView showGridLines="0" zoomScale="85" zoomScaleNormal="85" workbookViewId="0">
      <selection activeCell="A4" sqref="A4"/>
    </sheetView>
  </sheetViews>
  <sheetFormatPr defaultColWidth="10" defaultRowHeight="12.5" x14ac:dyDescent="0.25"/>
  <cols>
    <col min="1" max="1" width="31.90625" style="25" customWidth="1"/>
    <col min="2" max="3" width="22.90625" style="25" customWidth="1"/>
    <col min="4" max="4" width="10" style="25" customWidth="1"/>
    <col min="5"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Scheme pays AA - x-601</v>
      </c>
      <c r="B3" s="39"/>
      <c r="C3" s="39"/>
      <c r="D3" s="39"/>
      <c r="E3" s="39"/>
      <c r="F3" s="39"/>
      <c r="G3" s="39"/>
      <c r="H3" s="39"/>
      <c r="I3" s="39"/>
    </row>
    <row r="4" spans="1:9" x14ac:dyDescent="0.25">
      <c r="A4" s="41"/>
    </row>
    <row r="6" spans="1:9" ht="13" x14ac:dyDescent="0.3">
      <c r="A6" s="83" t="s">
        <v>276</v>
      </c>
      <c r="B6" s="161" t="s">
        <v>277</v>
      </c>
      <c r="C6" s="161"/>
    </row>
    <row r="7" spans="1:9" x14ac:dyDescent="0.25">
      <c r="A7" s="85" t="s">
        <v>278</v>
      </c>
      <c r="B7" s="161" t="s">
        <v>310</v>
      </c>
      <c r="C7" s="161"/>
    </row>
    <row r="8" spans="1:9" x14ac:dyDescent="0.25">
      <c r="A8" s="85" t="s">
        <v>280</v>
      </c>
      <c r="B8" s="161" t="s">
        <v>75</v>
      </c>
      <c r="C8" s="161"/>
    </row>
    <row r="9" spans="1:9" x14ac:dyDescent="0.25">
      <c r="A9" s="85" t="s">
        <v>282</v>
      </c>
      <c r="B9" s="161" t="s">
        <v>497</v>
      </c>
      <c r="C9" s="161"/>
    </row>
    <row r="10" spans="1:9" x14ac:dyDescent="0.25">
      <c r="A10" s="85" t="s">
        <v>6</v>
      </c>
      <c r="B10" s="161" t="s">
        <v>498</v>
      </c>
      <c r="C10" s="161"/>
    </row>
    <row r="11" spans="1:9" x14ac:dyDescent="0.25">
      <c r="A11" s="85" t="s">
        <v>285</v>
      </c>
      <c r="B11" s="161" t="s">
        <v>359</v>
      </c>
      <c r="C11" s="161"/>
    </row>
    <row r="12" spans="1:9" x14ac:dyDescent="0.25">
      <c r="A12" s="85" t="s">
        <v>287</v>
      </c>
      <c r="B12" s="161" t="s">
        <v>499</v>
      </c>
      <c r="C12" s="161"/>
    </row>
    <row r="13" spans="1:9" x14ac:dyDescent="0.25">
      <c r="A13" s="85" t="s">
        <v>289</v>
      </c>
      <c r="B13" s="161">
        <v>1</v>
      </c>
      <c r="C13" s="161"/>
    </row>
    <row r="14" spans="1:9" x14ac:dyDescent="0.25">
      <c r="A14" s="85" t="s">
        <v>291</v>
      </c>
      <c r="B14" s="161">
        <v>601</v>
      </c>
      <c r="C14" s="161"/>
    </row>
    <row r="15" spans="1:9" x14ac:dyDescent="0.25">
      <c r="A15" s="85" t="s">
        <v>293</v>
      </c>
      <c r="B15" s="161" t="s">
        <v>500</v>
      </c>
      <c r="C15" s="161"/>
    </row>
    <row r="16" spans="1:9" x14ac:dyDescent="0.25">
      <c r="A16" s="85" t="s">
        <v>295</v>
      </c>
      <c r="B16" s="161" t="s">
        <v>501</v>
      </c>
      <c r="C16" s="161"/>
    </row>
    <row r="17" spans="1:3" ht="44.4" customHeight="1" x14ac:dyDescent="0.25">
      <c r="A17" s="69" t="s">
        <v>725</v>
      </c>
      <c r="B17" s="161"/>
      <c r="C17" s="161"/>
    </row>
    <row r="18" spans="1:3" x14ac:dyDescent="0.25">
      <c r="A18" s="85" t="s">
        <v>299</v>
      </c>
      <c r="B18" s="162">
        <v>45072</v>
      </c>
      <c r="C18" s="161"/>
    </row>
    <row r="19" spans="1:3" x14ac:dyDescent="0.25">
      <c r="A19" s="85" t="s">
        <v>301</v>
      </c>
      <c r="B19" s="162">
        <v>45078</v>
      </c>
      <c r="C19" s="161"/>
    </row>
    <row r="20" spans="1:3" x14ac:dyDescent="0.25">
      <c r="A20" s="85" t="s">
        <v>303</v>
      </c>
      <c r="B20" s="161" t="s">
        <v>317</v>
      </c>
      <c r="C20" s="161"/>
    </row>
    <row r="21" spans="1:3" x14ac:dyDescent="0.25">
      <c r="A21" s="85" t="s">
        <v>309</v>
      </c>
      <c r="B21" s="161" t="s">
        <v>318</v>
      </c>
      <c r="C21" s="161"/>
    </row>
    <row r="23" spans="1:3" x14ac:dyDescent="0.25">
      <c r="B23" s="103" t="str">
        <f>HYPERLINK("#'Factor List'!A1","Back to Factor List")</f>
        <v>Back to Factor List</v>
      </c>
    </row>
    <row r="24" spans="1:3" x14ac:dyDescent="0.25">
      <c r="B24" s="103" t="s">
        <v>15</v>
      </c>
    </row>
    <row r="26" spans="1:3" ht="13" x14ac:dyDescent="0.25">
      <c r="A26" s="98" t="s">
        <v>408</v>
      </c>
      <c r="B26" s="98" t="s">
        <v>773</v>
      </c>
      <c r="C26" s="98" t="s">
        <v>774</v>
      </c>
    </row>
    <row r="27" spans="1:3" x14ac:dyDescent="0.25">
      <c r="A27" s="99">
        <v>50</v>
      </c>
      <c r="B27" s="100">
        <v>30.95</v>
      </c>
      <c r="C27" s="100">
        <v>27.95</v>
      </c>
    </row>
    <row r="28" spans="1:3" x14ac:dyDescent="0.25">
      <c r="A28" s="99">
        <v>51</v>
      </c>
      <c r="B28" s="100">
        <v>30.41</v>
      </c>
      <c r="C28" s="100">
        <v>27.41</v>
      </c>
    </row>
    <row r="29" spans="1:3" x14ac:dyDescent="0.25">
      <c r="A29" s="99">
        <v>52</v>
      </c>
      <c r="B29" s="100">
        <v>29.85</v>
      </c>
      <c r="C29" s="100">
        <v>26.85</v>
      </c>
    </row>
    <row r="30" spans="1:3" x14ac:dyDescent="0.25">
      <c r="A30" s="99">
        <v>53</v>
      </c>
      <c r="B30" s="100">
        <v>29.29</v>
      </c>
      <c r="C30" s="100">
        <v>26.29</v>
      </c>
    </row>
    <row r="31" spans="1:3" x14ac:dyDescent="0.25">
      <c r="A31" s="99">
        <v>54</v>
      </c>
      <c r="B31" s="100">
        <v>28.72</v>
      </c>
      <c r="C31" s="100">
        <v>25.72</v>
      </c>
    </row>
    <row r="32" spans="1:3" x14ac:dyDescent="0.25">
      <c r="A32" s="99">
        <v>55</v>
      </c>
      <c r="B32" s="100">
        <v>28.15</v>
      </c>
      <c r="C32" s="100">
        <v>25.15</v>
      </c>
    </row>
    <row r="33" spans="1:3" x14ac:dyDescent="0.25">
      <c r="A33" s="99">
        <v>56</v>
      </c>
      <c r="B33" s="100">
        <v>27.56</v>
      </c>
      <c r="C33" s="100">
        <v>24.56</v>
      </c>
    </row>
    <row r="34" spans="1:3" x14ac:dyDescent="0.25">
      <c r="A34" s="99">
        <v>57</v>
      </c>
      <c r="B34" s="100">
        <v>26.97</v>
      </c>
      <c r="C34" s="100">
        <v>23.97</v>
      </c>
    </row>
    <row r="35" spans="1:3" x14ac:dyDescent="0.25">
      <c r="A35" s="99">
        <v>58</v>
      </c>
      <c r="B35" s="100">
        <v>26.37</v>
      </c>
      <c r="C35" s="100">
        <v>23.37</v>
      </c>
    </row>
    <row r="36" spans="1:3" x14ac:dyDescent="0.25">
      <c r="A36" s="99">
        <v>59</v>
      </c>
      <c r="B36" s="100">
        <v>25.77</v>
      </c>
      <c r="C36" s="100">
        <v>22.77</v>
      </c>
    </row>
    <row r="37" spans="1:3" x14ac:dyDescent="0.25">
      <c r="A37" s="99">
        <v>60</v>
      </c>
      <c r="B37" s="100">
        <v>25.15</v>
      </c>
      <c r="C37" s="100">
        <v>22.15</v>
      </c>
    </row>
    <row r="38" spans="1:3" x14ac:dyDescent="0.25">
      <c r="A38" s="99">
        <v>61</v>
      </c>
      <c r="B38" s="100">
        <v>24.53</v>
      </c>
      <c r="C38" s="100">
        <v>21.53</v>
      </c>
    </row>
    <row r="39" spans="1:3" x14ac:dyDescent="0.25">
      <c r="A39" s="99">
        <v>62</v>
      </c>
      <c r="B39" s="100">
        <v>23.91</v>
      </c>
      <c r="C39" s="100">
        <v>20.91</v>
      </c>
    </row>
    <row r="40" spans="1:3" x14ac:dyDescent="0.25">
      <c r="A40" s="99">
        <v>63</v>
      </c>
      <c r="B40" s="100">
        <v>23.28</v>
      </c>
      <c r="C40" s="100">
        <v>20.28</v>
      </c>
    </row>
    <row r="41" spans="1:3" x14ac:dyDescent="0.25">
      <c r="A41" s="99">
        <v>64</v>
      </c>
      <c r="B41" s="100">
        <v>22.65</v>
      </c>
      <c r="C41" s="100">
        <v>19.649999999999999</v>
      </c>
    </row>
    <row r="42" spans="1:3" x14ac:dyDescent="0.25">
      <c r="A42" s="99">
        <v>65</v>
      </c>
      <c r="B42" s="100">
        <v>22.01</v>
      </c>
      <c r="C42" s="100">
        <v>19.010000000000002</v>
      </c>
    </row>
    <row r="43" spans="1:3" x14ac:dyDescent="0.25">
      <c r="A43" s="99">
        <v>66</v>
      </c>
      <c r="B43" s="100">
        <v>21.36</v>
      </c>
      <c r="C43" s="100">
        <v>18.36</v>
      </c>
    </row>
    <row r="44" spans="1:3" x14ac:dyDescent="0.25">
      <c r="A44" s="99">
        <v>67</v>
      </c>
      <c r="B44" s="100">
        <v>20.72</v>
      </c>
      <c r="C44" s="100">
        <v>17.72</v>
      </c>
    </row>
    <row r="45" spans="1:3" x14ac:dyDescent="0.25">
      <c r="A45" s="99">
        <v>68</v>
      </c>
      <c r="B45" s="100">
        <v>20.059999999999999</v>
      </c>
      <c r="C45" s="100">
        <v>17.059999999999999</v>
      </c>
    </row>
    <row r="46" spans="1:3" x14ac:dyDescent="0.25">
      <c r="A46" s="99">
        <v>69</v>
      </c>
      <c r="B46" s="100">
        <v>19.41</v>
      </c>
      <c r="C46" s="100">
        <v>16.41</v>
      </c>
    </row>
    <row r="47" spans="1:3" x14ac:dyDescent="0.25">
      <c r="A47" s="99">
        <v>70</v>
      </c>
      <c r="B47" s="100">
        <v>18.75</v>
      </c>
      <c r="C47" s="100">
        <v>15.75</v>
      </c>
    </row>
    <row r="48" spans="1:3" x14ac:dyDescent="0.25">
      <c r="A48" s="99">
        <v>71</v>
      </c>
      <c r="B48" s="100">
        <v>18.09</v>
      </c>
      <c r="C48" s="100">
        <v>15.09</v>
      </c>
    </row>
    <row r="49" spans="1:3" x14ac:dyDescent="0.25">
      <c r="A49" s="99">
        <v>72</v>
      </c>
      <c r="B49" s="100">
        <v>17.43</v>
      </c>
      <c r="C49" s="100">
        <v>14.43</v>
      </c>
    </row>
    <row r="50" spans="1:3" x14ac:dyDescent="0.25">
      <c r="A50" s="99">
        <v>73</v>
      </c>
      <c r="B50" s="100">
        <v>16.78</v>
      </c>
      <c r="C50" s="100">
        <v>13.78</v>
      </c>
    </row>
    <row r="51" spans="1:3" x14ac:dyDescent="0.25">
      <c r="A51" s="99">
        <v>74</v>
      </c>
      <c r="B51" s="100">
        <v>16.12</v>
      </c>
      <c r="C51" s="100">
        <v>13.12</v>
      </c>
    </row>
    <row r="52" spans="1:3" x14ac:dyDescent="0.25">
      <c r="A52" s="99">
        <v>75</v>
      </c>
      <c r="B52" s="100">
        <v>15.47</v>
      </c>
      <c r="C52" s="100">
        <v>12.47</v>
      </c>
    </row>
  </sheetData>
  <sheetProtection algorithmName="SHA-512" hashValue="fbKY4v1NfHb45Vt7+A/P218huylTz3QlzwV89b1O9x96HAs9SR0/eU26ZKMKdTM2Y15snM/o5rkvH5dd8TK9Ig==" saltValue="l/SeH2ZoyZthlHQL3OuBWg==" spinCount="100000" sheet="1" objects="1" scenarios="1"/>
  <conditionalFormatting sqref="A6:A21">
    <cfRule type="expression" dxfId="525" priority="11" stopIfTrue="1">
      <formula>MOD(ROW(),2)=0</formula>
    </cfRule>
    <cfRule type="expression" dxfId="524" priority="12" stopIfTrue="1">
      <formula>MOD(ROW(),2)&lt;&gt;0</formula>
    </cfRule>
  </conditionalFormatting>
  <conditionalFormatting sqref="A26:A52">
    <cfRule type="expression" dxfId="523" priority="1" stopIfTrue="1">
      <formula>MOD(ROW(),2)=0</formula>
    </cfRule>
    <cfRule type="expression" dxfId="522" priority="2" stopIfTrue="1">
      <formula>MOD(ROW(),2)&lt;&gt;0</formula>
    </cfRule>
  </conditionalFormatting>
  <conditionalFormatting sqref="B17:B21">
    <cfRule type="expression" dxfId="521" priority="9" stopIfTrue="1">
      <formula>MOD(ROW(),2)=0</formula>
    </cfRule>
    <cfRule type="expression" dxfId="520" priority="10" stopIfTrue="1">
      <formula>MOD(ROW(),2)&lt;&gt;0</formula>
    </cfRule>
  </conditionalFormatting>
  <conditionalFormatting sqref="B6:C21">
    <cfRule type="expression" dxfId="519" priority="21" stopIfTrue="1">
      <formula>MOD(ROW(),2)=0</formula>
    </cfRule>
    <cfRule type="expression" dxfId="518" priority="22" stopIfTrue="1">
      <formula>MOD(ROW(),2)&lt;&gt;0</formula>
    </cfRule>
  </conditionalFormatting>
  <conditionalFormatting sqref="B26:C52">
    <cfRule type="expression" dxfId="517" priority="3" stopIfTrue="1">
      <formula>MOD(ROW(),2)=0</formula>
    </cfRule>
    <cfRule type="expression" dxfId="516" priority="4" stopIfTrue="1">
      <formula>MOD(ROW(),2)&lt;&gt;0</formula>
    </cfRule>
  </conditionalFormatting>
  <hyperlinks>
    <hyperlink ref="B24" location="Assumptions!A1" display="Assumptions" xr:uid="{4B43D075-6328-46B6-8992-37145CEEC6A3}"/>
  </hyperlinks>
  <pageMargins left="0.74803149606299213" right="0.74803149606299213" top="0.59055118110236227" bottom="0.59055118110236227"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127">
    <pageSetUpPr fitToPage="1"/>
  </sheetPr>
  <dimension ref="A1:I71"/>
  <sheetViews>
    <sheetView showGridLines="0" zoomScale="85" zoomScaleNormal="85" workbookViewId="0">
      <selection activeCell="A4" sqref="A4"/>
    </sheetView>
  </sheetViews>
  <sheetFormatPr defaultColWidth="10" defaultRowHeight="12.5" x14ac:dyDescent="0.25"/>
  <cols>
    <col min="1" max="1" width="31.90625" style="25" customWidth="1"/>
    <col min="2" max="3" width="22.90625" style="25" customWidth="1"/>
    <col min="4" max="4" width="10" style="25" customWidth="1"/>
    <col min="5"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Scheme pays AA - x-602</v>
      </c>
      <c r="B3" s="39"/>
      <c r="C3" s="39"/>
      <c r="D3" s="39"/>
      <c r="E3" s="39"/>
      <c r="F3" s="39"/>
      <c r="G3" s="39"/>
      <c r="H3" s="39"/>
      <c r="I3" s="39"/>
    </row>
    <row r="4" spans="1:9" x14ac:dyDescent="0.25">
      <c r="A4" s="41"/>
    </row>
    <row r="6" spans="1:9" ht="13" x14ac:dyDescent="0.3">
      <c r="A6" s="83" t="s">
        <v>276</v>
      </c>
      <c r="B6" s="161" t="s">
        <v>277</v>
      </c>
      <c r="C6" s="161"/>
    </row>
    <row r="7" spans="1:9" x14ac:dyDescent="0.25">
      <c r="A7" s="85" t="s">
        <v>278</v>
      </c>
      <c r="B7" s="161" t="s">
        <v>310</v>
      </c>
      <c r="C7" s="161"/>
    </row>
    <row r="8" spans="1:9" x14ac:dyDescent="0.25">
      <c r="A8" s="85" t="s">
        <v>280</v>
      </c>
      <c r="B8" s="161" t="s">
        <v>75</v>
      </c>
      <c r="C8" s="161"/>
    </row>
    <row r="9" spans="1:9" x14ac:dyDescent="0.25">
      <c r="A9" s="85" t="s">
        <v>282</v>
      </c>
      <c r="B9" s="161" t="s">
        <v>497</v>
      </c>
      <c r="C9" s="161"/>
    </row>
    <row r="10" spans="1:9" x14ac:dyDescent="0.25">
      <c r="A10" s="85" t="s">
        <v>6</v>
      </c>
      <c r="B10" s="161" t="s">
        <v>502</v>
      </c>
      <c r="C10" s="161"/>
    </row>
    <row r="11" spans="1:9" x14ac:dyDescent="0.25">
      <c r="A11" s="85" t="s">
        <v>285</v>
      </c>
      <c r="B11" s="161" t="s">
        <v>359</v>
      </c>
      <c r="C11" s="161"/>
    </row>
    <row r="12" spans="1:9" x14ac:dyDescent="0.25">
      <c r="A12" s="85" t="s">
        <v>287</v>
      </c>
      <c r="B12" s="161" t="s">
        <v>499</v>
      </c>
      <c r="C12" s="161"/>
    </row>
    <row r="13" spans="1:9" x14ac:dyDescent="0.25">
      <c r="A13" s="85" t="s">
        <v>289</v>
      </c>
      <c r="B13" s="161">
        <v>1</v>
      </c>
      <c r="C13" s="161"/>
    </row>
    <row r="14" spans="1:9" x14ac:dyDescent="0.25">
      <c r="A14" s="85" t="s">
        <v>291</v>
      </c>
      <c r="B14" s="161">
        <v>602</v>
      </c>
      <c r="C14" s="161"/>
    </row>
    <row r="15" spans="1:9" x14ac:dyDescent="0.25">
      <c r="A15" s="85" t="s">
        <v>293</v>
      </c>
      <c r="B15" s="161" t="s">
        <v>503</v>
      </c>
      <c r="C15" s="161"/>
    </row>
    <row r="16" spans="1:9" x14ac:dyDescent="0.25">
      <c r="A16" s="85" t="s">
        <v>295</v>
      </c>
      <c r="B16" s="161" t="s">
        <v>504</v>
      </c>
      <c r="C16" s="161"/>
    </row>
    <row r="17" spans="1:6" ht="39" customHeight="1" x14ac:dyDescent="0.25">
      <c r="A17" s="69" t="s">
        <v>725</v>
      </c>
      <c r="B17" s="161"/>
      <c r="C17" s="161"/>
    </row>
    <row r="18" spans="1:6" x14ac:dyDescent="0.25">
      <c r="A18" s="85" t="s">
        <v>299</v>
      </c>
      <c r="B18" s="162">
        <v>45072</v>
      </c>
      <c r="C18" s="161"/>
    </row>
    <row r="19" spans="1:6" x14ac:dyDescent="0.25">
      <c r="A19" s="85" t="s">
        <v>301</v>
      </c>
      <c r="B19" s="162">
        <v>45078</v>
      </c>
      <c r="C19" s="161"/>
    </row>
    <row r="20" spans="1:6" x14ac:dyDescent="0.25">
      <c r="A20" s="85" t="s">
        <v>303</v>
      </c>
      <c r="B20" s="161" t="s">
        <v>317</v>
      </c>
      <c r="C20" s="161"/>
    </row>
    <row r="21" spans="1:6" x14ac:dyDescent="0.25">
      <c r="A21" s="85" t="s">
        <v>309</v>
      </c>
      <c r="B21" s="161" t="s">
        <v>318</v>
      </c>
      <c r="C21" s="161"/>
    </row>
    <row r="23" spans="1:6" x14ac:dyDescent="0.25">
      <c r="B23" s="103" t="str">
        <f>HYPERLINK("#'Factor List'!A1","Back to Factor List")</f>
        <v>Back to Factor List</v>
      </c>
    </row>
    <row r="24" spans="1:6" x14ac:dyDescent="0.25">
      <c r="B24" s="103" t="s">
        <v>15</v>
      </c>
    </row>
    <row r="26" spans="1:6" ht="13" x14ac:dyDescent="0.25">
      <c r="A26" s="98" t="s">
        <v>408</v>
      </c>
      <c r="B26" s="98" t="s">
        <v>773</v>
      </c>
      <c r="C26" s="98" t="s">
        <v>774</v>
      </c>
    </row>
    <row r="27" spans="1:6" x14ac:dyDescent="0.25">
      <c r="A27" s="99">
        <v>20</v>
      </c>
      <c r="B27" s="100">
        <v>33.6</v>
      </c>
      <c r="C27" s="100">
        <v>30.6</v>
      </c>
      <c r="E27" s="95"/>
      <c r="F27" s="95"/>
    </row>
    <row r="28" spans="1:6" x14ac:dyDescent="0.25">
      <c r="A28" s="99">
        <v>21</v>
      </c>
      <c r="B28" s="100">
        <v>33.36</v>
      </c>
      <c r="C28" s="100">
        <v>30.36</v>
      </c>
      <c r="E28" s="95"/>
      <c r="F28" s="95"/>
    </row>
    <row r="29" spans="1:6" x14ac:dyDescent="0.25">
      <c r="A29" s="99">
        <v>22</v>
      </c>
      <c r="B29" s="100">
        <v>33.130000000000003</v>
      </c>
      <c r="C29" s="100">
        <v>30.13</v>
      </c>
      <c r="E29" s="95"/>
      <c r="F29" s="95"/>
    </row>
    <row r="30" spans="1:6" x14ac:dyDescent="0.25">
      <c r="A30" s="99">
        <v>23</v>
      </c>
      <c r="B30" s="100">
        <v>32.909999999999997</v>
      </c>
      <c r="C30" s="100">
        <v>29.91</v>
      </c>
      <c r="E30" s="95"/>
      <c r="F30" s="95"/>
    </row>
    <row r="31" spans="1:6" x14ac:dyDescent="0.25">
      <c r="A31" s="99">
        <v>24</v>
      </c>
      <c r="B31" s="100">
        <v>32.67</v>
      </c>
      <c r="C31" s="100">
        <v>29.67</v>
      </c>
      <c r="E31" s="95"/>
      <c r="F31" s="95"/>
    </row>
    <row r="32" spans="1:6" x14ac:dyDescent="0.25">
      <c r="A32" s="99">
        <v>25</v>
      </c>
      <c r="B32" s="100">
        <v>32.44</v>
      </c>
      <c r="C32" s="100">
        <v>29.44</v>
      </c>
      <c r="E32" s="95"/>
      <c r="F32" s="95"/>
    </row>
    <row r="33" spans="1:6" x14ac:dyDescent="0.25">
      <c r="A33" s="99">
        <v>26</v>
      </c>
      <c r="B33" s="100">
        <v>32.200000000000003</v>
      </c>
      <c r="C33" s="100">
        <v>29.2</v>
      </c>
      <c r="E33" s="95"/>
      <c r="F33" s="95"/>
    </row>
    <row r="34" spans="1:6" x14ac:dyDescent="0.25">
      <c r="A34" s="99">
        <v>27</v>
      </c>
      <c r="B34" s="100">
        <v>31.96</v>
      </c>
      <c r="C34" s="100">
        <v>28.96</v>
      </c>
      <c r="E34" s="95"/>
      <c r="F34" s="95"/>
    </row>
    <row r="35" spans="1:6" x14ac:dyDescent="0.25">
      <c r="A35" s="99">
        <v>28</v>
      </c>
      <c r="B35" s="100">
        <v>31.73</v>
      </c>
      <c r="C35" s="100">
        <v>28.73</v>
      </c>
      <c r="E35" s="95"/>
      <c r="F35" s="95"/>
    </row>
    <row r="36" spans="1:6" x14ac:dyDescent="0.25">
      <c r="A36" s="99">
        <v>29</v>
      </c>
      <c r="B36" s="100">
        <v>31.5</v>
      </c>
      <c r="C36" s="100">
        <v>28.5</v>
      </c>
      <c r="E36" s="95"/>
      <c r="F36" s="95"/>
    </row>
    <row r="37" spans="1:6" x14ac:dyDescent="0.25">
      <c r="A37" s="99">
        <v>30</v>
      </c>
      <c r="B37" s="100">
        <v>31.27</v>
      </c>
      <c r="C37" s="100">
        <v>28.27</v>
      </c>
      <c r="E37" s="95"/>
      <c r="F37" s="95"/>
    </row>
    <row r="38" spans="1:6" x14ac:dyDescent="0.25">
      <c r="A38" s="99">
        <v>31</v>
      </c>
      <c r="B38" s="100">
        <v>31.05</v>
      </c>
      <c r="C38" s="100">
        <v>28.05</v>
      </c>
      <c r="E38" s="95"/>
      <c r="F38" s="95"/>
    </row>
    <row r="39" spans="1:6" x14ac:dyDescent="0.25">
      <c r="A39" s="99">
        <v>32</v>
      </c>
      <c r="B39" s="100">
        <v>30.82</v>
      </c>
      <c r="C39" s="100">
        <v>27.82</v>
      </c>
      <c r="E39" s="95"/>
      <c r="F39" s="95"/>
    </row>
    <row r="40" spans="1:6" x14ac:dyDescent="0.25">
      <c r="A40" s="99">
        <v>33</v>
      </c>
      <c r="B40" s="100">
        <v>30.6</v>
      </c>
      <c r="C40" s="100">
        <v>27.6</v>
      </c>
      <c r="E40" s="95"/>
      <c r="F40" s="95"/>
    </row>
    <row r="41" spans="1:6" x14ac:dyDescent="0.25">
      <c r="A41" s="99">
        <v>34</v>
      </c>
      <c r="B41" s="100">
        <v>30.37</v>
      </c>
      <c r="C41" s="100">
        <v>27.37</v>
      </c>
      <c r="E41" s="95"/>
      <c r="F41" s="95"/>
    </row>
    <row r="42" spans="1:6" x14ac:dyDescent="0.25">
      <c r="A42" s="99">
        <v>35</v>
      </c>
      <c r="B42" s="100">
        <v>30.14</v>
      </c>
      <c r="C42" s="100">
        <v>27.14</v>
      </c>
      <c r="E42" s="95"/>
      <c r="F42" s="95"/>
    </row>
    <row r="43" spans="1:6" x14ac:dyDescent="0.25">
      <c r="A43" s="99">
        <v>36</v>
      </c>
      <c r="B43" s="100">
        <v>29.91</v>
      </c>
      <c r="C43" s="100">
        <v>26.91</v>
      </c>
      <c r="E43" s="95"/>
      <c r="F43" s="95"/>
    </row>
    <row r="44" spans="1:6" x14ac:dyDescent="0.25">
      <c r="A44" s="99">
        <v>37</v>
      </c>
      <c r="B44" s="100">
        <v>29.68</v>
      </c>
      <c r="C44" s="100">
        <v>26.68</v>
      </c>
      <c r="E44" s="95"/>
      <c r="F44" s="95"/>
    </row>
    <row r="45" spans="1:6" x14ac:dyDescent="0.25">
      <c r="A45" s="99">
        <v>38</v>
      </c>
      <c r="B45" s="100">
        <v>29.43</v>
      </c>
      <c r="C45" s="100">
        <v>26.43</v>
      </c>
      <c r="E45" s="95"/>
      <c r="F45" s="95"/>
    </row>
    <row r="46" spans="1:6" x14ac:dyDescent="0.25">
      <c r="A46" s="99">
        <v>39</v>
      </c>
      <c r="B46" s="100">
        <v>29.18</v>
      </c>
      <c r="C46" s="100">
        <v>26.18</v>
      </c>
      <c r="E46" s="95"/>
      <c r="F46" s="95"/>
    </row>
    <row r="47" spans="1:6" x14ac:dyDescent="0.25">
      <c r="A47" s="99">
        <v>40</v>
      </c>
      <c r="B47" s="100">
        <v>28.92</v>
      </c>
      <c r="C47" s="100">
        <v>25.92</v>
      </c>
      <c r="E47" s="95"/>
      <c r="F47" s="95"/>
    </row>
    <row r="48" spans="1:6" x14ac:dyDescent="0.25">
      <c r="A48" s="99">
        <v>41</v>
      </c>
      <c r="B48" s="100">
        <v>28.65</v>
      </c>
      <c r="C48" s="100">
        <v>25.65</v>
      </c>
      <c r="E48" s="95"/>
      <c r="F48" s="95"/>
    </row>
    <row r="49" spans="1:6" x14ac:dyDescent="0.25">
      <c r="A49" s="99">
        <v>42</v>
      </c>
      <c r="B49" s="100">
        <v>28.38</v>
      </c>
      <c r="C49" s="100">
        <v>25.38</v>
      </c>
      <c r="E49" s="95"/>
      <c r="F49" s="95"/>
    </row>
    <row r="50" spans="1:6" x14ac:dyDescent="0.25">
      <c r="A50" s="99">
        <v>43</v>
      </c>
      <c r="B50" s="100">
        <v>28.1</v>
      </c>
      <c r="C50" s="100">
        <v>25.1</v>
      </c>
      <c r="E50" s="95"/>
      <c r="F50" s="95"/>
    </row>
    <row r="51" spans="1:6" x14ac:dyDescent="0.25">
      <c r="A51" s="99">
        <v>44</v>
      </c>
      <c r="B51" s="100">
        <v>27.8</v>
      </c>
      <c r="C51" s="100">
        <v>24.8</v>
      </c>
      <c r="E51" s="95"/>
      <c r="F51" s="95"/>
    </row>
    <row r="52" spans="1:6" x14ac:dyDescent="0.25">
      <c r="A52" s="99">
        <v>45</v>
      </c>
      <c r="B52" s="100">
        <v>27.5</v>
      </c>
      <c r="C52" s="100">
        <v>24.5</v>
      </c>
      <c r="E52" s="95"/>
      <c r="F52" s="95"/>
    </row>
    <row r="53" spans="1:6" x14ac:dyDescent="0.25">
      <c r="A53" s="99">
        <v>46</v>
      </c>
      <c r="B53" s="100">
        <v>27.2</v>
      </c>
      <c r="C53" s="100">
        <v>24.2</v>
      </c>
      <c r="E53" s="95"/>
      <c r="F53" s="95"/>
    </row>
    <row r="54" spans="1:6" x14ac:dyDescent="0.25">
      <c r="A54" s="99">
        <v>47</v>
      </c>
      <c r="B54" s="100">
        <v>26.88</v>
      </c>
      <c r="C54" s="100">
        <v>23.88</v>
      </c>
      <c r="E54" s="95"/>
      <c r="F54" s="95"/>
    </row>
    <row r="55" spans="1:6" x14ac:dyDescent="0.25">
      <c r="A55" s="99">
        <v>48</v>
      </c>
      <c r="B55" s="100">
        <v>26.55</v>
      </c>
      <c r="C55" s="100">
        <v>23.55</v>
      </c>
      <c r="E55" s="95"/>
      <c r="F55" s="95"/>
    </row>
    <row r="56" spans="1:6" x14ac:dyDescent="0.25">
      <c r="A56" s="99">
        <v>49</v>
      </c>
      <c r="B56" s="100">
        <v>26.21</v>
      </c>
      <c r="C56" s="100">
        <v>23.21</v>
      </c>
      <c r="E56" s="95"/>
      <c r="F56" s="95"/>
    </row>
    <row r="57" spans="1:6" x14ac:dyDescent="0.25">
      <c r="A57" s="99">
        <v>50</v>
      </c>
      <c r="B57" s="100">
        <v>25.86</v>
      </c>
      <c r="C57" s="100">
        <v>22.86</v>
      </c>
      <c r="E57" s="95"/>
      <c r="F57" s="95"/>
    </row>
    <row r="58" spans="1:6" x14ac:dyDescent="0.25">
      <c r="A58" s="99">
        <v>51</v>
      </c>
      <c r="B58" s="100">
        <v>25.49</v>
      </c>
      <c r="C58" s="100">
        <v>22.49</v>
      </c>
      <c r="E58" s="95"/>
      <c r="F58" s="95"/>
    </row>
    <row r="59" spans="1:6" x14ac:dyDescent="0.25">
      <c r="A59" s="99">
        <v>52</v>
      </c>
      <c r="B59" s="100">
        <v>25.11</v>
      </c>
      <c r="C59" s="100">
        <v>22.11</v>
      </c>
      <c r="E59" s="95"/>
      <c r="F59" s="95"/>
    </row>
    <row r="60" spans="1:6" x14ac:dyDescent="0.25">
      <c r="A60" s="99">
        <v>53</v>
      </c>
      <c r="B60" s="100">
        <v>24.71</v>
      </c>
      <c r="C60" s="100">
        <v>21.71</v>
      </c>
      <c r="E60" s="95"/>
      <c r="F60" s="95"/>
    </row>
    <row r="61" spans="1:6" x14ac:dyDescent="0.25">
      <c r="A61" s="99">
        <v>54</v>
      </c>
      <c r="B61" s="100">
        <v>24.3</v>
      </c>
      <c r="C61" s="100">
        <v>21.3</v>
      </c>
      <c r="E61" s="95"/>
      <c r="F61" s="95"/>
    </row>
    <row r="62" spans="1:6" x14ac:dyDescent="0.25">
      <c r="A62" s="99">
        <v>55</v>
      </c>
      <c r="B62" s="100">
        <v>23.87</v>
      </c>
      <c r="C62" s="100">
        <v>20.87</v>
      </c>
      <c r="E62" s="95"/>
      <c r="F62" s="95"/>
    </row>
    <row r="63" spans="1:6" x14ac:dyDescent="0.25">
      <c r="A63" s="99">
        <v>56</v>
      </c>
      <c r="B63" s="100">
        <v>23.43</v>
      </c>
      <c r="C63" s="100">
        <v>20.43</v>
      </c>
      <c r="E63" s="95"/>
      <c r="F63" s="95"/>
    </row>
    <row r="64" spans="1:6" x14ac:dyDescent="0.25">
      <c r="A64" s="99">
        <v>57</v>
      </c>
      <c r="B64" s="100">
        <v>22.98</v>
      </c>
      <c r="C64" s="100">
        <v>19.98</v>
      </c>
      <c r="E64" s="95"/>
      <c r="F64" s="95"/>
    </row>
    <row r="65" spans="1:6" x14ac:dyDescent="0.25">
      <c r="A65" s="99">
        <v>58</v>
      </c>
      <c r="B65" s="100">
        <v>22.51</v>
      </c>
      <c r="C65" s="100">
        <v>19.510000000000002</v>
      </c>
      <c r="E65" s="95"/>
      <c r="F65" s="95"/>
    </row>
    <row r="66" spans="1:6" x14ac:dyDescent="0.25">
      <c r="A66" s="99">
        <v>59</v>
      </c>
      <c r="B66" s="100">
        <v>22.04</v>
      </c>
      <c r="C66" s="100">
        <v>19.04</v>
      </c>
      <c r="E66" s="95"/>
      <c r="F66" s="95"/>
    </row>
    <row r="67" spans="1:6" x14ac:dyDescent="0.25">
      <c r="A67" s="99">
        <v>60</v>
      </c>
      <c r="B67" s="100">
        <v>21.54</v>
      </c>
      <c r="C67" s="100">
        <v>18.54</v>
      </c>
      <c r="E67" s="95"/>
      <c r="F67" s="95"/>
    </row>
    <row r="68" spans="1:6" x14ac:dyDescent="0.25">
      <c r="A68" s="99">
        <v>61</v>
      </c>
      <c r="B68" s="100">
        <v>21.03</v>
      </c>
      <c r="C68" s="100">
        <v>18.03</v>
      </c>
      <c r="E68" s="95"/>
      <c r="F68" s="95"/>
    </row>
    <row r="69" spans="1:6" x14ac:dyDescent="0.25">
      <c r="A69" s="99">
        <v>62</v>
      </c>
      <c r="B69" s="100">
        <v>20.51</v>
      </c>
      <c r="C69" s="100">
        <v>17.510000000000002</v>
      </c>
      <c r="E69" s="95"/>
      <c r="F69" s="95"/>
    </row>
    <row r="70" spans="1:6" x14ac:dyDescent="0.25">
      <c r="A70" s="99">
        <v>63</v>
      </c>
      <c r="B70" s="100">
        <v>19.98</v>
      </c>
      <c r="C70" s="100">
        <v>16.98</v>
      </c>
      <c r="E70" s="95"/>
      <c r="F70" s="95"/>
    </row>
    <row r="71" spans="1:6" x14ac:dyDescent="0.25">
      <c r="A71" s="99">
        <v>64</v>
      </c>
      <c r="B71" s="100">
        <v>19.43</v>
      </c>
      <c r="C71" s="100">
        <v>16.43</v>
      </c>
      <c r="E71" s="95"/>
      <c r="F71" s="95"/>
    </row>
  </sheetData>
  <sheetProtection algorithmName="SHA-512" hashValue="joWvUjLByGH86M/AiDDi3xRpdcnNTjeUYNUN6RFwH9NPf3kM4qgOxmvDUc7tPzHb6Wx+8nIa4+awymbrTwwM5Q==" saltValue="rkobrVp3ahTZLkXbx/bYrw==" spinCount="100000" sheet="1" objects="1" scenarios="1"/>
  <conditionalFormatting sqref="A6:A21">
    <cfRule type="expression" dxfId="515" priority="11" stopIfTrue="1">
      <formula>MOD(ROW(),2)=0</formula>
    </cfRule>
    <cfRule type="expression" dxfId="514" priority="12" stopIfTrue="1">
      <formula>MOD(ROW(),2)&lt;&gt;0</formula>
    </cfRule>
  </conditionalFormatting>
  <conditionalFormatting sqref="A26:A71">
    <cfRule type="expression" dxfId="513" priority="1" stopIfTrue="1">
      <formula>MOD(ROW(),2)=0</formula>
    </cfRule>
    <cfRule type="expression" dxfId="512" priority="2" stopIfTrue="1">
      <formula>MOD(ROW(),2)&lt;&gt;0</formula>
    </cfRule>
  </conditionalFormatting>
  <conditionalFormatting sqref="B17:B21">
    <cfRule type="expression" dxfId="511" priority="9" stopIfTrue="1">
      <formula>MOD(ROW(),2)=0</formula>
    </cfRule>
    <cfRule type="expression" dxfId="510" priority="10" stopIfTrue="1">
      <formula>MOD(ROW(),2)&lt;&gt;0</formula>
    </cfRule>
  </conditionalFormatting>
  <conditionalFormatting sqref="B6:C21">
    <cfRule type="expression" dxfId="509" priority="21" stopIfTrue="1">
      <formula>MOD(ROW(),2)=0</formula>
    </cfRule>
    <cfRule type="expression" dxfId="508" priority="22" stopIfTrue="1">
      <formula>MOD(ROW(),2)&lt;&gt;0</formula>
    </cfRule>
  </conditionalFormatting>
  <conditionalFormatting sqref="B26:C71">
    <cfRule type="expression" dxfId="507" priority="3" stopIfTrue="1">
      <formula>MOD(ROW(),2)=0</formula>
    </cfRule>
    <cfRule type="expression" dxfId="506" priority="4" stopIfTrue="1">
      <formula>MOD(ROW(),2)&lt;&gt;0</formula>
    </cfRule>
  </conditionalFormatting>
  <hyperlinks>
    <hyperlink ref="B24" location="Assumptions!A1" display="Assumptions" xr:uid="{94668FF9-5DD1-4E32-8315-29663BFBFF06}"/>
  </hyperlinks>
  <pageMargins left="0.74803149606299213" right="0.74803149606299213" top="0.59055118110236227" bottom="0.59055118110236227" header="0.51181102362204722" footer="0.51181102362204722"/>
  <pageSetup paperSize="9" fitToHeight="0"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28">
    <pageSetUpPr fitToPage="1"/>
  </sheetPr>
  <dimension ref="A1:I47"/>
  <sheetViews>
    <sheetView showGridLines="0" zoomScale="85" zoomScaleNormal="85" workbookViewId="0">
      <selection activeCell="A4" sqref="A4"/>
    </sheetView>
  </sheetViews>
  <sheetFormatPr defaultColWidth="10" defaultRowHeight="12.5" x14ac:dyDescent="0.25"/>
  <cols>
    <col min="1" max="1" width="31.90625" style="25" customWidth="1"/>
    <col min="2" max="2" width="35" style="25" customWidth="1"/>
    <col min="3" max="3" width="10.08984375" style="25" customWidth="1"/>
    <col min="4" max="4" width="10" style="25" customWidth="1"/>
    <col min="5"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Scheme pays AA - x-603</v>
      </c>
      <c r="B3" s="39"/>
      <c r="C3" s="39"/>
      <c r="D3" s="39"/>
      <c r="E3" s="39"/>
      <c r="F3" s="39"/>
      <c r="G3" s="39"/>
      <c r="H3" s="39"/>
      <c r="I3" s="39"/>
    </row>
    <row r="4" spans="1:9" x14ac:dyDescent="0.25">
      <c r="A4" s="41"/>
    </row>
    <row r="6" spans="1:9" ht="13" x14ac:dyDescent="0.3">
      <c r="A6" s="83" t="s">
        <v>276</v>
      </c>
      <c r="B6" s="161" t="s">
        <v>277</v>
      </c>
    </row>
    <row r="7" spans="1:9" x14ac:dyDescent="0.25">
      <c r="A7" s="85" t="s">
        <v>278</v>
      </c>
      <c r="B7" s="161" t="s">
        <v>310</v>
      </c>
    </row>
    <row r="8" spans="1:9" x14ac:dyDescent="0.25">
      <c r="A8" s="85" t="s">
        <v>280</v>
      </c>
      <c r="B8" s="161" t="s">
        <v>74</v>
      </c>
    </row>
    <row r="9" spans="1:9" x14ac:dyDescent="0.25">
      <c r="A9" s="85" t="s">
        <v>282</v>
      </c>
      <c r="B9" s="161" t="s">
        <v>497</v>
      </c>
    </row>
    <row r="10" spans="1:9" x14ac:dyDescent="0.25">
      <c r="A10" s="85" t="s">
        <v>6</v>
      </c>
      <c r="B10" s="161" t="s">
        <v>498</v>
      </c>
    </row>
    <row r="11" spans="1:9" x14ac:dyDescent="0.25">
      <c r="A11" s="85" t="s">
        <v>285</v>
      </c>
      <c r="B11" s="161" t="s">
        <v>359</v>
      </c>
    </row>
    <row r="12" spans="1:9" x14ac:dyDescent="0.25">
      <c r="A12" s="85" t="s">
        <v>287</v>
      </c>
      <c r="B12" s="161" t="s">
        <v>499</v>
      </c>
    </row>
    <row r="13" spans="1:9" x14ac:dyDescent="0.25">
      <c r="A13" s="85" t="s">
        <v>289</v>
      </c>
      <c r="B13" s="161">
        <v>0</v>
      </c>
    </row>
    <row r="14" spans="1:9" x14ac:dyDescent="0.25">
      <c r="A14" s="85" t="s">
        <v>291</v>
      </c>
      <c r="B14" s="161">
        <v>603</v>
      </c>
    </row>
    <row r="15" spans="1:9" x14ac:dyDescent="0.25">
      <c r="A15" s="85" t="s">
        <v>293</v>
      </c>
      <c r="B15" s="161" t="s">
        <v>505</v>
      </c>
    </row>
    <row r="16" spans="1:9" x14ac:dyDescent="0.25">
      <c r="A16" s="85" t="s">
        <v>295</v>
      </c>
      <c r="B16" s="161" t="s">
        <v>501</v>
      </c>
    </row>
    <row r="17" spans="1:2" ht="63" customHeight="1" x14ac:dyDescent="0.25">
      <c r="A17" s="69" t="s">
        <v>725</v>
      </c>
      <c r="B17" s="161"/>
    </row>
    <row r="18" spans="1:2" x14ac:dyDescent="0.25">
      <c r="A18" s="85" t="s">
        <v>299</v>
      </c>
      <c r="B18" s="162">
        <v>45072</v>
      </c>
    </row>
    <row r="19" spans="1:2" x14ac:dyDescent="0.25">
      <c r="A19" s="85" t="s">
        <v>301</v>
      </c>
      <c r="B19" s="162">
        <v>45078</v>
      </c>
    </row>
    <row r="20" spans="1:2" x14ac:dyDescent="0.25">
      <c r="A20" s="85" t="s">
        <v>303</v>
      </c>
      <c r="B20" s="161" t="s">
        <v>317</v>
      </c>
    </row>
    <row r="21" spans="1:2" x14ac:dyDescent="0.25">
      <c r="A21" s="85" t="s">
        <v>309</v>
      </c>
      <c r="B21" s="161" t="s">
        <v>318</v>
      </c>
    </row>
    <row r="22" spans="1:2" hidden="1" x14ac:dyDescent="0.25"/>
    <row r="23" spans="1:2" hidden="1" x14ac:dyDescent="0.25">
      <c r="B23" s="103" t="str">
        <f>HYPERLINK("#'Factor List'!A1","Back to Factor List")</f>
        <v>Back to Factor List</v>
      </c>
    </row>
    <row r="24" spans="1:2" x14ac:dyDescent="0.25">
      <c r="B24" s="103" t="s">
        <v>15</v>
      </c>
    </row>
    <row r="26" spans="1:2" ht="13" x14ac:dyDescent="0.25">
      <c r="A26" s="98" t="s">
        <v>408</v>
      </c>
      <c r="B26" s="98" t="s">
        <v>775</v>
      </c>
    </row>
    <row r="27" spans="1:2" x14ac:dyDescent="0.25">
      <c r="A27" s="99">
        <v>55</v>
      </c>
      <c r="B27" s="100">
        <v>25.15</v>
      </c>
    </row>
    <row r="28" spans="1:2" x14ac:dyDescent="0.25">
      <c r="A28" s="99">
        <v>56</v>
      </c>
      <c r="B28" s="100">
        <v>24.56</v>
      </c>
    </row>
    <row r="29" spans="1:2" x14ac:dyDescent="0.25">
      <c r="A29" s="99">
        <v>57</v>
      </c>
      <c r="B29" s="100">
        <v>23.97</v>
      </c>
    </row>
    <row r="30" spans="1:2" x14ac:dyDescent="0.25">
      <c r="A30" s="99">
        <v>58</v>
      </c>
      <c r="B30" s="100">
        <v>23.37</v>
      </c>
    </row>
    <row r="31" spans="1:2" x14ac:dyDescent="0.25">
      <c r="A31" s="99">
        <v>59</v>
      </c>
      <c r="B31" s="100">
        <v>22.77</v>
      </c>
    </row>
    <row r="32" spans="1:2" x14ac:dyDescent="0.25">
      <c r="A32" s="99">
        <v>60</v>
      </c>
      <c r="B32" s="100">
        <v>22.15</v>
      </c>
    </row>
    <row r="33" spans="1:2" x14ac:dyDescent="0.25">
      <c r="A33" s="99">
        <v>61</v>
      </c>
      <c r="B33" s="100">
        <v>21.53</v>
      </c>
    </row>
    <row r="34" spans="1:2" x14ac:dyDescent="0.25">
      <c r="A34" s="99">
        <v>62</v>
      </c>
      <c r="B34" s="100">
        <v>20.91</v>
      </c>
    </row>
    <row r="35" spans="1:2" x14ac:dyDescent="0.25">
      <c r="A35" s="99">
        <v>63</v>
      </c>
      <c r="B35" s="100">
        <v>20.28</v>
      </c>
    </row>
    <row r="36" spans="1:2" x14ac:dyDescent="0.25">
      <c r="A36" s="99">
        <v>64</v>
      </c>
      <c r="B36" s="100">
        <v>19.649999999999999</v>
      </c>
    </row>
    <row r="37" spans="1:2" x14ac:dyDescent="0.25">
      <c r="A37" s="99">
        <v>65</v>
      </c>
      <c r="B37" s="100">
        <v>19.010000000000002</v>
      </c>
    </row>
    <row r="38" spans="1:2" x14ac:dyDescent="0.25">
      <c r="A38" s="99">
        <v>66</v>
      </c>
      <c r="B38" s="100">
        <v>18.36</v>
      </c>
    </row>
    <row r="39" spans="1:2" x14ac:dyDescent="0.25">
      <c r="A39" s="99">
        <v>67</v>
      </c>
      <c r="B39" s="100">
        <v>17.72</v>
      </c>
    </row>
    <row r="40" spans="1:2" x14ac:dyDescent="0.25">
      <c r="A40" s="99">
        <v>68</v>
      </c>
      <c r="B40" s="100">
        <v>17.059999999999999</v>
      </c>
    </row>
    <row r="41" spans="1:2" x14ac:dyDescent="0.25">
      <c r="A41" s="99">
        <v>69</v>
      </c>
      <c r="B41" s="100">
        <v>16.41</v>
      </c>
    </row>
    <row r="42" spans="1:2" x14ac:dyDescent="0.25">
      <c r="A42" s="99">
        <v>70</v>
      </c>
      <c r="B42" s="100">
        <v>15.75</v>
      </c>
    </row>
    <row r="43" spans="1:2" x14ac:dyDescent="0.25">
      <c r="A43" s="99">
        <v>71</v>
      </c>
      <c r="B43" s="100">
        <v>15.09</v>
      </c>
    </row>
    <row r="44" spans="1:2" x14ac:dyDescent="0.25">
      <c r="A44" s="99">
        <v>72</v>
      </c>
      <c r="B44" s="100">
        <v>14.43</v>
      </c>
    </row>
    <row r="45" spans="1:2" x14ac:dyDescent="0.25">
      <c r="A45" s="99">
        <v>73</v>
      </c>
      <c r="B45" s="100">
        <v>13.78</v>
      </c>
    </row>
    <row r="46" spans="1:2" x14ac:dyDescent="0.25">
      <c r="A46" s="99">
        <v>74</v>
      </c>
      <c r="B46" s="100">
        <v>13.12</v>
      </c>
    </row>
    <row r="47" spans="1:2" x14ac:dyDescent="0.25">
      <c r="A47" s="99">
        <v>75</v>
      </c>
      <c r="B47" s="100">
        <v>12.47</v>
      </c>
    </row>
  </sheetData>
  <sheetProtection algorithmName="SHA-512" hashValue="0k2c3EYWZ1TwqDPnRLEdlVGa9o69C6zz+7DSr3RGTh1dEYG29XFoMWJMH6bPXnLvpqgrXlsoVm4EwScAhkG4+g==" saltValue="0LUYvuEQFDRi8F7iO8I9+w==" spinCount="100000" sheet="1" objects="1" scenarios="1"/>
  <conditionalFormatting sqref="A6:A21">
    <cfRule type="expression" dxfId="505" priority="11" stopIfTrue="1">
      <formula>MOD(ROW(),2)=0</formula>
    </cfRule>
    <cfRule type="expression" dxfId="504" priority="12" stopIfTrue="1">
      <formula>MOD(ROW(),2)&lt;&gt;0</formula>
    </cfRule>
  </conditionalFormatting>
  <conditionalFormatting sqref="A26:A47">
    <cfRule type="expression" dxfId="503" priority="1" stopIfTrue="1">
      <formula>MOD(ROW(),2)=0</formula>
    </cfRule>
    <cfRule type="expression" dxfId="502" priority="2" stopIfTrue="1">
      <formula>MOD(ROW(),2)&lt;&gt;0</formula>
    </cfRule>
  </conditionalFormatting>
  <conditionalFormatting sqref="B6:B21">
    <cfRule type="expression" dxfId="501" priority="21" stopIfTrue="1">
      <formula>MOD(ROW(),2)=0</formula>
    </cfRule>
    <cfRule type="expression" dxfId="500" priority="22" stopIfTrue="1">
      <formula>MOD(ROW(),2)&lt;&gt;0</formula>
    </cfRule>
  </conditionalFormatting>
  <conditionalFormatting sqref="B17:B21">
    <cfRule type="expression" dxfId="499" priority="9" stopIfTrue="1">
      <formula>MOD(ROW(),2)=0</formula>
    </cfRule>
    <cfRule type="expression" dxfId="498" priority="10" stopIfTrue="1">
      <formula>MOD(ROW(),2)&lt;&gt;0</formula>
    </cfRule>
  </conditionalFormatting>
  <conditionalFormatting sqref="B26:B47">
    <cfRule type="expression" dxfId="497" priority="3" stopIfTrue="1">
      <formula>MOD(ROW(),2)=0</formula>
    </cfRule>
    <cfRule type="expression" dxfId="496" priority="4" stopIfTrue="1">
      <formula>MOD(ROW(),2)&lt;&gt;0</formula>
    </cfRule>
  </conditionalFormatting>
  <hyperlinks>
    <hyperlink ref="B24" location="Assumptions!A1" display="Assumptions" xr:uid="{36AD06D7-4670-41A1-9A6B-3354C841FEC5}"/>
  </hyperlinks>
  <pageMargins left="0.74803149606299213" right="0.74803149606299213" top="0.59055118110236227" bottom="0.59055118110236227" header="0.51181102362204722" footer="0.51181102362204722"/>
  <pageSetup paperSize="9" fitToHeight="0"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129">
    <pageSetUpPr fitToPage="1"/>
  </sheetPr>
  <dimension ref="A1:I74"/>
  <sheetViews>
    <sheetView showGridLines="0" zoomScale="85" zoomScaleNormal="85" workbookViewId="0">
      <selection activeCell="A4" sqref="A4"/>
    </sheetView>
  </sheetViews>
  <sheetFormatPr defaultColWidth="10" defaultRowHeight="12.5" x14ac:dyDescent="0.25"/>
  <cols>
    <col min="1" max="1" width="31.90625" style="25" customWidth="1"/>
    <col min="2" max="2" width="35.90625" style="25" customWidth="1"/>
    <col min="3" max="3" width="10.08984375" style="25" customWidth="1"/>
    <col min="4" max="4" width="10" style="25" customWidth="1"/>
    <col min="5"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Scheme pays AA - x-604</v>
      </c>
      <c r="B3" s="39"/>
      <c r="C3" s="39"/>
      <c r="D3" s="39"/>
      <c r="E3" s="39"/>
      <c r="F3" s="39"/>
      <c r="G3" s="39"/>
      <c r="H3" s="39"/>
      <c r="I3" s="39"/>
    </row>
    <row r="4" spans="1:9" x14ac:dyDescent="0.25">
      <c r="A4" s="41"/>
    </row>
    <row r="6" spans="1:9" ht="13" x14ac:dyDescent="0.3">
      <c r="A6" s="83" t="s">
        <v>276</v>
      </c>
      <c r="B6" s="161" t="s">
        <v>277</v>
      </c>
    </row>
    <row r="7" spans="1:9" x14ac:dyDescent="0.25">
      <c r="A7" s="85" t="s">
        <v>278</v>
      </c>
      <c r="B7" s="161" t="s">
        <v>310</v>
      </c>
    </row>
    <row r="8" spans="1:9" x14ac:dyDescent="0.25">
      <c r="A8" s="85" t="s">
        <v>280</v>
      </c>
      <c r="B8" s="161" t="s">
        <v>74</v>
      </c>
    </row>
    <row r="9" spans="1:9" x14ac:dyDescent="0.25">
      <c r="A9" s="85" t="s">
        <v>282</v>
      </c>
      <c r="B9" s="161" t="s">
        <v>497</v>
      </c>
    </row>
    <row r="10" spans="1:9" x14ac:dyDescent="0.25">
      <c r="A10" s="85" t="s">
        <v>6</v>
      </c>
      <c r="B10" s="161" t="s">
        <v>502</v>
      </c>
    </row>
    <row r="11" spans="1:9" x14ac:dyDescent="0.25">
      <c r="A11" s="85" t="s">
        <v>285</v>
      </c>
      <c r="B11" s="161" t="s">
        <v>359</v>
      </c>
    </row>
    <row r="12" spans="1:9" x14ac:dyDescent="0.25">
      <c r="A12" s="85" t="s">
        <v>287</v>
      </c>
      <c r="B12" s="161" t="s">
        <v>499</v>
      </c>
    </row>
    <row r="13" spans="1:9" x14ac:dyDescent="0.25">
      <c r="A13" s="85" t="s">
        <v>289</v>
      </c>
      <c r="B13" s="161">
        <v>0</v>
      </c>
    </row>
    <row r="14" spans="1:9" x14ac:dyDescent="0.25">
      <c r="A14" s="85" t="s">
        <v>291</v>
      </c>
      <c r="B14" s="161">
        <v>604</v>
      </c>
    </row>
    <row r="15" spans="1:9" x14ac:dyDescent="0.25">
      <c r="A15" s="85" t="s">
        <v>293</v>
      </c>
      <c r="B15" s="161" t="s">
        <v>506</v>
      </c>
    </row>
    <row r="16" spans="1:9" x14ac:dyDescent="0.25">
      <c r="A16" s="85" t="s">
        <v>295</v>
      </c>
      <c r="B16" s="161" t="s">
        <v>504</v>
      </c>
    </row>
    <row r="17" spans="1:2" ht="49.4" customHeight="1" x14ac:dyDescent="0.25">
      <c r="A17" s="69" t="s">
        <v>725</v>
      </c>
      <c r="B17" s="161"/>
    </row>
    <row r="18" spans="1:2" x14ac:dyDescent="0.25">
      <c r="A18" s="85" t="s">
        <v>299</v>
      </c>
      <c r="B18" s="162">
        <v>45072</v>
      </c>
    </row>
    <row r="19" spans="1:2" x14ac:dyDescent="0.25">
      <c r="A19" s="85" t="s">
        <v>301</v>
      </c>
      <c r="B19" s="162">
        <v>45078</v>
      </c>
    </row>
    <row r="20" spans="1:2" x14ac:dyDescent="0.25">
      <c r="A20" s="85" t="s">
        <v>303</v>
      </c>
      <c r="B20" s="161" t="s">
        <v>317</v>
      </c>
    </row>
    <row r="21" spans="1:2" x14ac:dyDescent="0.25">
      <c r="A21" s="85" t="s">
        <v>309</v>
      </c>
      <c r="B21" s="161" t="s">
        <v>318</v>
      </c>
    </row>
    <row r="23" spans="1:2" x14ac:dyDescent="0.25">
      <c r="B23" s="103" t="str">
        <f>HYPERLINK("#'Factor List'!A1","Back to Factor List")</f>
        <v>Back to Factor List</v>
      </c>
    </row>
    <row r="24" spans="1:2" x14ac:dyDescent="0.25">
      <c r="B24" s="103" t="s">
        <v>15</v>
      </c>
    </row>
    <row r="26" spans="1:2" ht="13" x14ac:dyDescent="0.25">
      <c r="A26" s="98" t="s">
        <v>408</v>
      </c>
      <c r="B26" s="98" t="s">
        <v>775</v>
      </c>
    </row>
    <row r="27" spans="1:2" x14ac:dyDescent="0.25">
      <c r="A27" s="99">
        <v>20</v>
      </c>
      <c r="B27" s="100">
        <v>30.6</v>
      </c>
    </row>
    <row r="28" spans="1:2" x14ac:dyDescent="0.25">
      <c r="A28" s="99">
        <v>21</v>
      </c>
      <c r="B28" s="100">
        <v>30.36</v>
      </c>
    </row>
    <row r="29" spans="1:2" x14ac:dyDescent="0.25">
      <c r="A29" s="99">
        <v>22</v>
      </c>
      <c r="B29" s="100">
        <v>30.13</v>
      </c>
    </row>
    <row r="30" spans="1:2" x14ac:dyDescent="0.25">
      <c r="A30" s="99">
        <v>23</v>
      </c>
      <c r="B30" s="100">
        <v>29.91</v>
      </c>
    </row>
    <row r="31" spans="1:2" x14ac:dyDescent="0.25">
      <c r="A31" s="99">
        <v>24</v>
      </c>
      <c r="B31" s="100">
        <v>29.67</v>
      </c>
    </row>
    <row r="32" spans="1:2" x14ac:dyDescent="0.25">
      <c r="A32" s="99">
        <v>25</v>
      </c>
      <c r="B32" s="100">
        <v>29.44</v>
      </c>
    </row>
    <row r="33" spans="1:2" x14ac:dyDescent="0.25">
      <c r="A33" s="99">
        <v>26</v>
      </c>
      <c r="B33" s="100">
        <v>29.2</v>
      </c>
    </row>
    <row r="34" spans="1:2" x14ac:dyDescent="0.25">
      <c r="A34" s="99">
        <v>27</v>
      </c>
      <c r="B34" s="100">
        <v>28.96</v>
      </c>
    </row>
    <row r="35" spans="1:2" x14ac:dyDescent="0.25">
      <c r="A35" s="99">
        <v>28</v>
      </c>
      <c r="B35" s="100">
        <v>28.73</v>
      </c>
    </row>
    <row r="36" spans="1:2" x14ac:dyDescent="0.25">
      <c r="A36" s="99">
        <v>29</v>
      </c>
      <c r="B36" s="100">
        <v>28.5</v>
      </c>
    </row>
    <row r="37" spans="1:2" x14ac:dyDescent="0.25">
      <c r="A37" s="99">
        <v>30</v>
      </c>
      <c r="B37" s="100">
        <v>28.27</v>
      </c>
    </row>
    <row r="38" spans="1:2" x14ac:dyDescent="0.25">
      <c r="A38" s="99">
        <v>31</v>
      </c>
      <c r="B38" s="100">
        <v>28.05</v>
      </c>
    </row>
    <row r="39" spans="1:2" x14ac:dyDescent="0.25">
      <c r="A39" s="99">
        <v>32</v>
      </c>
      <c r="B39" s="100">
        <v>27.82</v>
      </c>
    </row>
    <row r="40" spans="1:2" x14ac:dyDescent="0.25">
      <c r="A40" s="99">
        <v>33</v>
      </c>
      <c r="B40" s="100">
        <v>27.6</v>
      </c>
    </row>
    <row r="41" spans="1:2" x14ac:dyDescent="0.25">
      <c r="A41" s="99">
        <v>34</v>
      </c>
      <c r="B41" s="100">
        <v>27.37</v>
      </c>
    </row>
    <row r="42" spans="1:2" x14ac:dyDescent="0.25">
      <c r="A42" s="99">
        <v>35</v>
      </c>
      <c r="B42" s="100">
        <v>27.14</v>
      </c>
    </row>
    <row r="43" spans="1:2" x14ac:dyDescent="0.25">
      <c r="A43" s="99">
        <v>36</v>
      </c>
      <c r="B43" s="100">
        <v>26.91</v>
      </c>
    </row>
    <row r="44" spans="1:2" x14ac:dyDescent="0.25">
      <c r="A44" s="99">
        <v>37</v>
      </c>
      <c r="B44" s="100">
        <v>26.68</v>
      </c>
    </row>
    <row r="45" spans="1:2" x14ac:dyDescent="0.25">
      <c r="A45" s="99">
        <v>38</v>
      </c>
      <c r="B45" s="100">
        <v>26.43</v>
      </c>
    </row>
    <row r="46" spans="1:2" x14ac:dyDescent="0.25">
      <c r="A46" s="99">
        <v>39</v>
      </c>
      <c r="B46" s="100">
        <v>26.18</v>
      </c>
    </row>
    <row r="47" spans="1:2" x14ac:dyDescent="0.25">
      <c r="A47" s="99">
        <v>40</v>
      </c>
      <c r="B47" s="100">
        <v>25.92</v>
      </c>
    </row>
    <row r="48" spans="1:2" x14ac:dyDescent="0.25">
      <c r="A48" s="99">
        <v>41</v>
      </c>
      <c r="B48" s="100">
        <v>25.65</v>
      </c>
    </row>
    <row r="49" spans="1:2" x14ac:dyDescent="0.25">
      <c r="A49" s="99">
        <v>42</v>
      </c>
      <c r="B49" s="100">
        <v>25.38</v>
      </c>
    </row>
    <row r="50" spans="1:2" x14ac:dyDescent="0.25">
      <c r="A50" s="99">
        <v>43</v>
      </c>
      <c r="B50" s="100">
        <v>25.1</v>
      </c>
    </row>
    <row r="51" spans="1:2" x14ac:dyDescent="0.25">
      <c r="A51" s="99">
        <v>44</v>
      </c>
      <c r="B51" s="100">
        <v>24.8</v>
      </c>
    </row>
    <row r="52" spans="1:2" x14ac:dyDescent="0.25">
      <c r="A52" s="99">
        <v>45</v>
      </c>
      <c r="B52" s="100">
        <v>24.5</v>
      </c>
    </row>
    <row r="53" spans="1:2" x14ac:dyDescent="0.25">
      <c r="A53" s="99">
        <v>46</v>
      </c>
      <c r="B53" s="100">
        <v>24.2</v>
      </c>
    </row>
    <row r="54" spans="1:2" x14ac:dyDescent="0.25">
      <c r="A54" s="99">
        <v>47</v>
      </c>
      <c r="B54" s="100">
        <v>23.88</v>
      </c>
    </row>
    <row r="55" spans="1:2" x14ac:dyDescent="0.25">
      <c r="A55" s="99">
        <v>48</v>
      </c>
      <c r="B55" s="100">
        <v>23.55</v>
      </c>
    </row>
    <row r="56" spans="1:2" x14ac:dyDescent="0.25">
      <c r="A56" s="99">
        <v>49</v>
      </c>
      <c r="B56" s="100">
        <v>23.21</v>
      </c>
    </row>
    <row r="57" spans="1:2" x14ac:dyDescent="0.25">
      <c r="A57" s="99">
        <v>50</v>
      </c>
      <c r="B57" s="100">
        <v>22.86</v>
      </c>
    </row>
    <row r="58" spans="1:2" x14ac:dyDescent="0.25">
      <c r="A58" s="99">
        <v>51</v>
      </c>
      <c r="B58" s="100">
        <v>22.49</v>
      </c>
    </row>
    <row r="59" spans="1:2" x14ac:dyDescent="0.25">
      <c r="A59" s="99">
        <v>52</v>
      </c>
      <c r="B59" s="100">
        <v>22.11</v>
      </c>
    </row>
    <row r="60" spans="1:2" x14ac:dyDescent="0.25">
      <c r="A60" s="99">
        <v>53</v>
      </c>
      <c r="B60" s="100">
        <v>21.71</v>
      </c>
    </row>
    <row r="61" spans="1:2" x14ac:dyDescent="0.25">
      <c r="A61" s="99">
        <v>54</v>
      </c>
      <c r="B61" s="100">
        <v>21.3</v>
      </c>
    </row>
    <row r="62" spans="1:2" x14ac:dyDescent="0.25">
      <c r="A62" s="99">
        <v>55</v>
      </c>
      <c r="B62" s="100">
        <v>20.87</v>
      </c>
    </row>
    <row r="63" spans="1:2" x14ac:dyDescent="0.25">
      <c r="A63" s="99">
        <v>56</v>
      </c>
      <c r="B63" s="100">
        <v>20.43</v>
      </c>
    </row>
    <row r="64" spans="1:2" x14ac:dyDescent="0.25">
      <c r="A64" s="99">
        <v>57</v>
      </c>
      <c r="B64" s="100">
        <v>19.98</v>
      </c>
    </row>
    <row r="65" spans="1:2" x14ac:dyDescent="0.25">
      <c r="A65" s="99">
        <v>58</v>
      </c>
      <c r="B65" s="100">
        <v>19.510000000000002</v>
      </c>
    </row>
    <row r="66" spans="1:2" x14ac:dyDescent="0.25">
      <c r="A66" s="99">
        <v>59</v>
      </c>
      <c r="B66" s="100">
        <v>19.04</v>
      </c>
    </row>
    <row r="67" spans="1:2" x14ac:dyDescent="0.25">
      <c r="A67" s="99">
        <v>60</v>
      </c>
      <c r="B67" s="100">
        <v>18.54</v>
      </c>
    </row>
    <row r="68" spans="1:2" x14ac:dyDescent="0.25">
      <c r="A68" s="99">
        <v>61</v>
      </c>
      <c r="B68" s="100">
        <v>18.03</v>
      </c>
    </row>
    <row r="69" spans="1:2" x14ac:dyDescent="0.25">
      <c r="A69" s="99">
        <v>62</v>
      </c>
      <c r="B69" s="100">
        <v>17.510000000000002</v>
      </c>
    </row>
    <row r="70" spans="1:2" x14ac:dyDescent="0.25">
      <c r="A70" s="99">
        <v>63</v>
      </c>
      <c r="B70" s="100">
        <v>16.98</v>
      </c>
    </row>
    <row r="71" spans="1:2" x14ac:dyDescent="0.25">
      <c r="A71" s="99">
        <v>64</v>
      </c>
      <c r="B71" s="100">
        <v>16.43</v>
      </c>
    </row>
    <row r="72" spans="1:2" x14ac:dyDescent="0.25">
      <c r="A72" s="99">
        <v>65</v>
      </c>
      <c r="B72" s="100">
        <v>15.88</v>
      </c>
    </row>
    <row r="73" spans="1:2" x14ac:dyDescent="0.25">
      <c r="A73" s="99">
        <v>66</v>
      </c>
      <c r="B73" s="100">
        <v>15.31</v>
      </c>
    </row>
    <row r="74" spans="1:2" x14ac:dyDescent="0.25">
      <c r="A74" s="99">
        <v>67</v>
      </c>
      <c r="B74" s="100">
        <v>14.73</v>
      </c>
    </row>
  </sheetData>
  <sheetProtection algorithmName="SHA-512" hashValue="itqNbtHps5AN5c4UEtWOPv1mehHhTUF4dALSXTw2ZaHnNymQm0ceZ56+CTPNT9JAXVTlU/6yhlaaVuh0LKaksQ==" saltValue="veokOdD6sLulSHSvKkMmUA==" spinCount="100000" sheet="1" objects="1" scenarios="1"/>
  <conditionalFormatting sqref="A6:A21">
    <cfRule type="expression" dxfId="495" priority="11" stopIfTrue="1">
      <formula>MOD(ROW(),2)=0</formula>
    </cfRule>
    <cfRule type="expression" dxfId="494" priority="12" stopIfTrue="1">
      <formula>MOD(ROW(),2)&lt;&gt;0</formula>
    </cfRule>
  </conditionalFormatting>
  <conditionalFormatting sqref="A26:A74">
    <cfRule type="expression" dxfId="493" priority="1" stopIfTrue="1">
      <formula>MOD(ROW(),2)=0</formula>
    </cfRule>
    <cfRule type="expression" dxfId="492" priority="2" stopIfTrue="1">
      <formula>MOD(ROW(),2)&lt;&gt;0</formula>
    </cfRule>
  </conditionalFormatting>
  <conditionalFormatting sqref="B6:B21">
    <cfRule type="expression" dxfId="491" priority="21" stopIfTrue="1">
      <formula>MOD(ROW(),2)=0</formula>
    </cfRule>
    <cfRule type="expression" dxfId="490" priority="22" stopIfTrue="1">
      <formula>MOD(ROW(),2)&lt;&gt;0</formula>
    </cfRule>
  </conditionalFormatting>
  <conditionalFormatting sqref="B17:B21">
    <cfRule type="expression" dxfId="489" priority="9" stopIfTrue="1">
      <formula>MOD(ROW(),2)=0</formula>
    </cfRule>
    <cfRule type="expression" dxfId="488" priority="10" stopIfTrue="1">
      <formula>MOD(ROW(),2)&lt;&gt;0</formula>
    </cfRule>
  </conditionalFormatting>
  <conditionalFormatting sqref="B26:B74">
    <cfRule type="expression" dxfId="487" priority="3" stopIfTrue="1">
      <formula>MOD(ROW(),2)=0</formula>
    </cfRule>
    <cfRule type="expression" dxfId="486" priority="4" stopIfTrue="1">
      <formula>MOD(ROW(),2)&lt;&gt;0</formula>
    </cfRule>
  </conditionalFormatting>
  <hyperlinks>
    <hyperlink ref="B24" location="Assumptions!A1" display="Assumptions" xr:uid="{3D3A745B-F89E-4161-BAF7-043375C52378}"/>
  </hyperlinks>
  <pageMargins left="0.74803149606299213" right="0.74803149606299213" top="0.59055118110236227" bottom="0.59055118110236227" header="0.51181102362204722" footer="0.51181102362204722"/>
  <pageSetup paperSize="9" fitToHeight="0"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30">
    <pageSetUpPr fitToPage="1"/>
  </sheetPr>
  <dimension ref="A1:I24"/>
  <sheetViews>
    <sheetView showGridLines="0" zoomScale="85" zoomScaleNormal="85" workbookViewId="0">
      <selection activeCell="A4" sqref="A4"/>
    </sheetView>
  </sheetViews>
  <sheetFormatPr defaultColWidth="10" defaultRowHeight="12.5" x14ac:dyDescent="0.25"/>
  <cols>
    <col min="1" max="1" width="31.90625" style="25" customWidth="1"/>
    <col min="2" max="3" width="22.90625" style="25" customWidth="1"/>
    <col min="4" max="4" width="10" style="25" customWidth="1"/>
    <col min="5"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Scheme pays LTA - x-605</v>
      </c>
      <c r="B3" s="39"/>
      <c r="C3" s="39"/>
      <c r="D3" s="39"/>
      <c r="E3" s="39"/>
      <c r="F3" s="39"/>
      <c r="G3" s="39"/>
      <c r="H3" s="39"/>
      <c r="I3" s="39"/>
    </row>
    <row r="4" spans="1:9" x14ac:dyDescent="0.25">
      <c r="A4" s="41"/>
    </row>
    <row r="6" spans="1:9" ht="13" x14ac:dyDescent="0.3">
      <c r="A6" s="83" t="s">
        <v>276</v>
      </c>
      <c r="B6" s="160" t="s">
        <v>277</v>
      </c>
      <c r="C6" s="84"/>
    </row>
    <row r="7" spans="1:9" x14ac:dyDescent="0.25">
      <c r="A7" s="85" t="s">
        <v>278</v>
      </c>
      <c r="B7" s="161" t="s">
        <v>310</v>
      </c>
      <c r="C7" s="86"/>
    </row>
    <row r="8" spans="1:9" x14ac:dyDescent="0.25">
      <c r="A8" s="85" t="s">
        <v>280</v>
      </c>
      <c r="B8" s="161" t="s">
        <v>75</v>
      </c>
      <c r="C8" s="86"/>
    </row>
    <row r="9" spans="1:9" x14ac:dyDescent="0.25">
      <c r="A9" s="85" t="s">
        <v>282</v>
      </c>
      <c r="B9" s="161" t="s">
        <v>507</v>
      </c>
      <c r="C9" s="86"/>
    </row>
    <row r="10" spans="1:9" x14ac:dyDescent="0.25">
      <c r="A10" s="85" t="s">
        <v>6</v>
      </c>
      <c r="B10" s="161" t="s">
        <v>508</v>
      </c>
      <c r="C10" s="86"/>
    </row>
    <row r="11" spans="1:9" x14ac:dyDescent="0.25">
      <c r="A11" s="85" t="s">
        <v>285</v>
      </c>
      <c r="B11" s="161" t="s">
        <v>359</v>
      </c>
      <c r="C11" s="86"/>
    </row>
    <row r="12" spans="1:9" x14ac:dyDescent="0.25">
      <c r="A12" s="85" t="s">
        <v>287</v>
      </c>
      <c r="B12" s="161" t="s">
        <v>499</v>
      </c>
      <c r="C12" s="86"/>
    </row>
    <row r="13" spans="1:9" x14ac:dyDescent="0.25">
      <c r="A13" s="85" t="s">
        <v>289</v>
      </c>
      <c r="B13" s="161">
        <v>0</v>
      </c>
      <c r="C13" s="86"/>
    </row>
    <row r="14" spans="1:9" x14ac:dyDescent="0.25">
      <c r="A14" s="85" t="s">
        <v>291</v>
      </c>
      <c r="B14" s="161">
        <v>605</v>
      </c>
      <c r="C14" s="86"/>
    </row>
    <row r="15" spans="1:9" x14ac:dyDescent="0.25">
      <c r="A15" s="85" t="s">
        <v>293</v>
      </c>
      <c r="B15" s="161" t="s">
        <v>509</v>
      </c>
      <c r="C15" s="86"/>
    </row>
    <row r="16" spans="1:9" x14ac:dyDescent="0.25">
      <c r="A16" s="85" t="s">
        <v>295</v>
      </c>
      <c r="B16" s="161" t="s">
        <v>510</v>
      </c>
      <c r="C16" s="86"/>
    </row>
    <row r="17" spans="1:3" ht="51.9" customHeight="1" x14ac:dyDescent="0.25">
      <c r="A17" s="69" t="s">
        <v>725</v>
      </c>
      <c r="B17" s="161"/>
      <c r="C17" s="86"/>
    </row>
    <row r="18" spans="1:3" x14ac:dyDescent="0.25">
      <c r="A18" s="85" t="s">
        <v>299</v>
      </c>
      <c r="B18" s="162" t="s">
        <v>727</v>
      </c>
      <c r="C18" s="86"/>
    </row>
    <row r="19" spans="1:3" x14ac:dyDescent="0.25">
      <c r="A19" s="85" t="s">
        <v>301</v>
      </c>
      <c r="B19" s="162">
        <v>45078</v>
      </c>
      <c r="C19" s="86"/>
    </row>
    <row r="20" spans="1:3" x14ac:dyDescent="0.25">
      <c r="A20" s="85" t="s">
        <v>303</v>
      </c>
      <c r="B20" s="82" t="s">
        <v>511</v>
      </c>
      <c r="C20" s="86"/>
    </row>
    <row r="21" spans="1:3" x14ac:dyDescent="0.25">
      <c r="A21" s="85" t="s">
        <v>309</v>
      </c>
      <c r="B21" s="161" t="s">
        <v>318</v>
      </c>
      <c r="C21" s="86"/>
    </row>
    <row r="23" spans="1:3" x14ac:dyDescent="0.25">
      <c r="B23" s="103" t="str">
        <f>HYPERLINK("#'Factor List'!A1","Back to Factor List")</f>
        <v>Back to Factor List</v>
      </c>
    </row>
    <row r="24" spans="1:3" x14ac:dyDescent="0.25">
      <c r="B24" s="103" t="s">
        <v>15</v>
      </c>
    </row>
  </sheetData>
  <sheetProtection algorithmName="SHA-512" hashValue="uKr/xrWqXgcFuoVSEGmM559rpLadobhmxwFZMROlnZDQ9C7C+CzFEOb/no0GDW1K8F8h02VzeG0FyZi7jZjY+A==" saltValue="SNOydiODX4ANR7GF0Gqbog==" spinCount="100000" sheet="1" objects="1" scenarios="1"/>
  <conditionalFormatting sqref="A6:A21">
    <cfRule type="expression" dxfId="485" priority="23" stopIfTrue="1">
      <formula>MOD(ROW(),2)=0</formula>
    </cfRule>
    <cfRule type="expression" dxfId="484" priority="24" stopIfTrue="1">
      <formula>MOD(ROW(),2)&lt;&gt;0</formula>
    </cfRule>
  </conditionalFormatting>
  <conditionalFormatting sqref="B20">
    <cfRule type="expression" priority="3" stopIfTrue="1">
      <formula>MOD(ROW(),2)=0</formula>
    </cfRule>
    <cfRule type="expression" priority="4" stopIfTrue="1">
      <formula>MOD(ROW(),2)&lt;&gt;0</formula>
    </cfRule>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fRule type="expression" priority="15" stopIfTrue="1">
      <formula>MOD(ROW(),2)=0</formula>
    </cfRule>
    <cfRule type="expression" priority="16" stopIfTrue="1">
      <formula>MOD(ROW(),2)&lt;&gt;0</formula>
    </cfRule>
  </conditionalFormatting>
  <conditionalFormatting sqref="B6:C21">
    <cfRule type="expression" dxfId="483" priority="1" stopIfTrue="1">
      <formula>MOD(ROW(),2)=0</formula>
    </cfRule>
    <cfRule type="expression" dxfId="482" priority="2" stopIfTrue="1">
      <formula>MOD(ROW(),2)&lt;&gt;0</formula>
    </cfRule>
  </conditionalFormatting>
  <hyperlinks>
    <hyperlink ref="B24" location="Assumptions!A1" display="Assumptions" xr:uid="{A7289341-744D-46D9-8E93-53014D531104}"/>
  </hyperlinks>
  <pageMargins left="0.74803149606299213" right="0.74803149606299213" top="0.59055118110236227" bottom="0.59055118110236227" header="0.51181102362204722" footer="0.51181102362204722"/>
  <pageSetup paperSize="9" fitToHeight="0"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131">
    <pageSetUpPr fitToPage="1"/>
  </sheetPr>
  <dimension ref="A1:I24"/>
  <sheetViews>
    <sheetView showGridLines="0" zoomScale="85" zoomScaleNormal="85" workbookViewId="0">
      <selection activeCell="A4" sqref="A4"/>
    </sheetView>
  </sheetViews>
  <sheetFormatPr defaultColWidth="10" defaultRowHeight="12.5" x14ac:dyDescent="0.25"/>
  <cols>
    <col min="1" max="1" width="31.90625" style="25" customWidth="1"/>
    <col min="2" max="2" width="35.90625" style="25" customWidth="1"/>
    <col min="3" max="3" width="10.08984375" style="25" customWidth="1"/>
    <col min="4" max="4" width="10" style="25" customWidth="1"/>
    <col min="5"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Scheme pays LTA - x-606</v>
      </c>
      <c r="B3" s="39"/>
      <c r="C3" s="39"/>
      <c r="D3" s="39"/>
      <c r="E3" s="39"/>
      <c r="F3" s="39"/>
      <c r="G3" s="39"/>
      <c r="H3" s="39"/>
      <c r="I3" s="39"/>
    </row>
    <row r="4" spans="1:9" x14ac:dyDescent="0.25">
      <c r="A4" s="41"/>
    </row>
    <row r="6" spans="1:9" ht="13" x14ac:dyDescent="0.3">
      <c r="A6" s="83" t="s">
        <v>276</v>
      </c>
      <c r="B6" s="160" t="s">
        <v>277</v>
      </c>
    </row>
    <row r="7" spans="1:9" x14ac:dyDescent="0.25">
      <c r="A7" s="85" t="s">
        <v>278</v>
      </c>
      <c r="B7" s="161" t="s">
        <v>310</v>
      </c>
    </row>
    <row r="8" spans="1:9" x14ac:dyDescent="0.25">
      <c r="A8" s="85" t="s">
        <v>280</v>
      </c>
      <c r="B8" s="161" t="s">
        <v>74</v>
      </c>
    </row>
    <row r="9" spans="1:9" x14ac:dyDescent="0.25">
      <c r="A9" s="85" t="s">
        <v>282</v>
      </c>
      <c r="B9" s="161" t="s">
        <v>507</v>
      </c>
    </row>
    <row r="10" spans="1:9" x14ac:dyDescent="0.25">
      <c r="A10" s="85" t="s">
        <v>6</v>
      </c>
      <c r="B10" s="161" t="s">
        <v>508</v>
      </c>
    </row>
    <row r="11" spans="1:9" x14ac:dyDescent="0.25">
      <c r="A11" s="85" t="s">
        <v>285</v>
      </c>
      <c r="B11" s="161" t="s">
        <v>359</v>
      </c>
    </row>
    <row r="12" spans="1:9" x14ac:dyDescent="0.25">
      <c r="A12" s="85" t="s">
        <v>287</v>
      </c>
      <c r="B12" s="161" t="s">
        <v>499</v>
      </c>
    </row>
    <row r="13" spans="1:9" x14ac:dyDescent="0.25">
      <c r="A13" s="85" t="s">
        <v>289</v>
      </c>
      <c r="B13" s="161">
        <v>0</v>
      </c>
    </row>
    <row r="14" spans="1:9" x14ac:dyDescent="0.25">
      <c r="A14" s="85" t="s">
        <v>291</v>
      </c>
      <c r="B14" s="161">
        <v>606</v>
      </c>
    </row>
    <row r="15" spans="1:9" x14ac:dyDescent="0.25">
      <c r="A15" s="85" t="s">
        <v>293</v>
      </c>
      <c r="B15" s="161" t="s">
        <v>512</v>
      </c>
    </row>
    <row r="16" spans="1:9" x14ac:dyDescent="0.25">
      <c r="A16" s="85" t="s">
        <v>295</v>
      </c>
      <c r="B16" s="161" t="s">
        <v>510</v>
      </c>
    </row>
    <row r="17" spans="1:2" ht="59.25" customHeight="1" x14ac:dyDescent="0.25">
      <c r="A17" s="69" t="s">
        <v>725</v>
      </c>
      <c r="B17" s="161"/>
    </row>
    <row r="18" spans="1:2" x14ac:dyDescent="0.25">
      <c r="A18" s="85" t="s">
        <v>299</v>
      </c>
      <c r="B18" s="162" t="s">
        <v>727</v>
      </c>
    </row>
    <row r="19" spans="1:2" x14ac:dyDescent="0.25">
      <c r="A19" s="85" t="s">
        <v>301</v>
      </c>
      <c r="B19" s="162">
        <v>45078</v>
      </c>
    </row>
    <row r="20" spans="1:2" x14ac:dyDescent="0.25">
      <c r="A20" s="85" t="s">
        <v>303</v>
      </c>
      <c r="B20" s="82" t="s">
        <v>511</v>
      </c>
    </row>
    <row r="21" spans="1:2" x14ac:dyDescent="0.25">
      <c r="A21" s="85" t="s">
        <v>309</v>
      </c>
      <c r="B21" s="161" t="s">
        <v>318</v>
      </c>
    </row>
    <row r="23" spans="1:2" x14ac:dyDescent="0.25">
      <c r="B23" s="103" t="str">
        <f>HYPERLINK("#'Factor List'!A1","Back to Factor List")</f>
        <v>Back to Factor List</v>
      </c>
    </row>
    <row r="24" spans="1:2" x14ac:dyDescent="0.25">
      <c r="B24" s="103" t="s">
        <v>15</v>
      </c>
    </row>
  </sheetData>
  <sheetProtection algorithmName="SHA-512" hashValue="h2riq4zDttz4K3mzV2w5jh4aKNMaLvjO+cU5GleBaSwtblccezv2bY5bGCujKVRYgINoEUCCV5u/9zrTaOzGtQ==" saltValue="CCMSFqH7WK+TzRwnAsFaug==" spinCount="100000" sheet="1" objects="1" scenarios="1"/>
  <conditionalFormatting sqref="A6:A21">
    <cfRule type="expression" dxfId="481" priority="23" stopIfTrue="1">
      <formula>MOD(ROW(),2)=0</formula>
    </cfRule>
    <cfRule type="expression" dxfId="480" priority="24" stopIfTrue="1">
      <formula>MOD(ROW(),2)&lt;&gt;0</formula>
    </cfRule>
  </conditionalFormatting>
  <conditionalFormatting sqref="B6:B21">
    <cfRule type="expression" dxfId="479" priority="1" stopIfTrue="1">
      <formula>MOD(ROW(),2)=0</formula>
    </cfRule>
    <cfRule type="expression" dxfId="478" priority="2" stopIfTrue="1">
      <formula>MOD(ROW(),2)&lt;&gt;0</formula>
    </cfRule>
  </conditionalFormatting>
  <conditionalFormatting sqref="B20">
    <cfRule type="expression" priority="3" stopIfTrue="1">
      <formula>MOD(ROW(),2)=0</formula>
    </cfRule>
    <cfRule type="expression" priority="4" stopIfTrue="1">
      <formula>MOD(ROW(),2)&lt;&gt;0</formula>
    </cfRule>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fRule type="expression" priority="15" stopIfTrue="1">
      <formula>MOD(ROW(),2)=0</formula>
    </cfRule>
    <cfRule type="expression" priority="16" stopIfTrue="1">
      <formula>MOD(ROW(),2)&lt;&gt;0</formula>
    </cfRule>
  </conditionalFormatting>
  <hyperlinks>
    <hyperlink ref="B24" location="Assumptions!A1" display="Assumptions" xr:uid="{E678C7B3-4A98-4F1F-8B60-05DFA7EE0239}"/>
  </hyperlinks>
  <pageMargins left="0.74803149606299213" right="0.74803149606299213" top="0.59055118110236227" bottom="0.59055118110236227" header="0.51181102362204722" footer="0.51181102362204722"/>
  <pageSetup paperSize="9" fitToHeight="0"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89"/>
  <dimension ref="A1:I76"/>
  <sheetViews>
    <sheetView showGridLines="0" zoomScale="85" zoomScaleNormal="85" workbookViewId="0">
      <selection activeCell="B8" sqref="B8"/>
    </sheetView>
  </sheetViews>
  <sheetFormatPr defaultColWidth="10" defaultRowHeight="12.5" x14ac:dyDescent="0.25"/>
  <cols>
    <col min="1" max="1" width="31.90625" style="25" customWidth="1"/>
    <col min="2" max="3" width="22.90625" style="25" customWidth="1"/>
    <col min="4" max="4" width="10" style="25" customWidth="1"/>
    <col min="5"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Added pension - x-703</v>
      </c>
      <c r="B3" s="39"/>
      <c r="C3" s="39"/>
      <c r="D3" s="39"/>
      <c r="E3" s="39"/>
      <c r="F3" s="39"/>
      <c r="G3" s="39"/>
      <c r="H3" s="39"/>
      <c r="I3" s="39"/>
    </row>
    <row r="4" spans="1:9" x14ac:dyDescent="0.25">
      <c r="A4" s="41"/>
    </row>
    <row r="6" spans="1:9" ht="13" x14ac:dyDescent="0.3">
      <c r="A6" s="163" t="s">
        <v>276</v>
      </c>
      <c r="B6" s="107" t="s">
        <v>277</v>
      </c>
      <c r="C6" s="107"/>
    </row>
    <row r="7" spans="1:9" x14ac:dyDescent="0.25">
      <c r="A7" s="69" t="s">
        <v>278</v>
      </c>
      <c r="B7" s="107" t="s">
        <v>310</v>
      </c>
      <c r="C7" s="107"/>
    </row>
    <row r="8" spans="1:9" x14ac:dyDescent="0.25">
      <c r="A8" s="69" t="s">
        <v>280</v>
      </c>
      <c r="B8" s="107" t="s">
        <v>513</v>
      </c>
      <c r="C8" s="107"/>
    </row>
    <row r="9" spans="1:9" x14ac:dyDescent="0.25">
      <c r="A9" s="69" t="s">
        <v>282</v>
      </c>
      <c r="B9" s="107" t="s">
        <v>514</v>
      </c>
      <c r="C9" s="107"/>
    </row>
    <row r="10" spans="1:9" x14ac:dyDescent="0.25">
      <c r="A10" s="69" t="s">
        <v>6</v>
      </c>
      <c r="B10" s="107" t="s">
        <v>515</v>
      </c>
      <c r="C10" s="107"/>
    </row>
    <row r="11" spans="1:9" x14ac:dyDescent="0.25">
      <c r="A11" s="69" t="s">
        <v>285</v>
      </c>
      <c r="B11" s="107" t="s">
        <v>359</v>
      </c>
      <c r="C11" s="107"/>
    </row>
    <row r="12" spans="1:9" x14ac:dyDescent="0.25">
      <c r="A12" s="69" t="s">
        <v>287</v>
      </c>
      <c r="B12" s="107" t="s">
        <v>516</v>
      </c>
      <c r="C12" s="107"/>
    </row>
    <row r="13" spans="1:9" x14ac:dyDescent="0.25">
      <c r="A13" s="69" t="s">
        <v>289</v>
      </c>
      <c r="B13" s="107">
        <v>0</v>
      </c>
      <c r="C13" s="107"/>
    </row>
    <row r="14" spans="1:9" x14ac:dyDescent="0.25">
      <c r="A14" s="69" t="s">
        <v>291</v>
      </c>
      <c r="B14" s="107">
        <v>703</v>
      </c>
      <c r="C14" s="107"/>
    </row>
    <row r="15" spans="1:9" x14ac:dyDescent="0.25">
      <c r="A15" s="69" t="s">
        <v>293</v>
      </c>
      <c r="B15" s="107" t="s">
        <v>517</v>
      </c>
      <c r="C15" s="107"/>
    </row>
    <row r="16" spans="1:9" x14ac:dyDescent="0.25">
      <c r="A16" s="69" t="s">
        <v>295</v>
      </c>
      <c r="B16" s="107" t="s">
        <v>518</v>
      </c>
      <c r="C16" s="107"/>
    </row>
    <row r="17" spans="1:3" x14ac:dyDescent="0.25">
      <c r="A17" s="69" t="s">
        <v>725</v>
      </c>
      <c r="B17" s="107"/>
      <c r="C17" s="107"/>
    </row>
    <row r="18" spans="1:3" x14ac:dyDescent="0.25">
      <c r="A18" s="85" t="s">
        <v>299</v>
      </c>
      <c r="B18" s="164">
        <v>45202</v>
      </c>
      <c r="C18" s="107"/>
    </row>
    <row r="19" spans="1:3" x14ac:dyDescent="0.25">
      <c r="A19" s="85" t="s">
        <v>301</v>
      </c>
      <c r="B19" s="164">
        <v>45202</v>
      </c>
      <c r="C19" s="107"/>
    </row>
    <row r="20" spans="1:3" x14ac:dyDescent="0.25">
      <c r="A20" s="85" t="s">
        <v>303</v>
      </c>
      <c r="B20" s="107" t="s">
        <v>317</v>
      </c>
      <c r="C20" s="107"/>
    </row>
    <row r="21" spans="1:3" x14ac:dyDescent="0.25">
      <c r="A21" s="85" t="s">
        <v>309</v>
      </c>
      <c r="B21" s="107" t="s">
        <v>318</v>
      </c>
      <c r="C21" s="107"/>
    </row>
    <row r="23" spans="1:3" x14ac:dyDescent="0.25">
      <c r="B23" s="103" t="str">
        <f>HYPERLINK("#'Factor List'!A1","Back to Factor List")</f>
        <v>Back to Factor List</v>
      </c>
    </row>
    <row r="24" spans="1:3" x14ac:dyDescent="0.25">
      <c r="B24" s="103" t="s">
        <v>15</v>
      </c>
    </row>
    <row r="26" spans="1:3" ht="26" x14ac:dyDescent="0.25">
      <c r="A26" s="98" t="s">
        <v>408</v>
      </c>
      <c r="B26" s="98" t="s">
        <v>776</v>
      </c>
      <c r="C26" s="98" t="s">
        <v>777</v>
      </c>
    </row>
    <row r="27" spans="1:3" x14ac:dyDescent="0.25">
      <c r="A27" s="99">
        <v>16</v>
      </c>
      <c r="B27" s="120">
        <v>2140</v>
      </c>
      <c r="C27" s="120">
        <v>2320</v>
      </c>
    </row>
    <row r="28" spans="1:3" x14ac:dyDescent="0.25">
      <c r="A28" s="99">
        <v>17</v>
      </c>
      <c r="B28" s="120">
        <v>2180</v>
      </c>
      <c r="C28" s="120">
        <v>2350</v>
      </c>
    </row>
    <row r="29" spans="1:3" x14ac:dyDescent="0.25">
      <c r="A29" s="99">
        <v>18</v>
      </c>
      <c r="B29" s="120">
        <v>2210</v>
      </c>
      <c r="C29" s="120">
        <v>2390</v>
      </c>
    </row>
    <row r="30" spans="1:3" x14ac:dyDescent="0.25">
      <c r="A30" s="99">
        <v>19</v>
      </c>
      <c r="B30" s="120">
        <v>2240</v>
      </c>
      <c r="C30" s="120">
        <v>2430</v>
      </c>
    </row>
    <row r="31" spans="1:3" x14ac:dyDescent="0.25">
      <c r="A31" s="99">
        <v>20</v>
      </c>
      <c r="B31" s="120">
        <v>2270</v>
      </c>
      <c r="C31" s="120">
        <v>2470</v>
      </c>
    </row>
    <row r="32" spans="1:3" x14ac:dyDescent="0.25">
      <c r="A32" s="99">
        <v>21</v>
      </c>
      <c r="B32" s="120">
        <v>2300</v>
      </c>
      <c r="C32" s="120">
        <v>2500</v>
      </c>
    </row>
    <row r="33" spans="1:3" x14ac:dyDescent="0.25">
      <c r="A33" s="99">
        <v>22</v>
      </c>
      <c r="B33" s="120">
        <v>2330</v>
      </c>
      <c r="C33" s="120">
        <v>2540</v>
      </c>
    </row>
    <row r="34" spans="1:3" x14ac:dyDescent="0.25">
      <c r="A34" s="99">
        <v>23</v>
      </c>
      <c r="B34" s="120">
        <v>2370</v>
      </c>
      <c r="C34" s="120">
        <v>2570</v>
      </c>
    </row>
    <row r="35" spans="1:3" x14ac:dyDescent="0.25">
      <c r="A35" s="99">
        <v>24</v>
      </c>
      <c r="B35" s="120">
        <v>2400</v>
      </c>
      <c r="C35" s="120">
        <v>2610</v>
      </c>
    </row>
    <row r="36" spans="1:3" x14ac:dyDescent="0.25">
      <c r="A36" s="99">
        <v>25</v>
      </c>
      <c r="B36" s="120">
        <v>2430</v>
      </c>
      <c r="C36" s="120">
        <v>2640</v>
      </c>
    </row>
    <row r="37" spans="1:3" x14ac:dyDescent="0.25">
      <c r="A37" s="99">
        <v>26</v>
      </c>
      <c r="B37" s="120">
        <v>2470</v>
      </c>
      <c r="C37" s="120">
        <v>2680</v>
      </c>
    </row>
    <row r="38" spans="1:3" x14ac:dyDescent="0.25">
      <c r="A38" s="99">
        <v>27</v>
      </c>
      <c r="B38" s="120">
        <v>2500</v>
      </c>
      <c r="C38" s="120">
        <v>2720</v>
      </c>
    </row>
    <row r="39" spans="1:3" x14ac:dyDescent="0.25">
      <c r="A39" s="99">
        <v>28</v>
      </c>
      <c r="B39" s="120">
        <v>2540</v>
      </c>
      <c r="C39" s="120">
        <v>2760</v>
      </c>
    </row>
    <row r="40" spans="1:3" x14ac:dyDescent="0.25">
      <c r="A40" s="99">
        <v>29</v>
      </c>
      <c r="B40" s="120">
        <v>2570</v>
      </c>
      <c r="C40" s="120">
        <v>2790</v>
      </c>
    </row>
    <row r="41" spans="1:3" x14ac:dyDescent="0.25">
      <c r="A41" s="99">
        <v>30</v>
      </c>
      <c r="B41" s="120">
        <v>2610</v>
      </c>
      <c r="C41" s="120">
        <v>2830</v>
      </c>
    </row>
    <row r="42" spans="1:3" x14ac:dyDescent="0.25">
      <c r="A42" s="99">
        <v>31</v>
      </c>
      <c r="B42" s="120">
        <v>2640</v>
      </c>
      <c r="C42" s="120">
        <v>2870</v>
      </c>
    </row>
    <row r="43" spans="1:3" x14ac:dyDescent="0.25">
      <c r="A43" s="99">
        <v>32</v>
      </c>
      <c r="B43" s="120">
        <v>2680</v>
      </c>
      <c r="C43" s="120">
        <v>2910</v>
      </c>
    </row>
    <row r="44" spans="1:3" x14ac:dyDescent="0.25">
      <c r="A44" s="99">
        <v>33</v>
      </c>
      <c r="B44" s="120">
        <v>2720</v>
      </c>
      <c r="C44" s="120">
        <v>2950</v>
      </c>
    </row>
    <row r="45" spans="1:3" x14ac:dyDescent="0.25">
      <c r="A45" s="99">
        <v>34</v>
      </c>
      <c r="B45" s="120">
        <v>2750</v>
      </c>
      <c r="C45" s="120">
        <v>2990</v>
      </c>
    </row>
    <row r="46" spans="1:3" x14ac:dyDescent="0.25">
      <c r="A46" s="99">
        <v>35</v>
      </c>
      <c r="B46" s="120">
        <v>2790</v>
      </c>
      <c r="C46" s="120">
        <v>3030</v>
      </c>
    </row>
    <row r="47" spans="1:3" x14ac:dyDescent="0.25">
      <c r="A47" s="99">
        <v>36</v>
      </c>
      <c r="B47" s="120">
        <v>2830</v>
      </c>
      <c r="C47" s="120">
        <v>3070</v>
      </c>
    </row>
    <row r="48" spans="1:3" x14ac:dyDescent="0.25">
      <c r="A48" s="99">
        <v>37</v>
      </c>
      <c r="B48" s="120">
        <v>2870</v>
      </c>
      <c r="C48" s="120">
        <v>3110</v>
      </c>
    </row>
    <row r="49" spans="1:3" x14ac:dyDescent="0.25">
      <c r="A49" s="99">
        <v>38</v>
      </c>
      <c r="B49" s="120">
        <v>2900</v>
      </c>
      <c r="C49" s="120">
        <v>3150</v>
      </c>
    </row>
    <row r="50" spans="1:3" x14ac:dyDescent="0.25">
      <c r="A50" s="99">
        <v>39</v>
      </c>
      <c r="B50" s="120">
        <v>2940</v>
      </c>
      <c r="C50" s="120">
        <v>3190</v>
      </c>
    </row>
    <row r="51" spans="1:3" x14ac:dyDescent="0.25">
      <c r="A51" s="99">
        <v>40</v>
      </c>
      <c r="B51" s="120">
        <v>2980</v>
      </c>
      <c r="C51" s="120">
        <v>3230</v>
      </c>
    </row>
    <row r="52" spans="1:3" x14ac:dyDescent="0.25">
      <c r="A52" s="99">
        <v>41</v>
      </c>
      <c r="B52" s="120">
        <v>3020</v>
      </c>
      <c r="C52" s="120">
        <v>3280</v>
      </c>
    </row>
    <row r="53" spans="1:3" x14ac:dyDescent="0.25">
      <c r="A53" s="99">
        <v>42</v>
      </c>
      <c r="B53" s="120">
        <v>3060</v>
      </c>
      <c r="C53" s="120">
        <v>3320</v>
      </c>
    </row>
    <row r="54" spans="1:3" x14ac:dyDescent="0.25">
      <c r="A54" s="99">
        <v>43</v>
      </c>
      <c r="B54" s="120">
        <v>3100</v>
      </c>
      <c r="C54" s="120">
        <v>3360</v>
      </c>
    </row>
    <row r="55" spans="1:3" x14ac:dyDescent="0.25">
      <c r="A55" s="99">
        <v>44</v>
      </c>
      <c r="B55" s="120">
        <v>3140</v>
      </c>
      <c r="C55" s="120">
        <v>3400</v>
      </c>
    </row>
    <row r="56" spans="1:3" x14ac:dyDescent="0.25">
      <c r="A56" s="99">
        <v>45</v>
      </c>
      <c r="B56" s="120">
        <v>3180</v>
      </c>
      <c r="C56" s="120">
        <v>3450</v>
      </c>
    </row>
    <row r="57" spans="1:3" x14ac:dyDescent="0.25">
      <c r="A57" s="99">
        <v>46</v>
      </c>
      <c r="B57" s="120">
        <v>3260</v>
      </c>
      <c r="C57" s="120">
        <v>3530</v>
      </c>
    </row>
    <row r="58" spans="1:3" x14ac:dyDescent="0.25">
      <c r="A58" s="99">
        <v>47</v>
      </c>
      <c r="B58" s="120">
        <v>3340</v>
      </c>
      <c r="C58" s="120">
        <v>3610</v>
      </c>
    </row>
    <row r="59" spans="1:3" x14ac:dyDescent="0.25">
      <c r="A59" s="99">
        <v>48</v>
      </c>
      <c r="B59" s="120">
        <v>3420</v>
      </c>
      <c r="C59" s="120">
        <v>3690</v>
      </c>
    </row>
    <row r="60" spans="1:3" x14ac:dyDescent="0.25">
      <c r="A60" s="99">
        <v>49</v>
      </c>
      <c r="B60" s="120">
        <v>3510</v>
      </c>
      <c r="C60" s="120">
        <v>3770</v>
      </c>
    </row>
    <row r="61" spans="1:3" x14ac:dyDescent="0.25">
      <c r="A61" s="99">
        <v>50</v>
      </c>
      <c r="B61" s="120">
        <v>3550</v>
      </c>
      <c r="C61" s="120">
        <v>3820</v>
      </c>
    </row>
    <row r="62" spans="1:3" x14ac:dyDescent="0.25">
      <c r="A62" s="99">
        <v>51</v>
      </c>
      <c r="B62" s="120">
        <v>3600</v>
      </c>
      <c r="C62" s="120">
        <v>3870</v>
      </c>
    </row>
    <row r="63" spans="1:3" x14ac:dyDescent="0.25">
      <c r="A63" s="99">
        <v>52</v>
      </c>
      <c r="B63" s="120">
        <v>3650</v>
      </c>
      <c r="C63" s="120">
        <v>3920</v>
      </c>
    </row>
    <row r="64" spans="1:3" x14ac:dyDescent="0.25">
      <c r="A64" s="99">
        <v>53</v>
      </c>
      <c r="B64" s="120">
        <v>3690</v>
      </c>
      <c r="C64" s="120">
        <v>3970</v>
      </c>
    </row>
    <row r="65" spans="1:3" x14ac:dyDescent="0.25">
      <c r="A65" s="99">
        <v>54</v>
      </c>
      <c r="B65" s="120">
        <v>3740</v>
      </c>
      <c r="C65" s="120">
        <v>4020</v>
      </c>
    </row>
    <row r="66" spans="1:3" x14ac:dyDescent="0.25">
      <c r="A66" s="99">
        <v>55</v>
      </c>
      <c r="B66" s="120">
        <v>3790</v>
      </c>
      <c r="C66" s="120">
        <v>4060</v>
      </c>
    </row>
    <row r="67" spans="1:3" x14ac:dyDescent="0.25">
      <c r="A67" s="99">
        <v>56</v>
      </c>
      <c r="B67" s="120">
        <v>3840</v>
      </c>
      <c r="C67" s="120">
        <v>4110</v>
      </c>
    </row>
    <row r="68" spans="1:3" x14ac:dyDescent="0.25">
      <c r="A68" s="99">
        <v>57</v>
      </c>
      <c r="B68" s="120">
        <v>3890</v>
      </c>
      <c r="C68" s="120">
        <v>4160</v>
      </c>
    </row>
    <row r="69" spans="1:3" x14ac:dyDescent="0.25">
      <c r="A69" s="99">
        <v>58</v>
      </c>
      <c r="B69" s="120">
        <v>3940</v>
      </c>
      <c r="C69" s="120">
        <v>4220</v>
      </c>
    </row>
    <row r="70" spans="1:3" x14ac:dyDescent="0.25">
      <c r="A70" s="99">
        <v>59</v>
      </c>
      <c r="B70" s="120">
        <v>4000</v>
      </c>
      <c r="C70" s="120">
        <v>4270</v>
      </c>
    </row>
    <row r="71" spans="1:3" x14ac:dyDescent="0.25">
      <c r="A71" s="99">
        <v>60</v>
      </c>
      <c r="B71" s="120">
        <v>4050</v>
      </c>
      <c r="C71" s="120">
        <v>4320</v>
      </c>
    </row>
    <row r="72" spans="1:3" x14ac:dyDescent="0.25">
      <c r="A72" s="99">
        <v>61</v>
      </c>
      <c r="B72" s="120">
        <v>4110</v>
      </c>
      <c r="C72" s="120">
        <v>4380</v>
      </c>
    </row>
    <row r="73" spans="1:3" x14ac:dyDescent="0.25">
      <c r="A73" s="99">
        <v>62</v>
      </c>
      <c r="B73" s="120">
        <v>4180</v>
      </c>
      <c r="C73" s="120">
        <v>4440</v>
      </c>
    </row>
    <row r="74" spans="1:3" x14ac:dyDescent="0.25">
      <c r="A74" s="99">
        <v>63</v>
      </c>
      <c r="B74" s="120">
        <v>4300</v>
      </c>
      <c r="C74" s="120">
        <v>4570</v>
      </c>
    </row>
    <row r="75" spans="1:3" x14ac:dyDescent="0.25">
      <c r="A75" s="99">
        <v>64</v>
      </c>
      <c r="B75" s="120">
        <v>4440</v>
      </c>
      <c r="C75" s="120">
        <v>4700</v>
      </c>
    </row>
    <row r="76" spans="1:3" x14ac:dyDescent="0.25">
      <c r="A76" s="99">
        <v>65</v>
      </c>
      <c r="B76" s="120">
        <v>4580</v>
      </c>
      <c r="C76" s="120">
        <v>4840</v>
      </c>
    </row>
  </sheetData>
  <sheetProtection algorithmName="SHA-512" hashValue="hFaUGSaeV82nDMaT+wTkFWsZch52A3pz/2LfFxyYUEgg19msUmas5A7jTpaUtM313FVrKpKzyhx4l+VB/GsaDw==" saltValue="YTxM+YgeWetNDlyfTLnTvg==" spinCount="100000" sheet="1" objects="1" scenarios="1"/>
  <conditionalFormatting sqref="A6:A21">
    <cfRule type="expression" dxfId="477" priority="13" stopIfTrue="1">
      <formula>MOD(ROW(),2)=0</formula>
    </cfRule>
    <cfRule type="expression" dxfId="476" priority="14" stopIfTrue="1">
      <formula>MOD(ROW(),2)&lt;&gt;0</formula>
    </cfRule>
  </conditionalFormatting>
  <conditionalFormatting sqref="A26:A76">
    <cfRule type="expression" dxfId="475" priority="3" stopIfTrue="1">
      <formula>MOD(ROW(),2)=0</formula>
    </cfRule>
    <cfRule type="expression" dxfId="474" priority="4" stopIfTrue="1">
      <formula>MOD(ROW(),2)&lt;&gt;0</formula>
    </cfRule>
  </conditionalFormatting>
  <conditionalFormatting sqref="B17:B21">
    <cfRule type="expression" dxfId="473" priority="1" stopIfTrue="1">
      <formula>MOD(ROW(),2)=0</formula>
    </cfRule>
    <cfRule type="expression" dxfId="472" priority="2" stopIfTrue="1">
      <formula>MOD(ROW(),2)&lt;&gt;0</formula>
    </cfRule>
  </conditionalFormatting>
  <conditionalFormatting sqref="B6:C21">
    <cfRule type="expression" dxfId="471" priority="35" stopIfTrue="1">
      <formula>MOD(ROW(),2)=0</formula>
    </cfRule>
    <cfRule type="expression" dxfId="470" priority="36" stopIfTrue="1">
      <formula>MOD(ROW(),2)&lt;&gt;0</formula>
    </cfRule>
  </conditionalFormatting>
  <conditionalFormatting sqref="B26:C76">
    <cfRule type="expression" dxfId="469" priority="5" stopIfTrue="1">
      <formula>MOD(ROW(),2)=0</formula>
    </cfRule>
    <cfRule type="expression" dxfId="468" priority="6" stopIfTrue="1">
      <formula>MOD(ROW(),2)&lt;&gt;0</formula>
    </cfRule>
  </conditionalFormatting>
  <hyperlinks>
    <hyperlink ref="B24" location="Assumptions!A1" display="Assumptions" xr:uid="{71008754-4F1C-46C1-87EC-639605142CF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90"/>
  <dimension ref="A1:U69"/>
  <sheetViews>
    <sheetView showGridLines="0" zoomScale="85" zoomScaleNormal="85" workbookViewId="0">
      <selection activeCell="A4" sqref="A4"/>
    </sheetView>
  </sheetViews>
  <sheetFormatPr defaultColWidth="10" defaultRowHeight="12.5" x14ac:dyDescent="0.25"/>
  <cols>
    <col min="1" max="1" width="31.90625" style="25" customWidth="1"/>
    <col min="2" max="21" width="22.90625" style="25" customWidth="1"/>
    <col min="22" max="16384" width="10" style="25"/>
  </cols>
  <sheetData>
    <row r="1" spans="1:21" ht="20" x14ac:dyDescent="0.4">
      <c r="A1" s="36" t="s">
        <v>0</v>
      </c>
      <c r="B1" s="37"/>
      <c r="C1" s="37"/>
      <c r="D1" s="37"/>
      <c r="E1" s="37"/>
      <c r="F1" s="37"/>
      <c r="G1" s="37"/>
      <c r="H1" s="37"/>
      <c r="I1" s="37"/>
    </row>
    <row r="2" spans="1:21" ht="15.5" x14ac:dyDescent="0.35">
      <c r="A2" s="38" t="str">
        <f>IF(title="&gt; Enter workbook title here","Enter workbook title in Cover sheet",title)</f>
        <v>NHSPS_NI - Consolidated Factor Spreadsheet</v>
      </c>
      <c r="B2" s="39"/>
      <c r="C2" s="39"/>
      <c r="D2" s="39"/>
      <c r="E2" s="39"/>
      <c r="F2" s="39"/>
      <c r="G2" s="39"/>
      <c r="H2" s="39"/>
      <c r="I2" s="39"/>
    </row>
    <row r="3" spans="1:21" ht="15.5" x14ac:dyDescent="0.35">
      <c r="A3" s="40" t="str">
        <f>TABLE_FACTOR_TYPE_1&amp;" - x-"&amp;TABLE_SERIES_NUMBER_1</f>
        <v>Added pension - x-704</v>
      </c>
      <c r="B3" s="39"/>
      <c r="C3" s="39"/>
      <c r="D3" s="39"/>
      <c r="E3" s="39"/>
      <c r="F3" s="39"/>
      <c r="G3" s="39"/>
      <c r="H3" s="39"/>
      <c r="I3" s="39"/>
    </row>
    <row r="4" spans="1:21" x14ac:dyDescent="0.25">
      <c r="A4" s="41"/>
    </row>
    <row r="6" spans="1:21" ht="13" x14ac:dyDescent="0.3">
      <c r="A6" s="163" t="s">
        <v>276</v>
      </c>
      <c r="B6" s="107" t="s">
        <v>277</v>
      </c>
      <c r="C6" s="107"/>
      <c r="D6" s="107"/>
      <c r="E6" s="107"/>
      <c r="F6" s="107"/>
      <c r="G6" s="107"/>
      <c r="H6" s="107"/>
      <c r="I6" s="107"/>
      <c r="J6" s="107"/>
      <c r="K6" s="107"/>
      <c r="L6" s="107"/>
      <c r="M6" s="107"/>
      <c r="N6" s="107"/>
      <c r="O6" s="107"/>
      <c r="P6" s="107"/>
      <c r="Q6" s="107"/>
      <c r="R6" s="107"/>
      <c r="S6" s="107"/>
      <c r="T6" s="107"/>
      <c r="U6" s="107"/>
    </row>
    <row r="7" spans="1:21" x14ac:dyDescent="0.25">
      <c r="A7" s="69" t="s">
        <v>278</v>
      </c>
      <c r="B7" s="107" t="s">
        <v>310</v>
      </c>
      <c r="C7" s="107"/>
      <c r="D7" s="107"/>
      <c r="E7" s="107"/>
      <c r="F7" s="107"/>
      <c r="G7" s="107"/>
      <c r="H7" s="107"/>
      <c r="I7" s="107"/>
      <c r="J7" s="107"/>
      <c r="K7" s="107"/>
      <c r="L7" s="107"/>
      <c r="M7" s="107"/>
      <c r="N7" s="107"/>
      <c r="O7" s="107"/>
      <c r="P7" s="107"/>
      <c r="Q7" s="107"/>
      <c r="R7" s="107"/>
      <c r="S7" s="107"/>
      <c r="T7" s="107"/>
      <c r="U7" s="107"/>
    </row>
    <row r="8" spans="1:21" x14ac:dyDescent="0.25">
      <c r="A8" s="69" t="s">
        <v>280</v>
      </c>
      <c r="B8" s="107" t="s">
        <v>363</v>
      </c>
      <c r="C8" s="107"/>
      <c r="D8" s="107"/>
      <c r="E8" s="107"/>
      <c r="F8" s="107"/>
      <c r="G8" s="107"/>
      <c r="H8" s="107"/>
      <c r="I8" s="107"/>
      <c r="J8" s="107"/>
      <c r="K8" s="107"/>
      <c r="L8" s="107"/>
      <c r="M8" s="107"/>
      <c r="N8" s="107"/>
      <c r="O8" s="107"/>
      <c r="P8" s="107"/>
      <c r="Q8" s="107"/>
      <c r="R8" s="107"/>
      <c r="S8" s="107"/>
      <c r="T8" s="107"/>
      <c r="U8" s="107"/>
    </row>
    <row r="9" spans="1:21" x14ac:dyDescent="0.25">
      <c r="A9" s="69" t="s">
        <v>282</v>
      </c>
      <c r="B9" s="107" t="s">
        <v>514</v>
      </c>
      <c r="C9" s="107"/>
      <c r="D9" s="107"/>
      <c r="E9" s="107"/>
      <c r="F9" s="107"/>
      <c r="G9" s="107"/>
      <c r="H9" s="107"/>
      <c r="I9" s="107"/>
      <c r="J9" s="107"/>
      <c r="K9" s="107"/>
      <c r="L9" s="107"/>
      <c r="M9" s="107"/>
      <c r="N9" s="107"/>
      <c r="O9" s="107"/>
      <c r="P9" s="107"/>
      <c r="Q9" s="107"/>
      <c r="R9" s="107"/>
      <c r="S9" s="107"/>
      <c r="T9" s="107"/>
      <c r="U9" s="107"/>
    </row>
    <row r="10" spans="1:21" x14ac:dyDescent="0.25">
      <c r="A10" s="69" t="s">
        <v>6</v>
      </c>
      <c r="B10" s="107" t="s">
        <v>519</v>
      </c>
      <c r="C10" s="107"/>
      <c r="D10" s="107"/>
      <c r="E10" s="107"/>
      <c r="F10" s="107"/>
      <c r="G10" s="107"/>
      <c r="H10" s="107"/>
      <c r="I10" s="107"/>
      <c r="J10" s="107"/>
      <c r="K10" s="107"/>
      <c r="L10" s="107"/>
      <c r="M10" s="107"/>
      <c r="N10" s="107"/>
      <c r="O10" s="107"/>
      <c r="P10" s="107"/>
      <c r="Q10" s="107"/>
      <c r="R10" s="107"/>
      <c r="S10" s="107"/>
      <c r="T10" s="107"/>
      <c r="U10" s="107"/>
    </row>
    <row r="11" spans="1:21" x14ac:dyDescent="0.25">
      <c r="A11" s="69" t="s">
        <v>285</v>
      </c>
      <c r="B11" s="107" t="s">
        <v>359</v>
      </c>
      <c r="C11" s="107"/>
      <c r="D11" s="107"/>
      <c r="E11" s="107"/>
      <c r="F11" s="107"/>
      <c r="G11" s="107"/>
      <c r="H11" s="107"/>
      <c r="I11" s="107"/>
      <c r="J11" s="107"/>
      <c r="K11" s="107"/>
      <c r="L11" s="107"/>
      <c r="M11" s="107"/>
      <c r="N11" s="107"/>
      <c r="O11" s="107"/>
      <c r="P11" s="107"/>
      <c r="Q11" s="107"/>
      <c r="R11" s="107"/>
      <c r="S11" s="107"/>
      <c r="T11" s="107"/>
      <c r="U11" s="107"/>
    </row>
    <row r="12" spans="1:21" x14ac:dyDescent="0.25">
      <c r="A12" s="69" t="s">
        <v>287</v>
      </c>
      <c r="B12" s="107" t="s">
        <v>520</v>
      </c>
      <c r="C12" s="107"/>
      <c r="D12" s="107"/>
      <c r="E12" s="107"/>
      <c r="F12" s="107"/>
      <c r="G12" s="107"/>
      <c r="H12" s="107"/>
      <c r="I12" s="107"/>
      <c r="J12" s="107"/>
      <c r="K12" s="107"/>
      <c r="L12" s="107"/>
      <c r="M12" s="107"/>
      <c r="N12" s="107"/>
      <c r="O12" s="107"/>
      <c r="P12" s="107"/>
      <c r="Q12" s="107"/>
      <c r="R12" s="107"/>
      <c r="S12" s="107"/>
      <c r="T12" s="107"/>
      <c r="U12" s="107"/>
    </row>
    <row r="13" spans="1:21" x14ac:dyDescent="0.25">
      <c r="A13" s="69" t="s">
        <v>289</v>
      </c>
      <c r="B13" s="107">
        <v>1</v>
      </c>
      <c r="C13" s="107"/>
      <c r="D13" s="107"/>
      <c r="E13" s="107"/>
      <c r="F13" s="107"/>
      <c r="G13" s="107"/>
      <c r="H13" s="107"/>
      <c r="I13" s="107"/>
      <c r="J13" s="107"/>
      <c r="K13" s="107"/>
      <c r="L13" s="107"/>
      <c r="M13" s="107"/>
      <c r="N13" s="107"/>
      <c r="O13" s="107"/>
      <c r="P13" s="107"/>
      <c r="Q13" s="107"/>
      <c r="R13" s="107"/>
      <c r="S13" s="107"/>
      <c r="T13" s="107"/>
      <c r="U13" s="107"/>
    </row>
    <row r="14" spans="1:21" x14ac:dyDescent="0.25">
      <c r="A14" s="69" t="s">
        <v>291</v>
      </c>
      <c r="B14" s="107">
        <v>704</v>
      </c>
      <c r="C14" s="107"/>
      <c r="D14" s="107"/>
      <c r="E14" s="107"/>
      <c r="F14" s="107"/>
      <c r="G14" s="107"/>
      <c r="H14" s="107"/>
      <c r="I14" s="107"/>
      <c r="J14" s="107"/>
      <c r="K14" s="107"/>
      <c r="L14" s="107"/>
      <c r="M14" s="107"/>
      <c r="N14" s="107"/>
      <c r="O14" s="107"/>
      <c r="P14" s="107"/>
      <c r="Q14" s="107"/>
      <c r="R14" s="107"/>
      <c r="S14" s="107"/>
      <c r="T14" s="107"/>
      <c r="U14" s="107"/>
    </row>
    <row r="15" spans="1:21" x14ac:dyDescent="0.25">
      <c r="A15" s="69" t="s">
        <v>293</v>
      </c>
      <c r="B15" s="107" t="s">
        <v>521</v>
      </c>
      <c r="C15" s="107"/>
      <c r="D15" s="107"/>
      <c r="E15" s="107"/>
      <c r="F15" s="107"/>
      <c r="G15" s="107"/>
      <c r="H15" s="107"/>
      <c r="I15" s="107"/>
      <c r="J15" s="107"/>
      <c r="K15" s="107"/>
      <c r="L15" s="107"/>
      <c r="M15" s="107"/>
      <c r="N15" s="107"/>
      <c r="O15" s="107"/>
      <c r="P15" s="107"/>
      <c r="Q15" s="107"/>
      <c r="R15" s="107"/>
      <c r="S15" s="107"/>
      <c r="T15" s="107"/>
      <c r="U15" s="107"/>
    </row>
    <row r="16" spans="1:21" x14ac:dyDescent="0.25">
      <c r="A16" s="69" t="s">
        <v>295</v>
      </c>
      <c r="B16" s="107" t="s">
        <v>522</v>
      </c>
      <c r="C16" s="107"/>
      <c r="D16" s="107"/>
      <c r="E16" s="107"/>
      <c r="F16" s="107"/>
      <c r="G16" s="107"/>
      <c r="H16" s="107"/>
      <c r="I16" s="107"/>
      <c r="J16" s="107"/>
      <c r="K16" s="107"/>
      <c r="L16" s="107"/>
      <c r="M16" s="107"/>
      <c r="N16" s="107"/>
      <c r="O16" s="107"/>
      <c r="P16" s="107"/>
      <c r="Q16" s="107"/>
      <c r="R16" s="107"/>
      <c r="S16" s="107"/>
      <c r="T16" s="107"/>
      <c r="U16" s="107"/>
    </row>
    <row r="17" spans="1:21" x14ac:dyDescent="0.25">
      <c r="A17" s="69" t="s">
        <v>725</v>
      </c>
      <c r="B17" s="107"/>
      <c r="C17" s="107"/>
      <c r="D17" s="107"/>
      <c r="E17" s="107"/>
      <c r="F17" s="107"/>
      <c r="G17" s="107"/>
      <c r="H17" s="107"/>
      <c r="I17" s="107"/>
      <c r="J17" s="107"/>
      <c r="K17" s="107"/>
      <c r="L17" s="107"/>
      <c r="M17" s="107"/>
      <c r="N17" s="107"/>
      <c r="O17" s="107"/>
      <c r="P17" s="107"/>
      <c r="Q17" s="107"/>
      <c r="R17" s="107"/>
      <c r="S17" s="107"/>
      <c r="T17" s="107"/>
      <c r="U17" s="107"/>
    </row>
    <row r="18" spans="1:21" x14ac:dyDescent="0.25">
      <c r="A18" s="85" t="s">
        <v>299</v>
      </c>
      <c r="B18" s="164">
        <v>45202</v>
      </c>
      <c r="C18" s="107"/>
      <c r="D18" s="107"/>
      <c r="E18" s="107"/>
      <c r="F18" s="107"/>
      <c r="G18" s="107"/>
      <c r="H18" s="107"/>
      <c r="I18" s="107"/>
      <c r="J18" s="107"/>
      <c r="K18" s="107"/>
      <c r="L18" s="107"/>
      <c r="M18" s="107"/>
      <c r="N18" s="107"/>
      <c r="O18" s="107"/>
      <c r="P18" s="107"/>
      <c r="Q18" s="107"/>
      <c r="R18" s="107"/>
      <c r="S18" s="107"/>
      <c r="T18" s="107"/>
      <c r="U18" s="107"/>
    </row>
    <row r="19" spans="1:21" x14ac:dyDescent="0.25">
      <c r="A19" s="85" t="s">
        <v>301</v>
      </c>
      <c r="B19" s="164">
        <v>45202</v>
      </c>
      <c r="C19" s="107"/>
      <c r="D19" s="107"/>
      <c r="E19" s="107"/>
      <c r="F19" s="107"/>
      <c r="G19" s="107"/>
      <c r="H19" s="107"/>
      <c r="I19" s="107"/>
      <c r="J19" s="107"/>
      <c r="K19" s="107"/>
      <c r="L19" s="107"/>
      <c r="M19" s="107"/>
      <c r="N19" s="107"/>
      <c r="O19" s="107"/>
      <c r="P19" s="107"/>
      <c r="Q19" s="107"/>
      <c r="R19" s="107"/>
      <c r="S19" s="107"/>
      <c r="T19" s="107"/>
      <c r="U19" s="107"/>
    </row>
    <row r="20" spans="1:21" x14ac:dyDescent="0.25">
      <c r="A20" s="85" t="s">
        <v>303</v>
      </c>
      <c r="B20" s="107" t="s">
        <v>317</v>
      </c>
      <c r="C20" s="107"/>
      <c r="D20" s="107"/>
      <c r="E20" s="107"/>
      <c r="F20" s="107"/>
      <c r="G20" s="107"/>
      <c r="H20" s="107"/>
      <c r="I20" s="107"/>
      <c r="J20" s="107"/>
      <c r="K20" s="107"/>
      <c r="L20" s="107"/>
      <c r="M20" s="107"/>
      <c r="N20" s="107"/>
      <c r="O20" s="107"/>
      <c r="P20" s="107"/>
      <c r="Q20" s="107"/>
      <c r="R20" s="107"/>
      <c r="S20" s="107"/>
      <c r="T20" s="107"/>
      <c r="U20" s="107"/>
    </row>
    <row r="21" spans="1:21" x14ac:dyDescent="0.25">
      <c r="A21" s="85" t="s">
        <v>309</v>
      </c>
      <c r="B21" s="107" t="s">
        <v>318</v>
      </c>
      <c r="C21" s="107"/>
      <c r="D21" s="107"/>
      <c r="E21" s="107"/>
      <c r="F21" s="107"/>
      <c r="G21" s="107"/>
      <c r="H21" s="107"/>
      <c r="I21" s="107"/>
      <c r="J21" s="107"/>
      <c r="K21" s="107"/>
      <c r="L21" s="107"/>
      <c r="M21" s="107"/>
      <c r="N21" s="107"/>
      <c r="O21" s="107"/>
      <c r="P21" s="107"/>
      <c r="Q21" s="107"/>
      <c r="R21" s="107"/>
      <c r="S21" s="107"/>
      <c r="T21" s="107"/>
      <c r="U21" s="107"/>
    </row>
    <row r="23" spans="1:21" x14ac:dyDescent="0.25">
      <c r="B23" s="103" t="str">
        <f>HYPERLINK("#'Factor List'!A1","Back to Factor List")</f>
        <v>Back to Factor List</v>
      </c>
    </row>
    <row r="24" spans="1:21" x14ac:dyDescent="0.25">
      <c r="B24" s="103" t="s">
        <v>15</v>
      </c>
    </row>
    <row r="26" spans="1:21" ht="13" x14ac:dyDescent="0.25">
      <c r="A26" s="98" t="s">
        <v>408</v>
      </c>
      <c r="B26" s="98" t="s">
        <v>778</v>
      </c>
      <c r="C26" s="98" t="s">
        <v>779</v>
      </c>
      <c r="D26" s="98" t="s">
        <v>780</v>
      </c>
      <c r="E26" s="98" t="s">
        <v>781</v>
      </c>
      <c r="F26" s="98" t="s">
        <v>782</v>
      </c>
      <c r="G26" s="98" t="s">
        <v>783</v>
      </c>
      <c r="H26" s="98" t="s">
        <v>784</v>
      </c>
      <c r="I26" s="98" t="s">
        <v>785</v>
      </c>
      <c r="J26" s="98" t="s">
        <v>786</v>
      </c>
      <c r="K26" s="98" t="s">
        <v>787</v>
      </c>
      <c r="L26" s="98" t="s">
        <v>788</v>
      </c>
      <c r="M26" s="98" t="s">
        <v>789</v>
      </c>
      <c r="N26" s="98" t="s">
        <v>790</v>
      </c>
      <c r="O26" s="98" t="s">
        <v>791</v>
      </c>
      <c r="P26" s="98" t="s">
        <v>792</v>
      </c>
      <c r="Q26" s="98" t="s">
        <v>793</v>
      </c>
      <c r="R26" s="98" t="s">
        <v>794</v>
      </c>
      <c r="S26" s="98" t="s">
        <v>795</v>
      </c>
      <c r="T26" s="98" t="s">
        <v>796</v>
      </c>
      <c r="U26" s="98" t="s">
        <v>797</v>
      </c>
    </row>
    <row r="27" spans="1:21" x14ac:dyDescent="0.25">
      <c r="A27" s="99">
        <v>16</v>
      </c>
      <c r="B27" s="100">
        <v>244.8</v>
      </c>
      <c r="C27" s="100">
        <v>124.6</v>
      </c>
      <c r="D27" s="100">
        <v>84.6</v>
      </c>
      <c r="E27" s="100">
        <v>64.599999999999994</v>
      </c>
      <c r="F27" s="100">
        <v>52.6</v>
      </c>
      <c r="G27" s="100">
        <v>44.7</v>
      </c>
      <c r="H27" s="100">
        <v>39</v>
      </c>
      <c r="I27" s="100">
        <v>34.700000000000003</v>
      </c>
      <c r="J27" s="100">
        <v>31.4</v>
      </c>
      <c r="K27" s="100">
        <v>28.8</v>
      </c>
      <c r="L27" s="100">
        <v>26.6</v>
      </c>
      <c r="M27" s="100">
        <v>24.8</v>
      </c>
      <c r="N27" s="100">
        <v>23.3</v>
      </c>
      <c r="O27" s="100">
        <v>22</v>
      </c>
      <c r="P27" s="100">
        <v>20.9</v>
      </c>
      <c r="Q27" s="100">
        <v>19.899999999999999</v>
      </c>
      <c r="R27" s="100">
        <v>19.100000000000001</v>
      </c>
      <c r="S27" s="100">
        <v>18.3</v>
      </c>
      <c r="T27" s="100">
        <v>17.600000000000001</v>
      </c>
      <c r="U27" s="100">
        <v>17</v>
      </c>
    </row>
    <row r="28" spans="1:21" x14ac:dyDescent="0.25">
      <c r="A28" s="99">
        <v>17</v>
      </c>
      <c r="B28" s="100">
        <v>248.4</v>
      </c>
      <c r="C28" s="100">
        <v>126.5</v>
      </c>
      <c r="D28" s="100">
        <v>85.9</v>
      </c>
      <c r="E28" s="100">
        <v>65.599999999999994</v>
      </c>
      <c r="F28" s="100">
        <v>53.4</v>
      </c>
      <c r="G28" s="100">
        <v>45.3</v>
      </c>
      <c r="H28" s="100">
        <v>39.6</v>
      </c>
      <c r="I28" s="100">
        <v>35.200000000000003</v>
      </c>
      <c r="J28" s="100">
        <v>31.9</v>
      </c>
      <c r="K28" s="100">
        <v>29.2</v>
      </c>
      <c r="L28" s="100">
        <v>27</v>
      </c>
      <c r="M28" s="100">
        <v>25.2</v>
      </c>
      <c r="N28" s="100">
        <v>23.6</v>
      </c>
      <c r="O28" s="100">
        <v>22.3</v>
      </c>
      <c r="P28" s="100">
        <v>21.2</v>
      </c>
      <c r="Q28" s="100">
        <v>20.2</v>
      </c>
      <c r="R28" s="100">
        <v>19.3</v>
      </c>
      <c r="S28" s="100">
        <v>18.600000000000001</v>
      </c>
      <c r="T28" s="100">
        <v>17.899999999999999</v>
      </c>
      <c r="U28" s="100">
        <v>17.3</v>
      </c>
    </row>
    <row r="29" spans="1:21" x14ac:dyDescent="0.25">
      <c r="A29" s="99">
        <v>18</v>
      </c>
      <c r="B29" s="100">
        <v>252.2</v>
      </c>
      <c r="C29" s="100">
        <v>128.4</v>
      </c>
      <c r="D29" s="100">
        <v>87.2</v>
      </c>
      <c r="E29" s="100">
        <v>66.599999999999994</v>
      </c>
      <c r="F29" s="100">
        <v>54.2</v>
      </c>
      <c r="G29" s="100">
        <v>46</v>
      </c>
      <c r="H29" s="100">
        <v>40.200000000000003</v>
      </c>
      <c r="I29" s="100">
        <v>35.799999999999997</v>
      </c>
      <c r="J29" s="100">
        <v>32.4</v>
      </c>
      <c r="K29" s="100">
        <v>29.6</v>
      </c>
      <c r="L29" s="100">
        <v>27.4</v>
      </c>
      <c r="M29" s="100">
        <v>25.6</v>
      </c>
      <c r="N29" s="100">
        <v>24</v>
      </c>
      <c r="O29" s="100">
        <v>22.7</v>
      </c>
      <c r="P29" s="100">
        <v>21.5</v>
      </c>
      <c r="Q29" s="100">
        <v>20.5</v>
      </c>
      <c r="R29" s="100">
        <v>19.600000000000001</v>
      </c>
      <c r="S29" s="100">
        <v>18.899999999999999</v>
      </c>
      <c r="T29" s="100">
        <v>18.2</v>
      </c>
      <c r="U29" s="100">
        <v>17.5</v>
      </c>
    </row>
    <row r="30" spans="1:21" x14ac:dyDescent="0.25">
      <c r="A30" s="99">
        <v>19</v>
      </c>
      <c r="B30" s="100">
        <v>256</v>
      </c>
      <c r="C30" s="100">
        <v>130.30000000000001</v>
      </c>
      <c r="D30" s="100">
        <v>88.5</v>
      </c>
      <c r="E30" s="100">
        <v>67.599999999999994</v>
      </c>
      <c r="F30" s="100">
        <v>55.1</v>
      </c>
      <c r="G30" s="100">
        <v>46.7</v>
      </c>
      <c r="H30" s="100">
        <v>40.799999999999997</v>
      </c>
      <c r="I30" s="100">
        <v>36.299999999999997</v>
      </c>
      <c r="J30" s="100">
        <v>32.799999999999997</v>
      </c>
      <c r="K30" s="100">
        <v>30.1</v>
      </c>
      <c r="L30" s="100">
        <v>27.8</v>
      </c>
      <c r="M30" s="100">
        <v>25.9</v>
      </c>
      <c r="N30" s="100">
        <v>24.4</v>
      </c>
      <c r="O30" s="100">
        <v>23</v>
      </c>
      <c r="P30" s="100">
        <v>21.9</v>
      </c>
      <c r="Q30" s="100">
        <v>20.8</v>
      </c>
      <c r="R30" s="100">
        <v>19.899999999999999</v>
      </c>
      <c r="S30" s="100">
        <v>19.2</v>
      </c>
      <c r="T30" s="100">
        <v>18.399999999999999</v>
      </c>
      <c r="U30" s="100">
        <v>17.8</v>
      </c>
    </row>
    <row r="31" spans="1:21" x14ac:dyDescent="0.25">
      <c r="A31" s="99">
        <v>20</v>
      </c>
      <c r="B31" s="100">
        <v>259.8</v>
      </c>
      <c r="C31" s="100">
        <v>132.30000000000001</v>
      </c>
      <c r="D31" s="100">
        <v>89.8</v>
      </c>
      <c r="E31" s="100">
        <v>68.599999999999994</v>
      </c>
      <c r="F31" s="100">
        <v>55.9</v>
      </c>
      <c r="G31" s="100">
        <v>47.4</v>
      </c>
      <c r="H31" s="100">
        <v>41.4</v>
      </c>
      <c r="I31" s="100">
        <v>36.799999999999997</v>
      </c>
      <c r="J31" s="100">
        <v>33.299999999999997</v>
      </c>
      <c r="K31" s="100">
        <v>30.5</v>
      </c>
      <c r="L31" s="100">
        <v>28.2</v>
      </c>
      <c r="M31" s="100">
        <v>26.3</v>
      </c>
      <c r="N31" s="100">
        <v>24.7</v>
      </c>
      <c r="O31" s="100">
        <v>23.4</v>
      </c>
      <c r="P31" s="100">
        <v>22.2</v>
      </c>
      <c r="Q31" s="100">
        <v>21.1</v>
      </c>
      <c r="R31" s="100">
        <v>20.2</v>
      </c>
      <c r="S31" s="100">
        <v>19.399999999999999</v>
      </c>
      <c r="T31" s="100">
        <v>18.7</v>
      </c>
      <c r="U31" s="100">
        <v>18.100000000000001</v>
      </c>
    </row>
    <row r="32" spans="1:21" x14ac:dyDescent="0.25">
      <c r="A32" s="99">
        <v>21</v>
      </c>
      <c r="B32" s="100">
        <v>263.60000000000002</v>
      </c>
      <c r="C32" s="100">
        <v>134.30000000000001</v>
      </c>
      <c r="D32" s="100">
        <v>91.2</v>
      </c>
      <c r="E32" s="100">
        <v>69.599999999999994</v>
      </c>
      <c r="F32" s="100">
        <v>56.7</v>
      </c>
      <c r="G32" s="100">
        <v>48.1</v>
      </c>
      <c r="H32" s="100">
        <v>42</v>
      </c>
      <c r="I32" s="100">
        <v>37.4</v>
      </c>
      <c r="J32" s="100">
        <v>33.799999999999997</v>
      </c>
      <c r="K32" s="100">
        <v>31</v>
      </c>
      <c r="L32" s="100">
        <v>28.7</v>
      </c>
      <c r="M32" s="100">
        <v>26.7</v>
      </c>
      <c r="N32" s="100">
        <v>25.1</v>
      </c>
      <c r="O32" s="100">
        <v>23.7</v>
      </c>
      <c r="P32" s="100">
        <v>22.5</v>
      </c>
      <c r="Q32" s="100">
        <v>21.5</v>
      </c>
      <c r="R32" s="100">
        <v>20.5</v>
      </c>
      <c r="S32" s="100">
        <v>19.7</v>
      </c>
      <c r="T32" s="100">
        <v>19</v>
      </c>
      <c r="U32" s="100">
        <v>18.399999999999999</v>
      </c>
    </row>
    <row r="33" spans="1:21" x14ac:dyDescent="0.25">
      <c r="A33" s="99">
        <v>22</v>
      </c>
      <c r="B33" s="100">
        <v>267.5</v>
      </c>
      <c r="C33" s="100">
        <v>136.19999999999999</v>
      </c>
      <c r="D33" s="100">
        <v>92.5</v>
      </c>
      <c r="E33" s="100">
        <v>70.599999999999994</v>
      </c>
      <c r="F33" s="100">
        <v>57.6</v>
      </c>
      <c r="G33" s="100">
        <v>48.8</v>
      </c>
      <c r="H33" s="100">
        <v>42.6</v>
      </c>
      <c r="I33" s="100">
        <v>37.9</v>
      </c>
      <c r="J33" s="100">
        <v>34.299999999999997</v>
      </c>
      <c r="K33" s="100">
        <v>31.4</v>
      </c>
      <c r="L33" s="100">
        <v>29.1</v>
      </c>
      <c r="M33" s="100">
        <v>27.1</v>
      </c>
      <c r="N33" s="100">
        <v>25.5</v>
      </c>
      <c r="O33" s="100">
        <v>24.1</v>
      </c>
      <c r="P33" s="100">
        <v>22.9</v>
      </c>
      <c r="Q33" s="100">
        <v>21.8</v>
      </c>
      <c r="R33" s="100">
        <v>20.9</v>
      </c>
      <c r="S33" s="100">
        <v>20</v>
      </c>
      <c r="T33" s="100">
        <v>19.3</v>
      </c>
      <c r="U33" s="100">
        <v>18.600000000000001</v>
      </c>
    </row>
    <row r="34" spans="1:21" x14ac:dyDescent="0.25">
      <c r="A34" s="99">
        <v>23</v>
      </c>
      <c r="B34" s="100">
        <v>271.5</v>
      </c>
      <c r="C34" s="100">
        <v>138.30000000000001</v>
      </c>
      <c r="D34" s="100">
        <v>93.9</v>
      </c>
      <c r="E34" s="100">
        <v>71.7</v>
      </c>
      <c r="F34" s="100">
        <v>58.4</v>
      </c>
      <c r="G34" s="100">
        <v>49.6</v>
      </c>
      <c r="H34" s="100">
        <v>43.2</v>
      </c>
      <c r="I34" s="100">
        <v>38.5</v>
      </c>
      <c r="J34" s="100">
        <v>34.799999999999997</v>
      </c>
      <c r="K34" s="100">
        <v>31.9</v>
      </c>
      <c r="L34" s="100">
        <v>29.5</v>
      </c>
      <c r="M34" s="100">
        <v>27.5</v>
      </c>
      <c r="N34" s="100">
        <v>25.9</v>
      </c>
      <c r="O34" s="100">
        <v>24.4</v>
      </c>
      <c r="P34" s="100">
        <v>23.2</v>
      </c>
      <c r="Q34" s="100">
        <v>22.1</v>
      </c>
      <c r="R34" s="100">
        <v>21.2</v>
      </c>
      <c r="S34" s="100">
        <v>20.3</v>
      </c>
      <c r="T34" s="100">
        <v>19.600000000000001</v>
      </c>
      <c r="U34" s="100">
        <v>18.899999999999999</v>
      </c>
    </row>
    <row r="35" spans="1:21" x14ac:dyDescent="0.25">
      <c r="A35" s="99">
        <v>24</v>
      </c>
      <c r="B35" s="100">
        <v>275.5</v>
      </c>
      <c r="C35" s="100">
        <v>140.30000000000001</v>
      </c>
      <c r="D35" s="100">
        <v>95.3</v>
      </c>
      <c r="E35" s="100">
        <v>72.8</v>
      </c>
      <c r="F35" s="100">
        <v>59.3</v>
      </c>
      <c r="G35" s="100">
        <v>50.3</v>
      </c>
      <c r="H35" s="100">
        <v>43.9</v>
      </c>
      <c r="I35" s="100">
        <v>39.1</v>
      </c>
      <c r="J35" s="100">
        <v>35.4</v>
      </c>
      <c r="K35" s="100">
        <v>32.4</v>
      </c>
      <c r="L35" s="100">
        <v>30</v>
      </c>
      <c r="M35" s="100">
        <v>27.9</v>
      </c>
      <c r="N35" s="100">
        <v>26.2</v>
      </c>
      <c r="O35" s="100">
        <v>24.8</v>
      </c>
      <c r="P35" s="100">
        <v>23.5</v>
      </c>
      <c r="Q35" s="100">
        <v>22.5</v>
      </c>
      <c r="R35" s="100">
        <v>21.5</v>
      </c>
      <c r="S35" s="100">
        <v>20.6</v>
      </c>
      <c r="T35" s="100">
        <v>19.899999999999999</v>
      </c>
      <c r="U35" s="100">
        <v>19.2</v>
      </c>
    </row>
    <row r="36" spans="1:21" x14ac:dyDescent="0.25">
      <c r="A36" s="99">
        <v>25</v>
      </c>
      <c r="B36" s="100">
        <v>279.5</v>
      </c>
      <c r="C36" s="100">
        <v>142.4</v>
      </c>
      <c r="D36" s="100">
        <v>96.7</v>
      </c>
      <c r="E36" s="100">
        <v>73.8</v>
      </c>
      <c r="F36" s="100">
        <v>60.1</v>
      </c>
      <c r="G36" s="100">
        <v>51</v>
      </c>
      <c r="H36" s="100">
        <v>44.5</v>
      </c>
      <c r="I36" s="100">
        <v>39.700000000000003</v>
      </c>
      <c r="J36" s="100">
        <v>35.9</v>
      </c>
      <c r="K36" s="100">
        <v>32.9</v>
      </c>
      <c r="L36" s="100">
        <v>30.4</v>
      </c>
      <c r="M36" s="100">
        <v>28.4</v>
      </c>
      <c r="N36" s="100">
        <v>26.6</v>
      </c>
      <c r="O36" s="100">
        <v>25.2</v>
      </c>
      <c r="P36" s="100">
        <v>23.9</v>
      </c>
      <c r="Q36" s="100">
        <v>22.8</v>
      </c>
      <c r="R36" s="100">
        <v>21.8</v>
      </c>
      <c r="S36" s="100">
        <v>21</v>
      </c>
      <c r="T36" s="100">
        <v>20.2</v>
      </c>
      <c r="U36" s="100">
        <v>19.5</v>
      </c>
    </row>
    <row r="37" spans="1:21" x14ac:dyDescent="0.25">
      <c r="A37" s="99">
        <v>26</v>
      </c>
      <c r="B37" s="100">
        <v>283.60000000000002</v>
      </c>
      <c r="C37" s="100">
        <v>144.5</v>
      </c>
      <c r="D37" s="100">
        <v>98.1</v>
      </c>
      <c r="E37" s="100">
        <v>74.900000000000006</v>
      </c>
      <c r="F37" s="100">
        <v>61</v>
      </c>
      <c r="G37" s="100">
        <v>51.8</v>
      </c>
      <c r="H37" s="100">
        <v>45.2</v>
      </c>
      <c r="I37" s="100">
        <v>40.299999999999997</v>
      </c>
      <c r="J37" s="100">
        <v>36.4</v>
      </c>
      <c r="K37" s="100">
        <v>33.4</v>
      </c>
      <c r="L37" s="100">
        <v>30.9</v>
      </c>
      <c r="M37" s="100">
        <v>28.8</v>
      </c>
      <c r="N37" s="100">
        <v>27</v>
      </c>
      <c r="O37" s="100">
        <v>25.5</v>
      </c>
      <c r="P37" s="100">
        <v>24.3</v>
      </c>
      <c r="Q37" s="100">
        <v>23.1</v>
      </c>
      <c r="R37" s="100">
        <v>22.1</v>
      </c>
      <c r="S37" s="100">
        <v>21.3</v>
      </c>
      <c r="T37" s="100">
        <v>20.5</v>
      </c>
      <c r="U37" s="100">
        <v>19.8</v>
      </c>
    </row>
    <row r="38" spans="1:21" x14ac:dyDescent="0.25">
      <c r="A38" s="99">
        <v>27</v>
      </c>
      <c r="B38" s="100">
        <v>287.8</v>
      </c>
      <c r="C38" s="100">
        <v>146.6</v>
      </c>
      <c r="D38" s="100">
        <v>99.5</v>
      </c>
      <c r="E38" s="100">
        <v>76</v>
      </c>
      <c r="F38" s="100">
        <v>61.9</v>
      </c>
      <c r="G38" s="100">
        <v>52.5</v>
      </c>
      <c r="H38" s="100">
        <v>45.9</v>
      </c>
      <c r="I38" s="100">
        <v>40.799999999999997</v>
      </c>
      <c r="J38" s="100">
        <v>37</v>
      </c>
      <c r="K38" s="100">
        <v>33.9</v>
      </c>
      <c r="L38" s="100">
        <v>31.3</v>
      </c>
      <c r="M38" s="100">
        <v>29.2</v>
      </c>
      <c r="N38" s="100">
        <v>27.5</v>
      </c>
      <c r="O38" s="100">
        <v>25.9</v>
      </c>
      <c r="P38" s="100">
        <v>24.6</v>
      </c>
      <c r="Q38" s="100">
        <v>23.5</v>
      </c>
      <c r="R38" s="100">
        <v>22.5</v>
      </c>
      <c r="S38" s="100">
        <v>21.6</v>
      </c>
      <c r="T38" s="100">
        <v>20.8</v>
      </c>
      <c r="U38" s="100">
        <v>20.100000000000001</v>
      </c>
    </row>
    <row r="39" spans="1:21" x14ac:dyDescent="0.25">
      <c r="A39" s="99">
        <v>28</v>
      </c>
      <c r="B39" s="100">
        <v>292</v>
      </c>
      <c r="C39" s="100">
        <v>148.69999999999999</v>
      </c>
      <c r="D39" s="100">
        <v>101</v>
      </c>
      <c r="E39" s="100">
        <v>77.099999999999994</v>
      </c>
      <c r="F39" s="100">
        <v>62.8</v>
      </c>
      <c r="G39" s="100">
        <v>53.3</v>
      </c>
      <c r="H39" s="100">
        <v>46.5</v>
      </c>
      <c r="I39" s="100">
        <v>41.5</v>
      </c>
      <c r="J39" s="100">
        <v>37.5</v>
      </c>
      <c r="K39" s="100">
        <v>34.4</v>
      </c>
      <c r="L39" s="100">
        <v>31.8</v>
      </c>
      <c r="M39" s="100">
        <v>29.7</v>
      </c>
      <c r="N39" s="100">
        <v>27.9</v>
      </c>
      <c r="O39" s="100">
        <v>26.3</v>
      </c>
      <c r="P39" s="100">
        <v>25</v>
      </c>
      <c r="Q39" s="100">
        <v>23.8</v>
      </c>
      <c r="R39" s="100">
        <v>22.8</v>
      </c>
      <c r="S39" s="100">
        <v>21.9</v>
      </c>
      <c r="T39" s="100">
        <v>21.1</v>
      </c>
      <c r="U39" s="100">
        <v>20.399999999999999</v>
      </c>
    </row>
    <row r="40" spans="1:21" x14ac:dyDescent="0.25">
      <c r="A40" s="99">
        <v>29</v>
      </c>
      <c r="B40" s="100">
        <v>296.3</v>
      </c>
      <c r="C40" s="100">
        <v>150.9</v>
      </c>
      <c r="D40" s="100">
        <v>102.5</v>
      </c>
      <c r="E40" s="100">
        <v>78.3</v>
      </c>
      <c r="F40" s="100">
        <v>63.8</v>
      </c>
      <c r="G40" s="100">
        <v>54.1</v>
      </c>
      <c r="H40" s="100">
        <v>47.2</v>
      </c>
      <c r="I40" s="100">
        <v>42.1</v>
      </c>
      <c r="J40" s="100">
        <v>38.1</v>
      </c>
      <c r="K40" s="100">
        <v>34.9</v>
      </c>
      <c r="L40" s="100">
        <v>32.299999999999997</v>
      </c>
      <c r="M40" s="100">
        <v>30.1</v>
      </c>
      <c r="N40" s="100">
        <v>28.3</v>
      </c>
      <c r="O40" s="100">
        <v>26.7</v>
      </c>
      <c r="P40" s="100">
        <v>25.4</v>
      </c>
      <c r="Q40" s="100">
        <v>24.2</v>
      </c>
      <c r="R40" s="100">
        <v>23.2</v>
      </c>
      <c r="S40" s="100">
        <v>22.3</v>
      </c>
      <c r="T40" s="100">
        <v>21.5</v>
      </c>
      <c r="U40" s="100">
        <v>20.7</v>
      </c>
    </row>
    <row r="41" spans="1:21" x14ac:dyDescent="0.25">
      <c r="A41" s="99">
        <v>30</v>
      </c>
      <c r="B41" s="100">
        <v>300.7</v>
      </c>
      <c r="C41" s="100">
        <v>153.1</v>
      </c>
      <c r="D41" s="100">
        <v>104</v>
      </c>
      <c r="E41" s="100">
        <v>79.400000000000006</v>
      </c>
      <c r="F41" s="100">
        <v>64.7</v>
      </c>
      <c r="G41" s="100">
        <v>54.9</v>
      </c>
      <c r="H41" s="100">
        <v>47.9</v>
      </c>
      <c r="I41" s="100">
        <v>42.7</v>
      </c>
      <c r="J41" s="100">
        <v>38.6</v>
      </c>
      <c r="K41" s="100">
        <v>35.4</v>
      </c>
      <c r="L41" s="100">
        <v>32.799999999999997</v>
      </c>
      <c r="M41" s="100">
        <v>30.6</v>
      </c>
      <c r="N41" s="100">
        <v>28.7</v>
      </c>
      <c r="O41" s="100">
        <v>27.1</v>
      </c>
      <c r="P41" s="100">
        <v>25.8</v>
      </c>
      <c r="Q41" s="100">
        <v>24.6</v>
      </c>
      <c r="R41" s="100">
        <v>23.5</v>
      </c>
      <c r="S41" s="100">
        <v>22.6</v>
      </c>
      <c r="T41" s="100">
        <v>21.8</v>
      </c>
      <c r="U41" s="100">
        <v>21.1</v>
      </c>
    </row>
    <row r="42" spans="1:21" x14ac:dyDescent="0.25">
      <c r="A42" s="99">
        <v>31</v>
      </c>
      <c r="B42" s="100">
        <v>305.10000000000002</v>
      </c>
      <c r="C42" s="100">
        <v>155.4</v>
      </c>
      <c r="D42" s="100">
        <v>105.5</v>
      </c>
      <c r="E42" s="100">
        <v>80.599999999999994</v>
      </c>
      <c r="F42" s="100">
        <v>65.7</v>
      </c>
      <c r="G42" s="100">
        <v>55.7</v>
      </c>
      <c r="H42" s="100">
        <v>48.7</v>
      </c>
      <c r="I42" s="100">
        <v>43.3</v>
      </c>
      <c r="J42" s="100">
        <v>39.200000000000003</v>
      </c>
      <c r="K42" s="100">
        <v>35.9</v>
      </c>
      <c r="L42" s="100">
        <v>33.299999999999997</v>
      </c>
      <c r="M42" s="100">
        <v>31</v>
      </c>
      <c r="N42" s="100">
        <v>29.2</v>
      </c>
      <c r="O42" s="100">
        <v>27.5</v>
      </c>
      <c r="P42" s="100">
        <v>26.2</v>
      </c>
      <c r="Q42" s="100">
        <v>25</v>
      </c>
      <c r="R42" s="100">
        <v>23.9</v>
      </c>
      <c r="S42" s="100">
        <v>23</v>
      </c>
      <c r="T42" s="100">
        <v>22.1</v>
      </c>
      <c r="U42" s="100">
        <v>21.4</v>
      </c>
    </row>
    <row r="43" spans="1:21" x14ac:dyDescent="0.25">
      <c r="A43" s="99">
        <v>32</v>
      </c>
      <c r="B43" s="100">
        <v>309.5</v>
      </c>
      <c r="C43" s="100">
        <v>157.69999999999999</v>
      </c>
      <c r="D43" s="100">
        <v>107.1</v>
      </c>
      <c r="E43" s="100">
        <v>81.8</v>
      </c>
      <c r="F43" s="100">
        <v>66.7</v>
      </c>
      <c r="G43" s="100">
        <v>56.6</v>
      </c>
      <c r="H43" s="100">
        <v>49.4</v>
      </c>
      <c r="I43" s="100">
        <v>44</v>
      </c>
      <c r="J43" s="100">
        <v>39.799999999999997</v>
      </c>
      <c r="K43" s="100">
        <v>36.5</v>
      </c>
      <c r="L43" s="100">
        <v>33.799999999999997</v>
      </c>
      <c r="M43" s="100">
        <v>31.5</v>
      </c>
      <c r="N43" s="100">
        <v>29.6</v>
      </c>
      <c r="O43" s="100">
        <v>28</v>
      </c>
      <c r="P43" s="100">
        <v>26.6</v>
      </c>
      <c r="Q43" s="100">
        <v>25.3</v>
      </c>
      <c r="R43" s="100">
        <v>24.3</v>
      </c>
      <c r="S43" s="100">
        <v>23.3</v>
      </c>
      <c r="T43" s="100">
        <v>22.5</v>
      </c>
      <c r="U43" s="100">
        <v>21.7</v>
      </c>
    </row>
    <row r="44" spans="1:21" x14ac:dyDescent="0.25">
      <c r="A44" s="99">
        <v>33</v>
      </c>
      <c r="B44" s="100">
        <v>314.10000000000002</v>
      </c>
      <c r="C44" s="100">
        <v>160</v>
      </c>
      <c r="D44" s="100">
        <v>108.7</v>
      </c>
      <c r="E44" s="100">
        <v>83</v>
      </c>
      <c r="F44" s="100">
        <v>67.599999999999994</v>
      </c>
      <c r="G44" s="100">
        <v>57.4</v>
      </c>
      <c r="H44" s="100">
        <v>50.1</v>
      </c>
      <c r="I44" s="100">
        <v>44.6</v>
      </c>
      <c r="J44" s="100">
        <v>40.4</v>
      </c>
      <c r="K44" s="100">
        <v>37</v>
      </c>
      <c r="L44" s="100">
        <v>34.299999999999997</v>
      </c>
      <c r="M44" s="100">
        <v>32</v>
      </c>
      <c r="N44" s="100">
        <v>30</v>
      </c>
      <c r="O44" s="100">
        <v>28.4</v>
      </c>
      <c r="P44" s="100">
        <v>27</v>
      </c>
      <c r="Q44" s="100">
        <v>25.7</v>
      </c>
      <c r="R44" s="100">
        <v>24.6</v>
      </c>
      <c r="S44" s="100">
        <v>23.7</v>
      </c>
      <c r="T44" s="100">
        <v>22.8</v>
      </c>
      <c r="U44" s="100">
        <v>22.1</v>
      </c>
    </row>
    <row r="45" spans="1:21" x14ac:dyDescent="0.25">
      <c r="A45" s="99">
        <v>34</v>
      </c>
      <c r="B45" s="100">
        <v>318.60000000000002</v>
      </c>
      <c r="C45" s="100">
        <v>162.30000000000001</v>
      </c>
      <c r="D45" s="100">
        <v>110.3</v>
      </c>
      <c r="E45" s="100">
        <v>84.2</v>
      </c>
      <c r="F45" s="100">
        <v>68.599999999999994</v>
      </c>
      <c r="G45" s="100">
        <v>58.3</v>
      </c>
      <c r="H45" s="100">
        <v>50.9</v>
      </c>
      <c r="I45" s="100">
        <v>45.3</v>
      </c>
      <c r="J45" s="100">
        <v>41</v>
      </c>
      <c r="K45" s="100">
        <v>37.6</v>
      </c>
      <c r="L45" s="100">
        <v>34.799999999999997</v>
      </c>
      <c r="M45" s="100">
        <v>32.5</v>
      </c>
      <c r="N45" s="100">
        <v>30.5</v>
      </c>
      <c r="O45" s="100">
        <v>28.8</v>
      </c>
      <c r="P45" s="100">
        <v>27.4</v>
      </c>
      <c r="Q45" s="100">
        <v>26.1</v>
      </c>
      <c r="R45" s="100">
        <v>25</v>
      </c>
      <c r="S45" s="100">
        <v>24.1</v>
      </c>
      <c r="T45" s="100">
        <v>23.2</v>
      </c>
      <c r="U45" s="100">
        <v>22.4</v>
      </c>
    </row>
    <row r="46" spans="1:21" x14ac:dyDescent="0.25">
      <c r="A46" s="99">
        <v>35</v>
      </c>
      <c r="B46" s="100">
        <v>323.3</v>
      </c>
      <c r="C46" s="100">
        <v>164.7</v>
      </c>
      <c r="D46" s="100">
        <v>111.9</v>
      </c>
      <c r="E46" s="100">
        <v>85.5</v>
      </c>
      <c r="F46" s="100">
        <v>69.7</v>
      </c>
      <c r="G46" s="100">
        <v>59.1</v>
      </c>
      <c r="H46" s="100">
        <v>51.6</v>
      </c>
      <c r="I46" s="100">
        <v>46</v>
      </c>
      <c r="J46" s="100">
        <v>41.6</v>
      </c>
      <c r="K46" s="100">
        <v>38.200000000000003</v>
      </c>
      <c r="L46" s="100">
        <v>35.299999999999997</v>
      </c>
      <c r="M46" s="100">
        <v>33</v>
      </c>
      <c r="N46" s="100">
        <v>31</v>
      </c>
      <c r="O46" s="100">
        <v>29.3</v>
      </c>
      <c r="P46" s="100">
        <v>27.8</v>
      </c>
      <c r="Q46" s="100">
        <v>26.5</v>
      </c>
      <c r="R46" s="100">
        <v>25.4</v>
      </c>
      <c r="S46" s="100">
        <v>24.4</v>
      </c>
      <c r="T46" s="100">
        <v>23.6</v>
      </c>
      <c r="U46" s="100">
        <v>22.8</v>
      </c>
    </row>
    <row r="47" spans="1:21" x14ac:dyDescent="0.25">
      <c r="A47" s="99">
        <v>36</v>
      </c>
      <c r="B47" s="100">
        <v>328</v>
      </c>
      <c r="C47" s="100">
        <v>167.1</v>
      </c>
      <c r="D47" s="100">
        <v>113.5</v>
      </c>
      <c r="E47" s="100">
        <v>86.7</v>
      </c>
      <c r="F47" s="100">
        <v>70.7</v>
      </c>
      <c r="G47" s="100">
        <v>60</v>
      </c>
      <c r="H47" s="100">
        <v>52.4</v>
      </c>
      <c r="I47" s="100">
        <v>46.7</v>
      </c>
      <c r="J47" s="100">
        <v>42.3</v>
      </c>
      <c r="K47" s="100">
        <v>38.700000000000003</v>
      </c>
      <c r="L47" s="100">
        <v>35.9</v>
      </c>
      <c r="M47" s="100">
        <v>33.5</v>
      </c>
      <c r="N47" s="100">
        <v>31.4</v>
      </c>
      <c r="O47" s="100">
        <v>29.7</v>
      </c>
      <c r="P47" s="100">
        <v>28.2</v>
      </c>
      <c r="Q47" s="100">
        <v>27</v>
      </c>
      <c r="R47" s="100">
        <v>25.8</v>
      </c>
      <c r="S47" s="100">
        <v>24.8</v>
      </c>
      <c r="T47" s="100">
        <v>23.9</v>
      </c>
      <c r="U47" s="100">
        <v>23.2</v>
      </c>
    </row>
    <row r="48" spans="1:21" x14ac:dyDescent="0.25">
      <c r="A48" s="99">
        <v>37</v>
      </c>
      <c r="B48" s="100">
        <v>332.8</v>
      </c>
      <c r="C48" s="100">
        <v>169.5</v>
      </c>
      <c r="D48" s="100">
        <v>115.2</v>
      </c>
      <c r="E48" s="100">
        <v>88</v>
      </c>
      <c r="F48" s="100">
        <v>71.7</v>
      </c>
      <c r="G48" s="100">
        <v>60.9</v>
      </c>
      <c r="H48" s="100">
        <v>53.2</v>
      </c>
      <c r="I48" s="100">
        <v>47.4</v>
      </c>
      <c r="J48" s="100">
        <v>42.9</v>
      </c>
      <c r="K48" s="100">
        <v>39.299999999999997</v>
      </c>
      <c r="L48" s="100">
        <v>36.4</v>
      </c>
      <c r="M48" s="100">
        <v>34</v>
      </c>
      <c r="N48" s="100">
        <v>31.9</v>
      </c>
      <c r="O48" s="100">
        <v>30.2</v>
      </c>
      <c r="P48" s="100">
        <v>28.7</v>
      </c>
      <c r="Q48" s="100">
        <v>27.4</v>
      </c>
      <c r="R48" s="100">
        <v>26.2</v>
      </c>
      <c r="S48" s="100">
        <v>25.2</v>
      </c>
      <c r="T48" s="100">
        <v>24.3</v>
      </c>
      <c r="U48" s="100">
        <v>23.5</v>
      </c>
    </row>
    <row r="49" spans="1:21" x14ac:dyDescent="0.25">
      <c r="A49" s="99">
        <v>38</v>
      </c>
      <c r="B49" s="100">
        <v>337.6</v>
      </c>
      <c r="C49" s="100">
        <v>172</v>
      </c>
      <c r="D49" s="100">
        <v>116.9</v>
      </c>
      <c r="E49" s="100">
        <v>89.3</v>
      </c>
      <c r="F49" s="100">
        <v>72.8</v>
      </c>
      <c r="G49" s="100">
        <v>61.8</v>
      </c>
      <c r="H49" s="100">
        <v>54</v>
      </c>
      <c r="I49" s="100">
        <v>48.1</v>
      </c>
      <c r="J49" s="100">
        <v>43.5</v>
      </c>
      <c r="K49" s="100">
        <v>39.9</v>
      </c>
      <c r="L49" s="100">
        <v>37</v>
      </c>
      <c r="M49" s="100">
        <v>34.5</v>
      </c>
      <c r="N49" s="100">
        <v>32.4</v>
      </c>
      <c r="O49" s="100">
        <v>30.7</v>
      </c>
      <c r="P49" s="100">
        <v>29.1</v>
      </c>
      <c r="Q49" s="100">
        <v>27.8</v>
      </c>
      <c r="R49" s="100">
        <v>26.7</v>
      </c>
      <c r="S49" s="100">
        <v>25.6</v>
      </c>
      <c r="T49" s="100">
        <v>24.7</v>
      </c>
      <c r="U49" s="100">
        <v>23.9</v>
      </c>
    </row>
    <row r="50" spans="1:21" x14ac:dyDescent="0.25">
      <c r="A50" s="99">
        <v>39</v>
      </c>
      <c r="B50" s="100">
        <v>342.5</v>
      </c>
      <c r="C50" s="100">
        <v>174.5</v>
      </c>
      <c r="D50" s="100">
        <v>118.6</v>
      </c>
      <c r="E50" s="100">
        <v>90.6</v>
      </c>
      <c r="F50" s="100">
        <v>73.900000000000006</v>
      </c>
      <c r="G50" s="100">
        <v>62.7</v>
      </c>
      <c r="H50" s="100">
        <v>54.8</v>
      </c>
      <c r="I50" s="100">
        <v>48.8</v>
      </c>
      <c r="J50" s="100">
        <v>44.2</v>
      </c>
      <c r="K50" s="100">
        <v>40.5</v>
      </c>
      <c r="L50" s="100">
        <v>37.5</v>
      </c>
      <c r="M50" s="100">
        <v>35</v>
      </c>
      <c r="N50" s="100">
        <v>32.9</v>
      </c>
      <c r="O50" s="100">
        <v>31.2</v>
      </c>
      <c r="P50" s="100">
        <v>29.6</v>
      </c>
      <c r="Q50" s="100">
        <v>28.3</v>
      </c>
      <c r="R50" s="100">
        <v>27.1</v>
      </c>
      <c r="S50" s="100">
        <v>26.1</v>
      </c>
      <c r="T50" s="100">
        <v>25.2</v>
      </c>
      <c r="U50" s="100">
        <v>24.4</v>
      </c>
    </row>
    <row r="51" spans="1:21" x14ac:dyDescent="0.25">
      <c r="A51" s="99">
        <v>40</v>
      </c>
      <c r="B51" s="100">
        <v>347.5</v>
      </c>
      <c r="C51" s="100">
        <v>177.1</v>
      </c>
      <c r="D51" s="100">
        <v>120.3</v>
      </c>
      <c r="E51" s="100">
        <v>92</v>
      </c>
      <c r="F51" s="100">
        <v>75</v>
      </c>
      <c r="G51" s="100">
        <v>63.7</v>
      </c>
      <c r="H51" s="100">
        <v>55.6</v>
      </c>
      <c r="I51" s="100">
        <v>49.6</v>
      </c>
      <c r="J51" s="100">
        <v>44.9</v>
      </c>
      <c r="K51" s="100">
        <v>41.2</v>
      </c>
      <c r="L51" s="100">
        <v>38.1</v>
      </c>
      <c r="M51" s="100">
        <v>35.6</v>
      </c>
      <c r="N51" s="100">
        <v>33.5</v>
      </c>
      <c r="O51" s="100">
        <v>31.7</v>
      </c>
      <c r="P51" s="100">
        <v>30.1</v>
      </c>
      <c r="Q51" s="100">
        <v>28.7</v>
      </c>
      <c r="R51" s="100">
        <v>27.6</v>
      </c>
      <c r="S51" s="100">
        <v>26.5</v>
      </c>
      <c r="T51" s="100">
        <v>25.6</v>
      </c>
      <c r="U51" s="100"/>
    </row>
    <row r="52" spans="1:21" x14ac:dyDescent="0.25">
      <c r="A52" s="99">
        <v>41</v>
      </c>
      <c r="B52" s="100">
        <v>352.6</v>
      </c>
      <c r="C52" s="100">
        <v>179.7</v>
      </c>
      <c r="D52" s="100">
        <v>122.1</v>
      </c>
      <c r="E52" s="100">
        <v>93.4</v>
      </c>
      <c r="F52" s="100">
        <v>76.099999999999994</v>
      </c>
      <c r="G52" s="100">
        <v>64.599999999999994</v>
      </c>
      <c r="H52" s="100">
        <v>56.5</v>
      </c>
      <c r="I52" s="100">
        <v>50.3</v>
      </c>
      <c r="J52" s="100">
        <v>45.6</v>
      </c>
      <c r="K52" s="100">
        <v>41.8</v>
      </c>
      <c r="L52" s="100">
        <v>38.700000000000003</v>
      </c>
      <c r="M52" s="100">
        <v>36.200000000000003</v>
      </c>
      <c r="N52" s="100">
        <v>34</v>
      </c>
      <c r="O52" s="100">
        <v>32.200000000000003</v>
      </c>
      <c r="P52" s="100">
        <v>30.6</v>
      </c>
      <c r="Q52" s="100">
        <v>29.2</v>
      </c>
      <c r="R52" s="100">
        <v>28</v>
      </c>
      <c r="S52" s="100">
        <v>27</v>
      </c>
      <c r="T52" s="100"/>
      <c r="U52" s="100"/>
    </row>
    <row r="53" spans="1:21" x14ac:dyDescent="0.25">
      <c r="A53" s="99">
        <v>42</v>
      </c>
      <c r="B53" s="100">
        <v>357.8</v>
      </c>
      <c r="C53" s="100">
        <v>182.4</v>
      </c>
      <c r="D53" s="100">
        <v>123.9</v>
      </c>
      <c r="E53" s="100">
        <v>94.7</v>
      </c>
      <c r="F53" s="100">
        <v>77.3</v>
      </c>
      <c r="G53" s="100">
        <v>65.599999999999994</v>
      </c>
      <c r="H53" s="100">
        <v>57.3</v>
      </c>
      <c r="I53" s="100">
        <v>51.1</v>
      </c>
      <c r="J53" s="100">
        <v>46.3</v>
      </c>
      <c r="K53" s="100">
        <v>42.5</v>
      </c>
      <c r="L53" s="100">
        <v>39.299999999999997</v>
      </c>
      <c r="M53" s="100">
        <v>36.700000000000003</v>
      </c>
      <c r="N53" s="100">
        <v>34.6</v>
      </c>
      <c r="O53" s="100">
        <v>32.700000000000003</v>
      </c>
      <c r="P53" s="100">
        <v>31.1</v>
      </c>
      <c r="Q53" s="100">
        <v>29.7</v>
      </c>
      <c r="R53" s="100">
        <v>28.5</v>
      </c>
      <c r="S53" s="100"/>
      <c r="T53" s="100"/>
      <c r="U53" s="100"/>
    </row>
    <row r="54" spans="1:21" x14ac:dyDescent="0.25">
      <c r="A54" s="99">
        <v>43</v>
      </c>
      <c r="B54" s="100">
        <v>363.1</v>
      </c>
      <c r="C54" s="100">
        <v>185.1</v>
      </c>
      <c r="D54" s="100">
        <v>125.8</v>
      </c>
      <c r="E54" s="100">
        <v>96.2</v>
      </c>
      <c r="F54" s="100">
        <v>78.400000000000006</v>
      </c>
      <c r="G54" s="100">
        <v>66.599999999999994</v>
      </c>
      <c r="H54" s="100">
        <v>58.2</v>
      </c>
      <c r="I54" s="100">
        <v>51.9</v>
      </c>
      <c r="J54" s="100">
        <v>47</v>
      </c>
      <c r="K54" s="100">
        <v>43.1</v>
      </c>
      <c r="L54" s="100">
        <v>40</v>
      </c>
      <c r="M54" s="100">
        <v>37.299999999999997</v>
      </c>
      <c r="N54" s="100">
        <v>35.1</v>
      </c>
      <c r="O54" s="100">
        <v>33.299999999999997</v>
      </c>
      <c r="P54" s="100">
        <v>31.7</v>
      </c>
      <c r="Q54" s="100">
        <v>30.3</v>
      </c>
      <c r="R54" s="100"/>
      <c r="S54" s="100"/>
      <c r="T54" s="100"/>
      <c r="U54" s="100"/>
    </row>
    <row r="55" spans="1:21" x14ac:dyDescent="0.25">
      <c r="A55" s="99">
        <v>44</v>
      </c>
      <c r="B55" s="100">
        <v>368.4</v>
      </c>
      <c r="C55" s="100">
        <v>187.8</v>
      </c>
      <c r="D55" s="100">
        <v>127.7</v>
      </c>
      <c r="E55" s="100">
        <v>97.6</v>
      </c>
      <c r="F55" s="100">
        <v>79.599999999999994</v>
      </c>
      <c r="G55" s="100">
        <v>67.599999999999994</v>
      </c>
      <c r="H55" s="100">
        <v>59.1</v>
      </c>
      <c r="I55" s="100">
        <v>52.7</v>
      </c>
      <c r="J55" s="100">
        <v>47.8</v>
      </c>
      <c r="K55" s="100">
        <v>43.8</v>
      </c>
      <c r="L55" s="100">
        <v>40.6</v>
      </c>
      <c r="M55" s="100">
        <v>38</v>
      </c>
      <c r="N55" s="100">
        <v>35.700000000000003</v>
      </c>
      <c r="O55" s="100">
        <v>33.799999999999997</v>
      </c>
      <c r="P55" s="100">
        <v>32.200000000000003</v>
      </c>
      <c r="Q55" s="100"/>
      <c r="R55" s="100"/>
      <c r="S55" s="100"/>
      <c r="T55" s="100"/>
      <c r="U55" s="100"/>
    </row>
    <row r="56" spans="1:21" x14ac:dyDescent="0.25">
      <c r="A56" s="99">
        <v>45</v>
      </c>
      <c r="B56" s="100">
        <v>373.8</v>
      </c>
      <c r="C56" s="100">
        <v>190.6</v>
      </c>
      <c r="D56" s="100">
        <v>129.6</v>
      </c>
      <c r="E56" s="100">
        <v>99.1</v>
      </c>
      <c r="F56" s="100">
        <v>80.8</v>
      </c>
      <c r="G56" s="100">
        <v>68.7</v>
      </c>
      <c r="H56" s="100">
        <v>60</v>
      </c>
      <c r="I56" s="100">
        <v>53.5</v>
      </c>
      <c r="J56" s="100">
        <v>48.5</v>
      </c>
      <c r="K56" s="100">
        <v>44.5</v>
      </c>
      <c r="L56" s="100">
        <v>41.3</v>
      </c>
      <c r="M56" s="100">
        <v>38.6</v>
      </c>
      <c r="N56" s="100">
        <v>36.4</v>
      </c>
      <c r="O56" s="100">
        <v>34.4</v>
      </c>
      <c r="P56" s="100"/>
      <c r="Q56" s="100"/>
      <c r="R56" s="100"/>
      <c r="S56" s="100"/>
      <c r="T56" s="100"/>
      <c r="U56" s="100"/>
    </row>
    <row r="57" spans="1:21" x14ac:dyDescent="0.25">
      <c r="A57" s="99">
        <v>46</v>
      </c>
      <c r="B57" s="100">
        <v>379.4</v>
      </c>
      <c r="C57" s="100">
        <v>193.4</v>
      </c>
      <c r="D57" s="100">
        <v>131.5</v>
      </c>
      <c r="E57" s="100">
        <v>100.6</v>
      </c>
      <c r="F57" s="100">
        <v>82</v>
      </c>
      <c r="G57" s="100">
        <v>69.7</v>
      </c>
      <c r="H57" s="100">
        <v>61</v>
      </c>
      <c r="I57" s="100">
        <v>54.4</v>
      </c>
      <c r="J57" s="100">
        <v>49.3</v>
      </c>
      <c r="K57" s="100">
        <v>45.3</v>
      </c>
      <c r="L57" s="100">
        <v>42</v>
      </c>
      <c r="M57" s="100">
        <v>39.299999999999997</v>
      </c>
      <c r="N57" s="100">
        <v>37</v>
      </c>
      <c r="O57" s="100"/>
      <c r="P57" s="100"/>
      <c r="Q57" s="100"/>
      <c r="R57" s="100"/>
      <c r="S57" s="100"/>
      <c r="T57" s="100"/>
      <c r="U57" s="100"/>
    </row>
    <row r="58" spans="1:21" x14ac:dyDescent="0.25">
      <c r="A58" s="99">
        <v>47</v>
      </c>
      <c r="B58" s="100">
        <v>385</v>
      </c>
      <c r="C58" s="100">
        <v>196.3</v>
      </c>
      <c r="D58" s="100">
        <v>133.5</v>
      </c>
      <c r="E58" s="100">
        <v>102.1</v>
      </c>
      <c r="F58" s="100">
        <v>83.3</v>
      </c>
      <c r="G58" s="100">
        <v>70.8</v>
      </c>
      <c r="H58" s="100">
        <v>61.9</v>
      </c>
      <c r="I58" s="100">
        <v>55.3</v>
      </c>
      <c r="J58" s="100">
        <v>50.2</v>
      </c>
      <c r="K58" s="100">
        <v>46.1</v>
      </c>
      <c r="L58" s="100">
        <v>42.8</v>
      </c>
      <c r="M58" s="100">
        <v>40</v>
      </c>
      <c r="N58" s="100"/>
      <c r="O58" s="100"/>
      <c r="P58" s="100"/>
      <c r="Q58" s="100"/>
      <c r="R58" s="100"/>
      <c r="S58" s="100"/>
      <c r="T58" s="100"/>
      <c r="U58" s="100"/>
    </row>
    <row r="59" spans="1:21" x14ac:dyDescent="0.25">
      <c r="A59" s="99">
        <v>48</v>
      </c>
      <c r="B59" s="100">
        <v>390.8</v>
      </c>
      <c r="C59" s="100">
        <v>199.3</v>
      </c>
      <c r="D59" s="100">
        <v>135.5</v>
      </c>
      <c r="E59" s="100">
        <v>103.7</v>
      </c>
      <c r="F59" s="100">
        <v>84.7</v>
      </c>
      <c r="G59" s="100">
        <v>72</v>
      </c>
      <c r="H59" s="100">
        <v>63</v>
      </c>
      <c r="I59" s="100">
        <v>56.3</v>
      </c>
      <c r="J59" s="100">
        <v>51</v>
      </c>
      <c r="K59" s="100">
        <v>46.9</v>
      </c>
      <c r="L59" s="100">
        <v>43.5</v>
      </c>
      <c r="M59" s="100"/>
      <c r="N59" s="100"/>
      <c r="O59" s="100"/>
      <c r="P59" s="100"/>
      <c r="Q59" s="100"/>
      <c r="R59" s="100"/>
      <c r="S59" s="100"/>
      <c r="T59" s="100"/>
      <c r="U59" s="100"/>
    </row>
    <row r="60" spans="1:21" x14ac:dyDescent="0.25">
      <c r="A60" s="99">
        <v>49</v>
      </c>
      <c r="B60" s="100">
        <v>396.7</v>
      </c>
      <c r="C60" s="100">
        <v>202.4</v>
      </c>
      <c r="D60" s="100">
        <v>137.69999999999999</v>
      </c>
      <c r="E60" s="100">
        <v>105.4</v>
      </c>
      <c r="F60" s="100">
        <v>86.1</v>
      </c>
      <c r="G60" s="100">
        <v>73.2</v>
      </c>
      <c r="H60" s="100">
        <v>64.099999999999994</v>
      </c>
      <c r="I60" s="100">
        <v>57.3</v>
      </c>
      <c r="J60" s="100">
        <v>52</v>
      </c>
      <c r="K60" s="100">
        <v>47.8</v>
      </c>
      <c r="L60" s="100"/>
      <c r="M60" s="100"/>
      <c r="N60" s="100"/>
      <c r="O60" s="100"/>
      <c r="P60" s="100"/>
      <c r="Q60" s="100"/>
      <c r="R60" s="100"/>
      <c r="S60" s="100"/>
      <c r="T60" s="100"/>
      <c r="U60" s="100"/>
    </row>
    <row r="61" spans="1:21" x14ac:dyDescent="0.25">
      <c r="A61" s="99">
        <v>50</v>
      </c>
      <c r="B61" s="100">
        <v>402.8</v>
      </c>
      <c r="C61" s="100">
        <v>205.6</v>
      </c>
      <c r="D61" s="100">
        <v>139.9</v>
      </c>
      <c r="E61" s="100">
        <v>107.2</v>
      </c>
      <c r="F61" s="100">
        <v>87.5</v>
      </c>
      <c r="G61" s="100">
        <v>74.5</v>
      </c>
      <c r="H61" s="100">
        <v>65.2</v>
      </c>
      <c r="I61" s="100">
        <v>58.3</v>
      </c>
      <c r="J61" s="100">
        <v>53</v>
      </c>
      <c r="K61" s="100"/>
      <c r="L61" s="100"/>
      <c r="M61" s="100"/>
      <c r="N61" s="100"/>
      <c r="O61" s="100"/>
      <c r="P61" s="100"/>
      <c r="Q61" s="100"/>
      <c r="R61" s="100"/>
      <c r="S61" s="100"/>
      <c r="T61" s="100"/>
      <c r="U61" s="100"/>
    </row>
    <row r="62" spans="1:21" x14ac:dyDescent="0.25">
      <c r="A62" s="99">
        <v>51</v>
      </c>
      <c r="B62" s="100">
        <v>409.1</v>
      </c>
      <c r="C62" s="100">
        <v>208.9</v>
      </c>
      <c r="D62" s="100">
        <v>142.30000000000001</v>
      </c>
      <c r="E62" s="100">
        <v>109</v>
      </c>
      <c r="F62" s="100">
        <v>89.1</v>
      </c>
      <c r="G62" s="100">
        <v>75.900000000000006</v>
      </c>
      <c r="H62" s="100">
        <v>66.5</v>
      </c>
      <c r="I62" s="100">
        <v>59.4</v>
      </c>
      <c r="J62" s="100"/>
      <c r="K62" s="100"/>
      <c r="L62" s="100"/>
      <c r="M62" s="100"/>
      <c r="N62" s="100"/>
      <c r="O62" s="100"/>
      <c r="P62" s="100"/>
      <c r="Q62" s="100"/>
      <c r="R62" s="100"/>
      <c r="S62" s="100"/>
      <c r="T62" s="100"/>
      <c r="U62" s="100"/>
    </row>
    <row r="63" spans="1:21" x14ac:dyDescent="0.25">
      <c r="A63" s="99">
        <v>52</v>
      </c>
      <c r="B63" s="100">
        <v>415.6</v>
      </c>
      <c r="C63" s="100">
        <v>212.3</v>
      </c>
      <c r="D63" s="100">
        <v>144.6</v>
      </c>
      <c r="E63" s="100">
        <v>110.9</v>
      </c>
      <c r="F63" s="100">
        <v>90.7</v>
      </c>
      <c r="G63" s="100">
        <v>77.2</v>
      </c>
      <c r="H63" s="100">
        <v>67.7</v>
      </c>
      <c r="I63" s="100"/>
      <c r="J63" s="100"/>
      <c r="K63" s="100"/>
      <c r="L63" s="100"/>
      <c r="M63" s="100"/>
      <c r="N63" s="100"/>
      <c r="O63" s="100"/>
      <c r="P63" s="100"/>
      <c r="Q63" s="100"/>
      <c r="R63" s="100"/>
      <c r="S63" s="100"/>
      <c r="T63" s="100"/>
      <c r="U63" s="100"/>
    </row>
    <row r="64" spans="1:21" x14ac:dyDescent="0.25">
      <c r="A64" s="99">
        <v>53</v>
      </c>
      <c r="B64" s="100">
        <v>422.2</v>
      </c>
      <c r="C64" s="100">
        <v>215.8</v>
      </c>
      <c r="D64" s="100">
        <v>147.1</v>
      </c>
      <c r="E64" s="100">
        <v>112.8</v>
      </c>
      <c r="F64" s="100">
        <v>92.3</v>
      </c>
      <c r="G64" s="100">
        <v>78.7</v>
      </c>
      <c r="H64" s="100"/>
      <c r="I64" s="100"/>
      <c r="J64" s="100"/>
      <c r="K64" s="100"/>
      <c r="L64" s="100"/>
      <c r="M64" s="100"/>
      <c r="N64" s="100"/>
      <c r="O64" s="100"/>
      <c r="P64" s="100"/>
      <c r="Q64" s="100"/>
      <c r="R64" s="100"/>
      <c r="S64" s="100"/>
      <c r="T64" s="100"/>
      <c r="U64" s="100"/>
    </row>
    <row r="65" spans="1:21" x14ac:dyDescent="0.25">
      <c r="A65" s="99">
        <v>54</v>
      </c>
      <c r="B65" s="100">
        <v>429</v>
      </c>
      <c r="C65" s="100">
        <v>219.4</v>
      </c>
      <c r="D65" s="100">
        <v>149.6</v>
      </c>
      <c r="E65" s="100">
        <v>114.8</v>
      </c>
      <c r="F65" s="100">
        <v>94</v>
      </c>
      <c r="G65" s="100"/>
      <c r="H65" s="100"/>
      <c r="I65" s="100"/>
      <c r="J65" s="100"/>
      <c r="K65" s="100"/>
      <c r="L65" s="100"/>
      <c r="M65" s="100"/>
      <c r="N65" s="100"/>
      <c r="O65" s="100"/>
      <c r="P65" s="100"/>
      <c r="Q65" s="100"/>
      <c r="R65" s="100"/>
      <c r="S65" s="100"/>
      <c r="T65" s="100"/>
      <c r="U65" s="100"/>
    </row>
    <row r="66" spans="1:21" x14ac:dyDescent="0.25">
      <c r="A66" s="99">
        <v>55</v>
      </c>
      <c r="B66" s="100">
        <v>436.1</v>
      </c>
      <c r="C66" s="100">
        <v>223.1</v>
      </c>
      <c r="D66" s="100">
        <v>152.19999999999999</v>
      </c>
      <c r="E66" s="100">
        <v>116.9</v>
      </c>
      <c r="F66" s="100"/>
      <c r="G66" s="100"/>
      <c r="H66" s="100"/>
      <c r="I66" s="100"/>
      <c r="J66" s="100"/>
      <c r="K66" s="100"/>
      <c r="L66" s="100"/>
      <c r="M66" s="100"/>
      <c r="N66" s="100"/>
      <c r="O66" s="100"/>
      <c r="P66" s="100"/>
      <c r="Q66" s="100"/>
      <c r="R66" s="100"/>
      <c r="S66" s="100"/>
      <c r="T66" s="100"/>
      <c r="U66" s="100"/>
    </row>
    <row r="67" spans="1:21" x14ac:dyDescent="0.25">
      <c r="A67" s="99">
        <v>56</v>
      </c>
      <c r="B67" s="100">
        <v>443.5</v>
      </c>
      <c r="C67" s="100">
        <v>227</v>
      </c>
      <c r="D67" s="100">
        <v>155</v>
      </c>
      <c r="E67" s="100"/>
      <c r="F67" s="100"/>
      <c r="G67" s="100"/>
      <c r="H67" s="100"/>
      <c r="I67" s="100"/>
      <c r="J67" s="100"/>
      <c r="K67" s="100"/>
      <c r="L67" s="100"/>
      <c r="M67" s="100"/>
      <c r="N67" s="100"/>
      <c r="O67" s="100"/>
      <c r="P67" s="100"/>
      <c r="Q67" s="100"/>
      <c r="R67" s="100"/>
      <c r="S67" s="100"/>
      <c r="T67" s="100"/>
      <c r="U67" s="100"/>
    </row>
    <row r="68" spans="1:21" x14ac:dyDescent="0.25">
      <c r="A68" s="99">
        <v>57</v>
      </c>
      <c r="B68" s="100">
        <v>451.3</v>
      </c>
      <c r="C68" s="100">
        <v>231.1</v>
      </c>
      <c r="D68" s="100"/>
      <c r="E68" s="100"/>
      <c r="F68" s="100"/>
      <c r="G68" s="100"/>
      <c r="H68" s="100"/>
      <c r="I68" s="100"/>
      <c r="J68" s="100"/>
      <c r="K68" s="100"/>
      <c r="L68" s="100"/>
      <c r="M68" s="100"/>
      <c r="N68" s="100"/>
      <c r="O68" s="100"/>
      <c r="P68" s="100"/>
      <c r="Q68" s="100"/>
      <c r="R68" s="100"/>
      <c r="S68" s="100"/>
      <c r="T68" s="100"/>
      <c r="U68" s="100"/>
    </row>
    <row r="69" spans="1:21" x14ac:dyDescent="0.25">
      <c r="A69" s="99">
        <v>58</v>
      </c>
      <c r="B69" s="100">
        <v>459.4</v>
      </c>
      <c r="C69" s="100"/>
      <c r="D69" s="100"/>
      <c r="E69" s="100"/>
      <c r="F69" s="100"/>
      <c r="G69" s="100"/>
      <c r="H69" s="100"/>
      <c r="I69" s="100"/>
      <c r="J69" s="100"/>
      <c r="K69" s="100"/>
      <c r="L69" s="100"/>
      <c r="M69" s="100"/>
      <c r="N69" s="100"/>
      <c r="O69" s="100"/>
      <c r="P69" s="100"/>
      <c r="Q69" s="100"/>
      <c r="R69" s="100"/>
      <c r="S69" s="100"/>
      <c r="T69" s="100"/>
      <c r="U69" s="100"/>
    </row>
  </sheetData>
  <sheetProtection algorithmName="SHA-512" hashValue="+RNMirZQkTciZdpAhMeIho0l2yCEZ8+Yu7wblCuAnqSgQ4FAxFdpNSdb19ZalGrKIY+arzKGCC6A/PBm0GlrdQ==" saltValue="qFtZepOlanup4f4HoQFS2g==" spinCount="100000" sheet="1" objects="1" scenarios="1"/>
  <conditionalFormatting sqref="A6:A21">
    <cfRule type="expression" dxfId="467" priority="13" stopIfTrue="1">
      <formula>MOD(ROW(),2)=0</formula>
    </cfRule>
    <cfRule type="expression" dxfId="466" priority="14" stopIfTrue="1">
      <formula>MOD(ROW(),2)&lt;&gt;0</formula>
    </cfRule>
  </conditionalFormatting>
  <conditionalFormatting sqref="A26:A69">
    <cfRule type="expression" dxfId="465" priority="3" stopIfTrue="1">
      <formula>MOD(ROW(),2)=0</formula>
    </cfRule>
    <cfRule type="expression" dxfId="464" priority="4" stopIfTrue="1">
      <formula>MOD(ROW(),2)&lt;&gt;0</formula>
    </cfRule>
  </conditionalFormatting>
  <conditionalFormatting sqref="B17:B21">
    <cfRule type="expression" dxfId="463" priority="1" stopIfTrue="1">
      <formula>MOD(ROW(),2)=0</formula>
    </cfRule>
    <cfRule type="expression" dxfId="462" priority="2" stopIfTrue="1">
      <formula>MOD(ROW(),2)&lt;&gt;0</formula>
    </cfRule>
  </conditionalFormatting>
  <conditionalFormatting sqref="B6:U21">
    <cfRule type="expression" dxfId="461" priority="23" stopIfTrue="1">
      <formula>MOD(ROW(),2)=0</formula>
    </cfRule>
    <cfRule type="expression" dxfId="460" priority="24" stopIfTrue="1">
      <formula>MOD(ROW(),2)&lt;&gt;0</formula>
    </cfRule>
  </conditionalFormatting>
  <conditionalFormatting sqref="B26:U69">
    <cfRule type="expression" dxfId="459" priority="5" stopIfTrue="1">
      <formula>MOD(ROW(),2)=0</formula>
    </cfRule>
    <cfRule type="expression" dxfId="458" priority="6" stopIfTrue="1">
      <formula>MOD(ROW(),2)&lt;&gt;0</formula>
    </cfRule>
  </conditionalFormatting>
  <hyperlinks>
    <hyperlink ref="B24" location="Assumptions!A1" display="Assumptions" xr:uid="{FD4BAF03-E4B5-43FA-930D-67385F7817D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91"/>
  <dimension ref="A1:V158"/>
  <sheetViews>
    <sheetView showGridLines="0" zoomScale="85" zoomScaleNormal="85" workbookViewId="0">
      <selection activeCell="A4" sqref="A4"/>
    </sheetView>
  </sheetViews>
  <sheetFormatPr defaultColWidth="10" defaultRowHeight="12.5" x14ac:dyDescent="0.25"/>
  <cols>
    <col min="1" max="1" width="31.90625" style="25" customWidth="1"/>
    <col min="2" max="21" width="22.90625" style="25" customWidth="1"/>
    <col min="22" max="16384" width="10" style="25"/>
  </cols>
  <sheetData>
    <row r="1" spans="1:21" ht="20" x14ac:dyDescent="0.4">
      <c r="A1" s="36" t="s">
        <v>0</v>
      </c>
      <c r="B1" s="37"/>
      <c r="C1" s="37"/>
      <c r="D1" s="37"/>
      <c r="E1" s="37"/>
      <c r="F1" s="37"/>
      <c r="G1" s="37"/>
      <c r="H1" s="37"/>
      <c r="I1" s="37"/>
    </row>
    <row r="2" spans="1:21" ht="15.5" x14ac:dyDescent="0.35">
      <c r="A2" s="38" t="str">
        <f>IF(title="&gt; Enter workbook title here","Enter workbook title in Cover sheet",title)</f>
        <v>NHSPS_NI - Consolidated Factor Spreadsheet</v>
      </c>
      <c r="B2" s="39"/>
      <c r="C2" s="39"/>
      <c r="D2" s="39"/>
      <c r="E2" s="39"/>
      <c r="F2" s="39"/>
      <c r="G2" s="39"/>
      <c r="H2" s="39"/>
      <c r="I2" s="39"/>
    </row>
    <row r="3" spans="1:21" ht="15.5" x14ac:dyDescent="0.35">
      <c r="A3" s="40" t="str">
        <f>TABLE_FACTOR_TYPE_1&amp;" - x-"&amp;TABLE_SERIES_NUMBER_1</f>
        <v>Added pension - x-705</v>
      </c>
      <c r="B3" s="39"/>
      <c r="C3" s="39"/>
      <c r="D3" s="39"/>
      <c r="E3" s="39"/>
      <c r="F3" s="39"/>
      <c r="G3" s="39"/>
      <c r="H3" s="39"/>
      <c r="I3" s="39"/>
    </row>
    <row r="4" spans="1:21" x14ac:dyDescent="0.25">
      <c r="A4" s="41"/>
    </row>
    <row r="6" spans="1:21" ht="13" x14ac:dyDescent="0.3">
      <c r="A6" s="163" t="s">
        <v>276</v>
      </c>
      <c r="B6" s="107" t="s">
        <v>277</v>
      </c>
      <c r="C6" s="107"/>
      <c r="D6" s="107"/>
      <c r="E6" s="107"/>
      <c r="F6" s="107"/>
      <c r="G6" s="107"/>
      <c r="H6" s="107"/>
      <c r="I6" s="107"/>
      <c r="J6" s="107"/>
      <c r="K6" s="107"/>
      <c r="L6" s="107"/>
      <c r="M6" s="107"/>
      <c r="N6" s="107"/>
      <c r="O6" s="107"/>
      <c r="P6" s="107"/>
      <c r="Q6" s="107"/>
      <c r="R6" s="107"/>
      <c r="S6" s="107"/>
      <c r="T6" s="107"/>
      <c r="U6" s="107"/>
    </row>
    <row r="7" spans="1:21" x14ac:dyDescent="0.25">
      <c r="A7" s="69" t="s">
        <v>278</v>
      </c>
      <c r="B7" s="107" t="s">
        <v>310</v>
      </c>
      <c r="C7" s="107"/>
      <c r="D7" s="107"/>
      <c r="E7" s="107"/>
      <c r="F7" s="107"/>
      <c r="G7" s="107"/>
      <c r="H7" s="107"/>
      <c r="I7" s="107"/>
      <c r="J7" s="107"/>
      <c r="K7" s="107"/>
      <c r="L7" s="107"/>
      <c r="M7" s="107"/>
      <c r="N7" s="107"/>
      <c r="O7" s="107"/>
      <c r="P7" s="107"/>
      <c r="Q7" s="107"/>
      <c r="R7" s="107"/>
      <c r="S7" s="107"/>
      <c r="T7" s="107"/>
      <c r="U7" s="107"/>
    </row>
    <row r="8" spans="1:21" x14ac:dyDescent="0.25">
      <c r="A8" s="69" t="s">
        <v>280</v>
      </c>
      <c r="B8" s="107" t="s">
        <v>363</v>
      </c>
      <c r="C8" s="107"/>
      <c r="D8" s="107"/>
      <c r="E8" s="107"/>
      <c r="F8" s="107"/>
      <c r="G8" s="107"/>
      <c r="H8" s="107"/>
      <c r="I8" s="107"/>
      <c r="J8" s="107"/>
      <c r="K8" s="107"/>
      <c r="L8" s="107"/>
      <c r="M8" s="107"/>
      <c r="N8" s="107"/>
      <c r="O8" s="107"/>
      <c r="P8" s="107"/>
      <c r="Q8" s="107"/>
      <c r="R8" s="107"/>
      <c r="S8" s="107"/>
      <c r="T8" s="107"/>
      <c r="U8" s="107"/>
    </row>
    <row r="9" spans="1:21" x14ac:dyDescent="0.25">
      <c r="A9" s="69" t="s">
        <v>282</v>
      </c>
      <c r="B9" s="107" t="s">
        <v>514</v>
      </c>
      <c r="C9" s="107"/>
      <c r="D9" s="107"/>
      <c r="E9" s="107"/>
      <c r="F9" s="107"/>
      <c r="G9" s="107"/>
      <c r="H9" s="107"/>
      <c r="I9" s="107"/>
      <c r="J9" s="107"/>
      <c r="K9" s="107"/>
      <c r="L9" s="107"/>
      <c r="M9" s="107"/>
      <c r="N9" s="107"/>
      <c r="O9" s="107"/>
      <c r="P9" s="107"/>
      <c r="Q9" s="107"/>
      <c r="R9" s="107"/>
      <c r="S9" s="107"/>
      <c r="T9" s="107"/>
      <c r="U9" s="107"/>
    </row>
    <row r="10" spans="1:21" x14ac:dyDescent="0.25">
      <c r="A10" s="69" t="s">
        <v>6</v>
      </c>
      <c r="B10" s="107" t="s">
        <v>523</v>
      </c>
      <c r="C10" s="107"/>
      <c r="D10" s="107"/>
      <c r="E10" s="107"/>
      <c r="F10" s="107"/>
      <c r="G10" s="107"/>
      <c r="H10" s="107"/>
      <c r="I10" s="107"/>
      <c r="J10" s="107"/>
      <c r="K10" s="107"/>
      <c r="L10" s="107"/>
      <c r="M10" s="107"/>
      <c r="N10" s="107"/>
      <c r="O10" s="107"/>
      <c r="P10" s="107"/>
      <c r="Q10" s="107"/>
      <c r="R10" s="107"/>
      <c r="S10" s="107"/>
      <c r="T10" s="107"/>
      <c r="U10" s="107"/>
    </row>
    <row r="11" spans="1:21" x14ac:dyDescent="0.25">
      <c r="A11" s="69" t="s">
        <v>285</v>
      </c>
      <c r="B11" s="107" t="s">
        <v>359</v>
      </c>
      <c r="C11" s="107"/>
      <c r="D11" s="107"/>
      <c r="E11" s="107"/>
      <c r="F11" s="107"/>
      <c r="G11" s="107"/>
      <c r="H11" s="107"/>
      <c r="I11" s="107"/>
      <c r="J11" s="107"/>
      <c r="K11" s="107"/>
      <c r="L11" s="107"/>
      <c r="M11" s="107"/>
      <c r="N11" s="107"/>
      <c r="O11" s="107"/>
      <c r="P11" s="107"/>
      <c r="Q11" s="107"/>
      <c r="R11" s="107"/>
      <c r="S11" s="107"/>
      <c r="T11" s="107"/>
      <c r="U11" s="107"/>
    </row>
    <row r="12" spans="1:21" x14ac:dyDescent="0.25">
      <c r="A12" s="69" t="s">
        <v>287</v>
      </c>
      <c r="B12" s="107" t="s">
        <v>520</v>
      </c>
      <c r="C12" s="107"/>
      <c r="D12" s="107"/>
      <c r="E12" s="107"/>
      <c r="F12" s="107"/>
      <c r="G12" s="107"/>
      <c r="H12" s="107"/>
      <c r="I12" s="107"/>
      <c r="J12" s="107"/>
      <c r="K12" s="107"/>
      <c r="L12" s="107"/>
      <c r="M12" s="107"/>
      <c r="N12" s="107"/>
      <c r="O12" s="107"/>
      <c r="P12" s="107"/>
      <c r="Q12" s="107"/>
      <c r="R12" s="107"/>
      <c r="S12" s="107"/>
      <c r="T12" s="107"/>
      <c r="U12" s="107"/>
    </row>
    <row r="13" spans="1:21" x14ac:dyDescent="0.25">
      <c r="A13" s="69" t="s">
        <v>289</v>
      </c>
      <c r="B13" s="107">
        <v>1</v>
      </c>
      <c r="C13" s="107"/>
      <c r="D13" s="107"/>
      <c r="E13" s="107"/>
      <c r="F13" s="107"/>
      <c r="G13" s="107"/>
      <c r="H13" s="107"/>
      <c r="I13" s="107"/>
      <c r="J13" s="107"/>
      <c r="K13" s="107"/>
      <c r="L13" s="107"/>
      <c r="M13" s="107"/>
      <c r="N13" s="107"/>
      <c r="O13" s="107"/>
      <c r="P13" s="107"/>
      <c r="Q13" s="107"/>
      <c r="R13" s="107"/>
      <c r="S13" s="107"/>
      <c r="T13" s="107"/>
      <c r="U13" s="107"/>
    </row>
    <row r="14" spans="1:21" x14ac:dyDescent="0.25">
      <c r="A14" s="69" t="s">
        <v>291</v>
      </c>
      <c r="B14" s="107">
        <v>705</v>
      </c>
      <c r="C14" s="107"/>
      <c r="D14" s="107"/>
      <c r="E14" s="107"/>
      <c r="F14" s="107"/>
      <c r="G14" s="107"/>
      <c r="H14" s="107"/>
      <c r="I14" s="107"/>
      <c r="J14" s="107"/>
      <c r="K14" s="107"/>
      <c r="L14" s="107"/>
      <c r="M14" s="107"/>
      <c r="N14" s="107"/>
      <c r="O14" s="107"/>
      <c r="P14" s="107"/>
      <c r="Q14" s="107"/>
      <c r="R14" s="107"/>
      <c r="S14" s="107"/>
      <c r="T14" s="107"/>
      <c r="U14" s="107"/>
    </row>
    <row r="15" spans="1:21" x14ac:dyDescent="0.25">
      <c r="A15" s="69" t="s">
        <v>293</v>
      </c>
      <c r="B15" s="107" t="s">
        <v>524</v>
      </c>
      <c r="C15" s="107"/>
      <c r="D15" s="107"/>
      <c r="E15" s="107"/>
      <c r="F15" s="107"/>
      <c r="G15" s="107"/>
      <c r="H15" s="107"/>
      <c r="I15" s="107"/>
      <c r="J15" s="107"/>
      <c r="K15" s="107"/>
      <c r="L15" s="107"/>
      <c r="M15" s="107"/>
      <c r="N15" s="107"/>
      <c r="O15" s="107"/>
      <c r="P15" s="107"/>
      <c r="Q15" s="107"/>
      <c r="R15" s="107"/>
      <c r="S15" s="107"/>
      <c r="T15" s="107"/>
      <c r="U15" s="107"/>
    </row>
    <row r="16" spans="1:21" x14ac:dyDescent="0.25">
      <c r="A16" s="69" t="s">
        <v>295</v>
      </c>
      <c r="B16" s="107" t="s">
        <v>525</v>
      </c>
      <c r="C16" s="107"/>
      <c r="D16" s="107"/>
      <c r="E16" s="107"/>
      <c r="F16" s="107"/>
      <c r="G16" s="107"/>
      <c r="H16" s="107"/>
      <c r="I16" s="107"/>
      <c r="J16" s="107"/>
      <c r="K16" s="107"/>
      <c r="L16" s="107"/>
      <c r="M16" s="107"/>
      <c r="N16" s="107"/>
      <c r="O16" s="107"/>
      <c r="P16" s="107"/>
      <c r="Q16" s="107"/>
      <c r="R16" s="107"/>
      <c r="S16" s="107"/>
      <c r="T16" s="107"/>
      <c r="U16" s="107"/>
    </row>
    <row r="17" spans="1:21" x14ac:dyDescent="0.25">
      <c r="A17" s="69" t="s">
        <v>725</v>
      </c>
      <c r="B17" s="107"/>
      <c r="C17" s="107"/>
      <c r="D17" s="107"/>
      <c r="E17" s="107"/>
      <c r="F17" s="107"/>
      <c r="G17" s="107"/>
      <c r="H17" s="107"/>
      <c r="I17" s="107"/>
      <c r="J17" s="107"/>
      <c r="K17" s="107"/>
      <c r="L17" s="107"/>
      <c r="M17" s="107"/>
      <c r="N17" s="107"/>
      <c r="O17" s="107"/>
      <c r="P17" s="107"/>
      <c r="Q17" s="107"/>
      <c r="R17" s="107"/>
      <c r="S17" s="107"/>
      <c r="T17" s="107"/>
      <c r="U17" s="107"/>
    </row>
    <row r="18" spans="1:21" x14ac:dyDescent="0.25">
      <c r="A18" s="85" t="s">
        <v>299</v>
      </c>
      <c r="B18" s="164">
        <v>45202</v>
      </c>
      <c r="C18" s="107"/>
      <c r="D18" s="107"/>
      <c r="E18" s="107"/>
      <c r="F18" s="107"/>
      <c r="G18" s="107"/>
      <c r="H18" s="107"/>
      <c r="I18" s="107"/>
      <c r="J18" s="107"/>
      <c r="K18" s="107"/>
      <c r="L18" s="107"/>
      <c r="M18" s="107"/>
      <c r="N18" s="107"/>
      <c r="O18" s="107"/>
      <c r="P18" s="107"/>
      <c r="Q18" s="107"/>
      <c r="R18" s="107"/>
      <c r="S18" s="107"/>
      <c r="T18" s="107"/>
      <c r="U18" s="107"/>
    </row>
    <row r="19" spans="1:21" x14ac:dyDescent="0.25">
      <c r="A19" s="85" t="s">
        <v>301</v>
      </c>
      <c r="B19" s="164">
        <v>45202</v>
      </c>
      <c r="C19" s="107"/>
      <c r="D19" s="107"/>
      <c r="E19" s="107"/>
      <c r="F19" s="107"/>
      <c r="G19" s="107"/>
      <c r="H19" s="107"/>
      <c r="I19" s="107"/>
      <c r="J19" s="107"/>
      <c r="K19" s="107"/>
      <c r="L19" s="107"/>
      <c r="M19" s="107"/>
      <c r="N19" s="107"/>
      <c r="O19" s="107"/>
      <c r="P19" s="107"/>
      <c r="Q19" s="107"/>
      <c r="R19" s="107"/>
      <c r="S19" s="107"/>
      <c r="T19" s="107"/>
      <c r="U19" s="107"/>
    </row>
    <row r="20" spans="1:21" x14ac:dyDescent="0.25">
      <c r="A20" s="85" t="s">
        <v>303</v>
      </c>
      <c r="B20" s="107" t="s">
        <v>317</v>
      </c>
      <c r="C20" s="107"/>
      <c r="D20" s="107"/>
      <c r="E20" s="107"/>
      <c r="F20" s="107"/>
      <c r="G20" s="107"/>
      <c r="H20" s="107"/>
      <c r="I20" s="107"/>
      <c r="J20" s="107"/>
      <c r="K20" s="107"/>
      <c r="L20" s="107"/>
      <c r="M20" s="107"/>
      <c r="N20" s="107"/>
      <c r="O20" s="107"/>
      <c r="P20" s="107"/>
      <c r="Q20" s="107"/>
      <c r="R20" s="107"/>
      <c r="S20" s="107"/>
      <c r="T20" s="107"/>
      <c r="U20" s="107"/>
    </row>
    <row r="21" spans="1:21" x14ac:dyDescent="0.25">
      <c r="A21" s="85" t="s">
        <v>309</v>
      </c>
      <c r="B21" s="107" t="s">
        <v>318</v>
      </c>
      <c r="C21" s="107"/>
      <c r="D21" s="107"/>
      <c r="E21" s="107"/>
      <c r="F21" s="107"/>
      <c r="G21" s="107"/>
      <c r="H21" s="107"/>
      <c r="I21" s="107"/>
      <c r="J21" s="107"/>
      <c r="K21" s="107"/>
      <c r="L21" s="107"/>
      <c r="M21" s="107"/>
      <c r="N21" s="107"/>
      <c r="O21" s="107"/>
      <c r="P21" s="107"/>
      <c r="Q21" s="107"/>
      <c r="R21" s="107"/>
      <c r="S21" s="107"/>
      <c r="T21" s="107"/>
      <c r="U21" s="107"/>
    </row>
    <row r="23" spans="1:21" x14ac:dyDescent="0.25">
      <c r="B23" s="103" t="str">
        <f>HYPERLINK("#'Factor List'!A1","Back to Factor List")</f>
        <v>Back to Factor List</v>
      </c>
    </row>
    <row r="24" spans="1:21" x14ac:dyDescent="0.25">
      <c r="B24" s="103" t="s">
        <v>15</v>
      </c>
    </row>
    <row r="26" spans="1:21" ht="13" x14ac:dyDescent="0.25">
      <c r="A26" s="98" t="s">
        <v>408</v>
      </c>
      <c r="B26" s="98" t="s">
        <v>778</v>
      </c>
      <c r="C26" s="98" t="s">
        <v>779</v>
      </c>
      <c r="D26" s="98" t="s">
        <v>780</v>
      </c>
      <c r="E26" s="98" t="s">
        <v>781</v>
      </c>
      <c r="F26" s="98" t="s">
        <v>782</v>
      </c>
      <c r="G26" s="98" t="s">
        <v>783</v>
      </c>
      <c r="H26" s="98" t="s">
        <v>784</v>
      </c>
      <c r="I26" s="98" t="s">
        <v>785</v>
      </c>
      <c r="J26" s="98" t="s">
        <v>786</v>
      </c>
      <c r="K26" s="98" t="s">
        <v>787</v>
      </c>
      <c r="L26" s="98" t="s">
        <v>788</v>
      </c>
      <c r="M26" s="98" t="s">
        <v>789</v>
      </c>
      <c r="N26" s="98" t="s">
        <v>790</v>
      </c>
      <c r="O26" s="98" t="s">
        <v>791</v>
      </c>
      <c r="P26" s="98" t="s">
        <v>792</v>
      </c>
      <c r="Q26" s="98" t="s">
        <v>793</v>
      </c>
      <c r="R26" s="98" t="s">
        <v>794</v>
      </c>
      <c r="S26" s="98" t="s">
        <v>795</v>
      </c>
      <c r="T26" s="98" t="s">
        <v>796</v>
      </c>
      <c r="U26" s="98" t="s">
        <v>797</v>
      </c>
    </row>
    <row r="27" spans="1:21" x14ac:dyDescent="0.25">
      <c r="A27" s="99">
        <v>16</v>
      </c>
      <c r="B27" s="100">
        <v>258.5</v>
      </c>
      <c r="C27" s="100">
        <v>131.6</v>
      </c>
      <c r="D27" s="100">
        <v>89.4</v>
      </c>
      <c r="E27" s="100">
        <v>68.3</v>
      </c>
      <c r="F27" s="100">
        <v>55.6</v>
      </c>
      <c r="G27" s="100">
        <v>47.2</v>
      </c>
      <c r="H27" s="100">
        <v>41.2</v>
      </c>
      <c r="I27" s="100">
        <v>36.700000000000003</v>
      </c>
      <c r="J27" s="100">
        <v>33.200000000000003</v>
      </c>
      <c r="K27" s="100">
        <v>30.4</v>
      </c>
      <c r="L27" s="100">
        <v>28.1</v>
      </c>
      <c r="M27" s="100">
        <v>26.2</v>
      </c>
      <c r="N27" s="100">
        <v>24.6</v>
      </c>
      <c r="O27" s="100">
        <v>23.2</v>
      </c>
      <c r="P27" s="100">
        <v>22.1</v>
      </c>
      <c r="Q27" s="100">
        <v>21</v>
      </c>
      <c r="R27" s="100">
        <v>20.100000000000001</v>
      </c>
      <c r="S27" s="100">
        <v>19.3</v>
      </c>
      <c r="T27" s="100">
        <v>18.600000000000001</v>
      </c>
      <c r="U27" s="100">
        <v>18</v>
      </c>
    </row>
    <row r="28" spans="1:21" x14ac:dyDescent="0.25">
      <c r="A28" s="99">
        <v>17</v>
      </c>
      <c r="B28" s="100">
        <v>262.7</v>
      </c>
      <c r="C28" s="100">
        <v>133.80000000000001</v>
      </c>
      <c r="D28" s="100">
        <v>90.8</v>
      </c>
      <c r="E28" s="100">
        <v>69.400000000000006</v>
      </c>
      <c r="F28" s="100">
        <v>56.5</v>
      </c>
      <c r="G28" s="100">
        <v>47.9</v>
      </c>
      <c r="H28" s="100">
        <v>41.8</v>
      </c>
      <c r="I28" s="100">
        <v>37.200000000000003</v>
      </c>
      <c r="J28" s="100">
        <v>33.700000000000003</v>
      </c>
      <c r="K28" s="100">
        <v>30.9</v>
      </c>
      <c r="L28" s="100">
        <v>28.5</v>
      </c>
      <c r="M28" s="100">
        <v>26.6</v>
      </c>
      <c r="N28" s="100">
        <v>25</v>
      </c>
      <c r="O28" s="100">
        <v>23.6</v>
      </c>
      <c r="P28" s="100">
        <v>22.4</v>
      </c>
      <c r="Q28" s="100">
        <v>21.4</v>
      </c>
      <c r="R28" s="100">
        <v>20.5</v>
      </c>
      <c r="S28" s="100">
        <v>19.600000000000001</v>
      </c>
      <c r="T28" s="100">
        <v>18.899999999999999</v>
      </c>
      <c r="U28" s="100">
        <v>18.3</v>
      </c>
    </row>
    <row r="29" spans="1:21" x14ac:dyDescent="0.25">
      <c r="A29" s="99">
        <v>18</v>
      </c>
      <c r="B29" s="100">
        <v>267.10000000000002</v>
      </c>
      <c r="C29" s="100">
        <v>136</v>
      </c>
      <c r="D29" s="100">
        <v>92.3</v>
      </c>
      <c r="E29" s="100">
        <v>70.5</v>
      </c>
      <c r="F29" s="100">
        <v>57.4</v>
      </c>
      <c r="G29" s="100">
        <v>48.7</v>
      </c>
      <c r="H29" s="100">
        <v>42.5</v>
      </c>
      <c r="I29" s="100">
        <v>37.9</v>
      </c>
      <c r="J29" s="100">
        <v>34.299999999999997</v>
      </c>
      <c r="K29" s="100">
        <v>31.4</v>
      </c>
      <c r="L29" s="100">
        <v>29</v>
      </c>
      <c r="M29" s="100">
        <v>27.1</v>
      </c>
      <c r="N29" s="100">
        <v>25.4</v>
      </c>
      <c r="O29" s="100">
        <v>24</v>
      </c>
      <c r="P29" s="100">
        <v>22.8</v>
      </c>
      <c r="Q29" s="100">
        <v>21.7</v>
      </c>
      <c r="R29" s="100">
        <v>20.8</v>
      </c>
      <c r="S29" s="100">
        <v>20</v>
      </c>
      <c r="T29" s="100">
        <v>19.2</v>
      </c>
      <c r="U29" s="100">
        <v>18.600000000000001</v>
      </c>
    </row>
    <row r="30" spans="1:21" x14ac:dyDescent="0.25">
      <c r="A30" s="99">
        <v>19</v>
      </c>
      <c r="B30" s="100">
        <v>271.3</v>
      </c>
      <c r="C30" s="100">
        <v>138.19999999999999</v>
      </c>
      <c r="D30" s="100">
        <v>93.8</v>
      </c>
      <c r="E30" s="100">
        <v>71.7</v>
      </c>
      <c r="F30" s="100">
        <v>58.4</v>
      </c>
      <c r="G30" s="100">
        <v>49.5</v>
      </c>
      <c r="H30" s="100">
        <v>43.2</v>
      </c>
      <c r="I30" s="100">
        <v>38.5</v>
      </c>
      <c r="J30" s="100">
        <v>34.799999999999997</v>
      </c>
      <c r="K30" s="100">
        <v>31.9</v>
      </c>
      <c r="L30" s="100">
        <v>29.5</v>
      </c>
      <c r="M30" s="100">
        <v>27.5</v>
      </c>
      <c r="N30" s="100">
        <v>25.8</v>
      </c>
      <c r="O30" s="100">
        <v>24.4</v>
      </c>
      <c r="P30" s="100">
        <v>23.2</v>
      </c>
      <c r="Q30" s="100">
        <v>22.1</v>
      </c>
      <c r="R30" s="100">
        <v>21.1</v>
      </c>
      <c r="S30" s="100">
        <v>20.3</v>
      </c>
      <c r="T30" s="100">
        <v>19.600000000000001</v>
      </c>
      <c r="U30" s="100">
        <v>18.899999999999999</v>
      </c>
    </row>
    <row r="31" spans="1:21" x14ac:dyDescent="0.25">
      <c r="A31" s="99">
        <v>20</v>
      </c>
      <c r="B31" s="100">
        <v>275.39999999999998</v>
      </c>
      <c r="C31" s="100">
        <v>140.19999999999999</v>
      </c>
      <c r="D31" s="100">
        <v>95.2</v>
      </c>
      <c r="E31" s="100">
        <v>72.7</v>
      </c>
      <c r="F31" s="100">
        <v>59.2</v>
      </c>
      <c r="G31" s="100">
        <v>50.3</v>
      </c>
      <c r="H31" s="100">
        <v>43.9</v>
      </c>
      <c r="I31" s="100">
        <v>39.1</v>
      </c>
      <c r="J31" s="100">
        <v>35.299999999999997</v>
      </c>
      <c r="K31" s="100">
        <v>32.4</v>
      </c>
      <c r="L31" s="100">
        <v>29.9</v>
      </c>
      <c r="M31" s="100">
        <v>27.9</v>
      </c>
      <c r="N31" s="100">
        <v>26.2</v>
      </c>
      <c r="O31" s="100">
        <v>24.8</v>
      </c>
      <c r="P31" s="100">
        <v>23.5</v>
      </c>
      <c r="Q31" s="100">
        <v>22.4</v>
      </c>
      <c r="R31" s="100">
        <v>21.5</v>
      </c>
      <c r="S31" s="100">
        <v>20.6</v>
      </c>
      <c r="T31" s="100">
        <v>19.899999999999999</v>
      </c>
      <c r="U31" s="100">
        <v>19.2</v>
      </c>
    </row>
    <row r="32" spans="1:21" x14ac:dyDescent="0.25">
      <c r="A32" s="99">
        <v>21</v>
      </c>
      <c r="B32" s="100">
        <v>279.39999999999998</v>
      </c>
      <c r="C32" s="100">
        <v>142.30000000000001</v>
      </c>
      <c r="D32" s="100">
        <v>96.6</v>
      </c>
      <c r="E32" s="100">
        <v>73.8</v>
      </c>
      <c r="F32" s="100">
        <v>60.1</v>
      </c>
      <c r="G32" s="100">
        <v>51</v>
      </c>
      <c r="H32" s="100">
        <v>44.5</v>
      </c>
      <c r="I32" s="100">
        <v>39.6</v>
      </c>
      <c r="J32" s="100">
        <v>35.9</v>
      </c>
      <c r="K32" s="100">
        <v>32.799999999999997</v>
      </c>
      <c r="L32" s="100">
        <v>30.4</v>
      </c>
      <c r="M32" s="100">
        <v>28.3</v>
      </c>
      <c r="N32" s="100">
        <v>26.6</v>
      </c>
      <c r="O32" s="100">
        <v>25.1</v>
      </c>
      <c r="P32" s="100">
        <v>23.9</v>
      </c>
      <c r="Q32" s="100">
        <v>22.8</v>
      </c>
      <c r="R32" s="100">
        <v>21.8</v>
      </c>
      <c r="S32" s="100">
        <v>20.9</v>
      </c>
      <c r="T32" s="100">
        <v>20.100000000000001</v>
      </c>
      <c r="U32" s="100">
        <v>19.5</v>
      </c>
    </row>
    <row r="33" spans="1:21" x14ac:dyDescent="0.25">
      <c r="A33" s="99">
        <v>22</v>
      </c>
      <c r="B33" s="100">
        <v>283.5</v>
      </c>
      <c r="C33" s="100">
        <v>144.4</v>
      </c>
      <c r="D33" s="100">
        <v>98</v>
      </c>
      <c r="E33" s="100">
        <v>74.900000000000006</v>
      </c>
      <c r="F33" s="100">
        <v>61</v>
      </c>
      <c r="G33" s="100">
        <v>51.7</v>
      </c>
      <c r="H33" s="100">
        <v>45.2</v>
      </c>
      <c r="I33" s="100">
        <v>40.200000000000003</v>
      </c>
      <c r="J33" s="100">
        <v>36.4</v>
      </c>
      <c r="K33" s="100">
        <v>33.299999999999997</v>
      </c>
      <c r="L33" s="100">
        <v>30.8</v>
      </c>
      <c r="M33" s="100">
        <v>28.8</v>
      </c>
      <c r="N33" s="100">
        <v>27</v>
      </c>
      <c r="O33" s="100">
        <v>25.5</v>
      </c>
      <c r="P33" s="100">
        <v>24.2</v>
      </c>
      <c r="Q33" s="100">
        <v>23.1</v>
      </c>
      <c r="R33" s="100">
        <v>22.1</v>
      </c>
      <c r="S33" s="100">
        <v>21.2</v>
      </c>
      <c r="T33" s="100">
        <v>20.5</v>
      </c>
      <c r="U33" s="100">
        <v>19.8</v>
      </c>
    </row>
    <row r="34" spans="1:21" x14ac:dyDescent="0.25">
      <c r="A34" s="99">
        <v>23</v>
      </c>
      <c r="B34" s="100">
        <v>287.7</v>
      </c>
      <c r="C34" s="100">
        <v>146.5</v>
      </c>
      <c r="D34" s="100">
        <v>99.5</v>
      </c>
      <c r="E34" s="100">
        <v>76</v>
      </c>
      <c r="F34" s="100">
        <v>61.9</v>
      </c>
      <c r="G34" s="100">
        <v>52.5</v>
      </c>
      <c r="H34" s="100">
        <v>45.8</v>
      </c>
      <c r="I34" s="100">
        <v>40.799999999999997</v>
      </c>
      <c r="J34" s="100">
        <v>36.9</v>
      </c>
      <c r="K34" s="100">
        <v>33.799999999999997</v>
      </c>
      <c r="L34" s="100">
        <v>31.3</v>
      </c>
      <c r="M34" s="100">
        <v>29.2</v>
      </c>
      <c r="N34" s="100">
        <v>27.4</v>
      </c>
      <c r="O34" s="100">
        <v>25.9</v>
      </c>
      <c r="P34" s="100">
        <v>24.6</v>
      </c>
      <c r="Q34" s="100">
        <v>23.4</v>
      </c>
      <c r="R34" s="100">
        <v>22.4</v>
      </c>
      <c r="S34" s="100">
        <v>21.5</v>
      </c>
      <c r="T34" s="100">
        <v>20.8</v>
      </c>
      <c r="U34" s="100">
        <v>20.100000000000001</v>
      </c>
    </row>
    <row r="35" spans="1:21" x14ac:dyDescent="0.25">
      <c r="A35" s="99">
        <v>24</v>
      </c>
      <c r="B35" s="100">
        <v>291.89999999999998</v>
      </c>
      <c r="C35" s="100">
        <v>148.69999999999999</v>
      </c>
      <c r="D35" s="100">
        <v>100.9</v>
      </c>
      <c r="E35" s="100">
        <v>77.099999999999994</v>
      </c>
      <c r="F35" s="100">
        <v>62.8</v>
      </c>
      <c r="G35" s="100">
        <v>53.3</v>
      </c>
      <c r="H35" s="100">
        <v>46.5</v>
      </c>
      <c r="I35" s="100">
        <v>41.4</v>
      </c>
      <c r="J35" s="100">
        <v>37.5</v>
      </c>
      <c r="K35" s="100">
        <v>34.299999999999997</v>
      </c>
      <c r="L35" s="100">
        <v>31.7</v>
      </c>
      <c r="M35" s="100">
        <v>29.6</v>
      </c>
      <c r="N35" s="100">
        <v>27.8</v>
      </c>
      <c r="O35" s="100">
        <v>26.3</v>
      </c>
      <c r="P35" s="100">
        <v>24.9</v>
      </c>
      <c r="Q35" s="100">
        <v>23.8</v>
      </c>
      <c r="R35" s="100">
        <v>22.8</v>
      </c>
      <c r="S35" s="100">
        <v>21.9</v>
      </c>
      <c r="T35" s="100">
        <v>21.1</v>
      </c>
      <c r="U35" s="100">
        <v>20.399999999999999</v>
      </c>
    </row>
    <row r="36" spans="1:21" x14ac:dyDescent="0.25">
      <c r="A36" s="99">
        <v>25</v>
      </c>
      <c r="B36" s="100">
        <v>296.2</v>
      </c>
      <c r="C36" s="100">
        <v>150.80000000000001</v>
      </c>
      <c r="D36" s="100">
        <v>102.4</v>
      </c>
      <c r="E36" s="100">
        <v>78.2</v>
      </c>
      <c r="F36" s="100">
        <v>63.7</v>
      </c>
      <c r="G36" s="100">
        <v>54.1</v>
      </c>
      <c r="H36" s="100">
        <v>47.2</v>
      </c>
      <c r="I36" s="100">
        <v>42</v>
      </c>
      <c r="J36" s="100">
        <v>38</v>
      </c>
      <c r="K36" s="100">
        <v>34.799999999999997</v>
      </c>
      <c r="L36" s="100">
        <v>32.200000000000003</v>
      </c>
      <c r="M36" s="100">
        <v>30.1</v>
      </c>
      <c r="N36" s="100">
        <v>28.2</v>
      </c>
      <c r="O36" s="100">
        <v>26.7</v>
      </c>
      <c r="P36" s="100">
        <v>25.3</v>
      </c>
      <c r="Q36" s="100">
        <v>24.1</v>
      </c>
      <c r="R36" s="100">
        <v>23.1</v>
      </c>
      <c r="S36" s="100">
        <v>22.2</v>
      </c>
      <c r="T36" s="100">
        <v>21.4</v>
      </c>
      <c r="U36" s="100">
        <v>20.7</v>
      </c>
    </row>
    <row r="37" spans="1:21" x14ac:dyDescent="0.25">
      <c r="A37" s="99">
        <v>26</v>
      </c>
      <c r="B37" s="100">
        <v>300.5</v>
      </c>
      <c r="C37" s="100">
        <v>153</v>
      </c>
      <c r="D37" s="100">
        <v>103.9</v>
      </c>
      <c r="E37" s="100">
        <v>79.400000000000006</v>
      </c>
      <c r="F37" s="100">
        <v>64.7</v>
      </c>
      <c r="G37" s="100">
        <v>54.9</v>
      </c>
      <c r="H37" s="100">
        <v>47.9</v>
      </c>
      <c r="I37" s="100">
        <v>42.6</v>
      </c>
      <c r="J37" s="100">
        <v>38.6</v>
      </c>
      <c r="K37" s="100">
        <v>35.299999999999997</v>
      </c>
      <c r="L37" s="100">
        <v>32.700000000000003</v>
      </c>
      <c r="M37" s="100">
        <v>30.5</v>
      </c>
      <c r="N37" s="100">
        <v>28.6</v>
      </c>
      <c r="O37" s="100">
        <v>27.1</v>
      </c>
      <c r="P37" s="100">
        <v>25.7</v>
      </c>
      <c r="Q37" s="100">
        <v>24.5</v>
      </c>
      <c r="R37" s="100">
        <v>23.5</v>
      </c>
      <c r="S37" s="100">
        <v>22.5</v>
      </c>
      <c r="T37" s="100">
        <v>21.7</v>
      </c>
      <c r="U37" s="100">
        <v>21</v>
      </c>
    </row>
    <row r="38" spans="1:21" x14ac:dyDescent="0.25">
      <c r="A38" s="99">
        <v>27</v>
      </c>
      <c r="B38" s="100">
        <v>304.89999999999998</v>
      </c>
      <c r="C38" s="100">
        <v>155.30000000000001</v>
      </c>
      <c r="D38" s="100">
        <v>105.4</v>
      </c>
      <c r="E38" s="100">
        <v>80.5</v>
      </c>
      <c r="F38" s="100">
        <v>65.599999999999994</v>
      </c>
      <c r="G38" s="100">
        <v>55.7</v>
      </c>
      <c r="H38" s="100">
        <v>48.6</v>
      </c>
      <c r="I38" s="100">
        <v>43.3</v>
      </c>
      <c r="J38" s="100">
        <v>39.200000000000003</v>
      </c>
      <c r="K38" s="100">
        <v>35.9</v>
      </c>
      <c r="L38" s="100">
        <v>33.200000000000003</v>
      </c>
      <c r="M38" s="100">
        <v>31</v>
      </c>
      <c r="N38" s="100">
        <v>29.1</v>
      </c>
      <c r="O38" s="100">
        <v>27.5</v>
      </c>
      <c r="P38" s="100">
        <v>26.1</v>
      </c>
      <c r="Q38" s="100">
        <v>24.9</v>
      </c>
      <c r="R38" s="100">
        <v>23.8</v>
      </c>
      <c r="S38" s="100">
        <v>22.9</v>
      </c>
      <c r="T38" s="100">
        <v>22</v>
      </c>
      <c r="U38" s="100">
        <v>21.3</v>
      </c>
    </row>
    <row r="39" spans="1:21" x14ac:dyDescent="0.25">
      <c r="A39" s="99">
        <v>28</v>
      </c>
      <c r="B39" s="100">
        <v>309.3</v>
      </c>
      <c r="C39" s="100">
        <v>157.5</v>
      </c>
      <c r="D39" s="100">
        <v>107</v>
      </c>
      <c r="E39" s="100">
        <v>81.7</v>
      </c>
      <c r="F39" s="100">
        <v>66.599999999999994</v>
      </c>
      <c r="G39" s="100">
        <v>56.5</v>
      </c>
      <c r="H39" s="100">
        <v>49.3</v>
      </c>
      <c r="I39" s="100">
        <v>43.9</v>
      </c>
      <c r="J39" s="100">
        <v>39.700000000000003</v>
      </c>
      <c r="K39" s="100">
        <v>36.4</v>
      </c>
      <c r="L39" s="100">
        <v>33.700000000000003</v>
      </c>
      <c r="M39" s="100">
        <v>31.4</v>
      </c>
      <c r="N39" s="100">
        <v>29.5</v>
      </c>
      <c r="O39" s="100">
        <v>27.9</v>
      </c>
      <c r="P39" s="100">
        <v>26.5</v>
      </c>
      <c r="Q39" s="100">
        <v>25.3</v>
      </c>
      <c r="R39" s="100">
        <v>24.2</v>
      </c>
      <c r="S39" s="100">
        <v>23.2</v>
      </c>
      <c r="T39" s="100">
        <v>22.4</v>
      </c>
      <c r="U39" s="100">
        <v>21.6</v>
      </c>
    </row>
    <row r="40" spans="1:21" x14ac:dyDescent="0.25">
      <c r="A40" s="99">
        <v>29</v>
      </c>
      <c r="B40" s="100">
        <v>313.8</v>
      </c>
      <c r="C40" s="100">
        <v>159.80000000000001</v>
      </c>
      <c r="D40" s="100">
        <v>108.5</v>
      </c>
      <c r="E40" s="100">
        <v>82.9</v>
      </c>
      <c r="F40" s="100">
        <v>67.5</v>
      </c>
      <c r="G40" s="100">
        <v>57.3</v>
      </c>
      <c r="H40" s="100">
        <v>50</v>
      </c>
      <c r="I40" s="100">
        <v>44.6</v>
      </c>
      <c r="J40" s="100">
        <v>40.299999999999997</v>
      </c>
      <c r="K40" s="100">
        <v>36.9</v>
      </c>
      <c r="L40" s="100">
        <v>34.200000000000003</v>
      </c>
      <c r="M40" s="100">
        <v>31.9</v>
      </c>
      <c r="N40" s="100">
        <v>30</v>
      </c>
      <c r="O40" s="100">
        <v>28.3</v>
      </c>
      <c r="P40" s="100">
        <v>26.9</v>
      </c>
      <c r="Q40" s="100">
        <v>25.6</v>
      </c>
      <c r="R40" s="100">
        <v>24.5</v>
      </c>
      <c r="S40" s="100">
        <v>23.6</v>
      </c>
      <c r="T40" s="100">
        <v>22.7</v>
      </c>
      <c r="U40" s="100">
        <v>22</v>
      </c>
    </row>
    <row r="41" spans="1:21" x14ac:dyDescent="0.25">
      <c r="A41" s="99">
        <v>30</v>
      </c>
      <c r="B41" s="100">
        <v>318.39999999999998</v>
      </c>
      <c r="C41" s="100">
        <v>162.19999999999999</v>
      </c>
      <c r="D41" s="100">
        <v>110.1</v>
      </c>
      <c r="E41" s="100">
        <v>84.1</v>
      </c>
      <c r="F41" s="100">
        <v>68.5</v>
      </c>
      <c r="G41" s="100">
        <v>58.2</v>
      </c>
      <c r="H41" s="100">
        <v>50.8</v>
      </c>
      <c r="I41" s="100">
        <v>45.2</v>
      </c>
      <c r="J41" s="100">
        <v>40.9</v>
      </c>
      <c r="K41" s="100">
        <v>37.5</v>
      </c>
      <c r="L41" s="100">
        <v>34.700000000000003</v>
      </c>
      <c r="M41" s="100">
        <v>32.4</v>
      </c>
      <c r="N41" s="100">
        <v>30.4</v>
      </c>
      <c r="O41" s="100">
        <v>28.7</v>
      </c>
      <c r="P41" s="100">
        <v>27.3</v>
      </c>
      <c r="Q41" s="100">
        <v>26</v>
      </c>
      <c r="R41" s="100">
        <v>24.9</v>
      </c>
      <c r="S41" s="100">
        <v>23.9</v>
      </c>
      <c r="T41" s="100">
        <v>23.1</v>
      </c>
      <c r="U41" s="100">
        <v>22.3</v>
      </c>
    </row>
    <row r="42" spans="1:21" x14ac:dyDescent="0.25">
      <c r="A42" s="99">
        <v>31</v>
      </c>
      <c r="B42" s="100">
        <v>323</v>
      </c>
      <c r="C42" s="100">
        <v>164.5</v>
      </c>
      <c r="D42" s="100">
        <v>111.7</v>
      </c>
      <c r="E42" s="100">
        <v>85.4</v>
      </c>
      <c r="F42" s="100">
        <v>69.599999999999994</v>
      </c>
      <c r="G42" s="100">
        <v>59</v>
      </c>
      <c r="H42" s="100">
        <v>51.5</v>
      </c>
      <c r="I42" s="100">
        <v>45.9</v>
      </c>
      <c r="J42" s="100">
        <v>41.5</v>
      </c>
      <c r="K42" s="100">
        <v>38.1</v>
      </c>
      <c r="L42" s="100">
        <v>35.200000000000003</v>
      </c>
      <c r="M42" s="100">
        <v>32.9</v>
      </c>
      <c r="N42" s="100">
        <v>30.9</v>
      </c>
      <c r="O42" s="100">
        <v>29.2</v>
      </c>
      <c r="P42" s="100">
        <v>27.7</v>
      </c>
      <c r="Q42" s="100">
        <v>26.4</v>
      </c>
      <c r="R42" s="100">
        <v>25.3</v>
      </c>
      <c r="S42" s="100">
        <v>24.3</v>
      </c>
      <c r="T42" s="100">
        <v>23.4</v>
      </c>
      <c r="U42" s="100">
        <v>22.6</v>
      </c>
    </row>
    <row r="43" spans="1:21" x14ac:dyDescent="0.25">
      <c r="A43" s="99">
        <v>32</v>
      </c>
      <c r="B43" s="100">
        <v>327.7</v>
      </c>
      <c r="C43" s="100">
        <v>166.9</v>
      </c>
      <c r="D43" s="100">
        <v>113.4</v>
      </c>
      <c r="E43" s="100">
        <v>86.6</v>
      </c>
      <c r="F43" s="100">
        <v>70.599999999999994</v>
      </c>
      <c r="G43" s="100">
        <v>59.9</v>
      </c>
      <c r="H43" s="100">
        <v>52.3</v>
      </c>
      <c r="I43" s="100">
        <v>46.6</v>
      </c>
      <c r="J43" s="100">
        <v>42.2</v>
      </c>
      <c r="K43" s="100">
        <v>38.6</v>
      </c>
      <c r="L43" s="100">
        <v>35.700000000000003</v>
      </c>
      <c r="M43" s="100">
        <v>33.4</v>
      </c>
      <c r="N43" s="100">
        <v>31.3</v>
      </c>
      <c r="O43" s="100">
        <v>29.6</v>
      </c>
      <c r="P43" s="100">
        <v>28.1</v>
      </c>
      <c r="Q43" s="100">
        <v>26.8</v>
      </c>
      <c r="R43" s="100">
        <v>25.7</v>
      </c>
      <c r="S43" s="100">
        <v>24.7</v>
      </c>
      <c r="T43" s="100">
        <v>23.8</v>
      </c>
      <c r="U43" s="100">
        <v>23</v>
      </c>
    </row>
    <row r="44" spans="1:21" x14ac:dyDescent="0.25">
      <c r="A44" s="99">
        <v>33</v>
      </c>
      <c r="B44" s="100">
        <v>332.5</v>
      </c>
      <c r="C44" s="100">
        <v>169.4</v>
      </c>
      <c r="D44" s="100">
        <v>115</v>
      </c>
      <c r="E44" s="100">
        <v>87.9</v>
      </c>
      <c r="F44" s="100">
        <v>71.599999999999994</v>
      </c>
      <c r="G44" s="100">
        <v>60.8</v>
      </c>
      <c r="H44" s="100">
        <v>53</v>
      </c>
      <c r="I44" s="100">
        <v>47.3</v>
      </c>
      <c r="J44" s="100">
        <v>42.8</v>
      </c>
      <c r="K44" s="100">
        <v>39.200000000000003</v>
      </c>
      <c r="L44" s="100">
        <v>36.299999999999997</v>
      </c>
      <c r="M44" s="100">
        <v>33.9</v>
      </c>
      <c r="N44" s="100">
        <v>31.8</v>
      </c>
      <c r="O44" s="100">
        <v>30.1</v>
      </c>
      <c r="P44" s="100">
        <v>28.6</v>
      </c>
      <c r="Q44" s="100">
        <v>27.2</v>
      </c>
      <c r="R44" s="100">
        <v>26.1</v>
      </c>
      <c r="S44" s="100">
        <v>25.1</v>
      </c>
      <c r="T44" s="100">
        <v>24.2</v>
      </c>
      <c r="U44" s="100">
        <v>23.4</v>
      </c>
    </row>
    <row r="45" spans="1:21" x14ac:dyDescent="0.25">
      <c r="A45" s="99">
        <v>34</v>
      </c>
      <c r="B45" s="100">
        <v>337.3</v>
      </c>
      <c r="C45" s="100">
        <v>171.8</v>
      </c>
      <c r="D45" s="100">
        <v>116.7</v>
      </c>
      <c r="E45" s="100">
        <v>89.2</v>
      </c>
      <c r="F45" s="100">
        <v>72.7</v>
      </c>
      <c r="G45" s="100">
        <v>61.7</v>
      </c>
      <c r="H45" s="100">
        <v>53.8</v>
      </c>
      <c r="I45" s="100">
        <v>48</v>
      </c>
      <c r="J45" s="100">
        <v>43.4</v>
      </c>
      <c r="K45" s="100">
        <v>39.799999999999997</v>
      </c>
      <c r="L45" s="100">
        <v>36.799999999999997</v>
      </c>
      <c r="M45" s="100">
        <v>34.4</v>
      </c>
      <c r="N45" s="100">
        <v>32.299999999999997</v>
      </c>
      <c r="O45" s="100">
        <v>30.5</v>
      </c>
      <c r="P45" s="100">
        <v>29</v>
      </c>
      <c r="Q45" s="100">
        <v>27.7</v>
      </c>
      <c r="R45" s="100">
        <v>26.5</v>
      </c>
      <c r="S45" s="100">
        <v>25.5</v>
      </c>
      <c r="T45" s="100">
        <v>24.5</v>
      </c>
      <c r="U45" s="100">
        <v>23.7</v>
      </c>
    </row>
    <row r="46" spans="1:21" x14ac:dyDescent="0.25">
      <c r="A46" s="99">
        <v>35</v>
      </c>
      <c r="B46" s="100">
        <v>342.1</v>
      </c>
      <c r="C46" s="100">
        <v>174.3</v>
      </c>
      <c r="D46" s="100">
        <v>118.4</v>
      </c>
      <c r="E46" s="100">
        <v>90.5</v>
      </c>
      <c r="F46" s="100">
        <v>73.7</v>
      </c>
      <c r="G46" s="100">
        <v>62.6</v>
      </c>
      <c r="H46" s="100">
        <v>54.6</v>
      </c>
      <c r="I46" s="100">
        <v>48.7</v>
      </c>
      <c r="J46" s="100">
        <v>44.1</v>
      </c>
      <c r="K46" s="100">
        <v>40.4</v>
      </c>
      <c r="L46" s="100">
        <v>37.4</v>
      </c>
      <c r="M46" s="100">
        <v>34.9</v>
      </c>
      <c r="N46" s="100">
        <v>32.799999999999997</v>
      </c>
      <c r="O46" s="100">
        <v>31</v>
      </c>
      <c r="P46" s="100">
        <v>29.4</v>
      </c>
      <c r="Q46" s="100">
        <v>28.1</v>
      </c>
      <c r="R46" s="100">
        <v>26.9</v>
      </c>
      <c r="S46" s="100">
        <v>25.9</v>
      </c>
      <c r="T46" s="100">
        <v>24.9</v>
      </c>
      <c r="U46" s="100">
        <v>24.1</v>
      </c>
    </row>
    <row r="47" spans="1:21" x14ac:dyDescent="0.25">
      <c r="A47" s="99">
        <v>36</v>
      </c>
      <c r="B47" s="100">
        <v>347</v>
      </c>
      <c r="C47" s="100">
        <v>176.8</v>
      </c>
      <c r="D47" s="100">
        <v>120.1</v>
      </c>
      <c r="E47" s="100">
        <v>91.8</v>
      </c>
      <c r="F47" s="100">
        <v>74.8</v>
      </c>
      <c r="G47" s="100">
        <v>63.5</v>
      </c>
      <c r="H47" s="100">
        <v>55.4</v>
      </c>
      <c r="I47" s="100">
        <v>49.4</v>
      </c>
      <c r="J47" s="100">
        <v>44.7</v>
      </c>
      <c r="K47" s="100">
        <v>41</v>
      </c>
      <c r="L47" s="100">
        <v>37.9</v>
      </c>
      <c r="M47" s="100">
        <v>35.4</v>
      </c>
      <c r="N47" s="100">
        <v>33.299999999999997</v>
      </c>
      <c r="O47" s="100">
        <v>31.5</v>
      </c>
      <c r="P47" s="100">
        <v>29.9</v>
      </c>
      <c r="Q47" s="100">
        <v>28.5</v>
      </c>
      <c r="R47" s="100">
        <v>27.3</v>
      </c>
      <c r="S47" s="100">
        <v>26.3</v>
      </c>
      <c r="T47" s="100">
        <v>25.3</v>
      </c>
      <c r="U47" s="100">
        <v>24.5</v>
      </c>
    </row>
    <row r="48" spans="1:21" x14ac:dyDescent="0.25">
      <c r="A48" s="99">
        <v>37</v>
      </c>
      <c r="B48" s="100">
        <v>352</v>
      </c>
      <c r="C48" s="100">
        <v>179.4</v>
      </c>
      <c r="D48" s="100">
        <v>121.8</v>
      </c>
      <c r="E48" s="100">
        <v>93.1</v>
      </c>
      <c r="F48" s="100">
        <v>75.900000000000006</v>
      </c>
      <c r="G48" s="100">
        <v>64.400000000000006</v>
      </c>
      <c r="H48" s="100">
        <v>56.2</v>
      </c>
      <c r="I48" s="100">
        <v>50.1</v>
      </c>
      <c r="J48" s="100">
        <v>45.4</v>
      </c>
      <c r="K48" s="100">
        <v>41.6</v>
      </c>
      <c r="L48" s="100">
        <v>38.5</v>
      </c>
      <c r="M48" s="100">
        <v>35.9</v>
      </c>
      <c r="N48" s="100">
        <v>33.799999999999997</v>
      </c>
      <c r="O48" s="100">
        <v>31.9</v>
      </c>
      <c r="P48" s="100">
        <v>30.3</v>
      </c>
      <c r="Q48" s="100">
        <v>29</v>
      </c>
      <c r="R48" s="100">
        <v>27.8</v>
      </c>
      <c r="S48" s="100">
        <v>26.7</v>
      </c>
      <c r="T48" s="100">
        <v>25.7</v>
      </c>
      <c r="U48" s="100">
        <v>24.9</v>
      </c>
    </row>
    <row r="49" spans="1:21" x14ac:dyDescent="0.25">
      <c r="A49" s="99">
        <v>38</v>
      </c>
      <c r="B49" s="100">
        <v>357.1</v>
      </c>
      <c r="C49" s="100">
        <v>181.9</v>
      </c>
      <c r="D49" s="100">
        <v>123.6</v>
      </c>
      <c r="E49" s="100">
        <v>94.5</v>
      </c>
      <c r="F49" s="100">
        <v>77</v>
      </c>
      <c r="G49" s="100">
        <v>65.400000000000006</v>
      </c>
      <c r="H49" s="100">
        <v>57.1</v>
      </c>
      <c r="I49" s="100">
        <v>50.9</v>
      </c>
      <c r="J49" s="100">
        <v>46.1</v>
      </c>
      <c r="K49" s="100">
        <v>42.2</v>
      </c>
      <c r="L49" s="100">
        <v>39.1</v>
      </c>
      <c r="M49" s="100">
        <v>36.5</v>
      </c>
      <c r="N49" s="100">
        <v>34.299999999999997</v>
      </c>
      <c r="O49" s="100">
        <v>32.4</v>
      </c>
      <c r="P49" s="100">
        <v>30.8</v>
      </c>
      <c r="Q49" s="100">
        <v>29.4</v>
      </c>
      <c r="R49" s="100">
        <v>28.2</v>
      </c>
      <c r="S49" s="100">
        <v>27.1</v>
      </c>
      <c r="T49" s="100">
        <v>26.2</v>
      </c>
      <c r="U49" s="100">
        <v>25.3</v>
      </c>
    </row>
    <row r="50" spans="1:21" x14ac:dyDescent="0.25">
      <c r="A50" s="99">
        <v>39</v>
      </c>
      <c r="B50" s="100">
        <v>362.2</v>
      </c>
      <c r="C50" s="100">
        <v>184.6</v>
      </c>
      <c r="D50" s="100">
        <v>125.4</v>
      </c>
      <c r="E50" s="100">
        <v>95.8</v>
      </c>
      <c r="F50" s="100">
        <v>78.099999999999994</v>
      </c>
      <c r="G50" s="100">
        <v>66.3</v>
      </c>
      <c r="H50" s="100">
        <v>57.9</v>
      </c>
      <c r="I50" s="100">
        <v>51.6</v>
      </c>
      <c r="J50" s="100">
        <v>46.7</v>
      </c>
      <c r="K50" s="100">
        <v>42.9</v>
      </c>
      <c r="L50" s="100">
        <v>39.700000000000003</v>
      </c>
      <c r="M50" s="100">
        <v>37</v>
      </c>
      <c r="N50" s="100">
        <v>34.799999999999997</v>
      </c>
      <c r="O50" s="100">
        <v>32.9</v>
      </c>
      <c r="P50" s="100">
        <v>31.3</v>
      </c>
      <c r="Q50" s="100">
        <v>29.9</v>
      </c>
      <c r="R50" s="100">
        <v>28.7</v>
      </c>
      <c r="S50" s="100">
        <v>27.6</v>
      </c>
      <c r="T50" s="100">
        <v>26.6</v>
      </c>
      <c r="U50" s="100">
        <v>25.8</v>
      </c>
    </row>
    <row r="51" spans="1:21" x14ac:dyDescent="0.25">
      <c r="A51" s="99">
        <v>40</v>
      </c>
      <c r="B51" s="100">
        <v>367.4</v>
      </c>
      <c r="C51" s="100">
        <v>187.2</v>
      </c>
      <c r="D51" s="100">
        <v>127.2</v>
      </c>
      <c r="E51" s="100">
        <v>97.2</v>
      </c>
      <c r="F51" s="100">
        <v>79.3</v>
      </c>
      <c r="G51" s="100">
        <v>67.3</v>
      </c>
      <c r="H51" s="100">
        <v>58.8</v>
      </c>
      <c r="I51" s="100">
        <v>52.4</v>
      </c>
      <c r="J51" s="100">
        <v>47.5</v>
      </c>
      <c r="K51" s="100">
        <v>43.5</v>
      </c>
      <c r="L51" s="100">
        <v>40.299999999999997</v>
      </c>
      <c r="M51" s="100">
        <v>37.6</v>
      </c>
      <c r="N51" s="100">
        <v>35.4</v>
      </c>
      <c r="O51" s="100">
        <v>33.5</v>
      </c>
      <c r="P51" s="100">
        <v>31.8</v>
      </c>
      <c r="Q51" s="100">
        <v>30.4</v>
      </c>
      <c r="R51" s="100">
        <v>29.1</v>
      </c>
      <c r="S51" s="100">
        <v>28</v>
      </c>
      <c r="T51" s="100">
        <v>27.1</v>
      </c>
      <c r="U51" s="100"/>
    </row>
    <row r="52" spans="1:21" x14ac:dyDescent="0.25">
      <c r="A52" s="99">
        <v>41</v>
      </c>
      <c r="B52" s="100">
        <v>372.7</v>
      </c>
      <c r="C52" s="100">
        <v>190</v>
      </c>
      <c r="D52" s="100">
        <v>129.1</v>
      </c>
      <c r="E52" s="100">
        <v>98.7</v>
      </c>
      <c r="F52" s="100">
        <v>80.400000000000006</v>
      </c>
      <c r="G52" s="100">
        <v>68.3</v>
      </c>
      <c r="H52" s="100">
        <v>59.7</v>
      </c>
      <c r="I52" s="100">
        <v>53.2</v>
      </c>
      <c r="J52" s="100">
        <v>48.2</v>
      </c>
      <c r="K52" s="100">
        <v>44.2</v>
      </c>
      <c r="L52" s="100">
        <v>40.9</v>
      </c>
      <c r="M52" s="100">
        <v>38.200000000000003</v>
      </c>
      <c r="N52" s="100">
        <v>35.9</v>
      </c>
      <c r="O52" s="100">
        <v>34</v>
      </c>
      <c r="P52" s="100">
        <v>32.299999999999997</v>
      </c>
      <c r="Q52" s="100">
        <v>30.9</v>
      </c>
      <c r="R52" s="100">
        <v>29.6</v>
      </c>
      <c r="S52" s="100">
        <v>28.5</v>
      </c>
      <c r="T52" s="100"/>
      <c r="U52" s="100"/>
    </row>
    <row r="53" spans="1:21" x14ac:dyDescent="0.25">
      <c r="A53" s="99">
        <v>42</v>
      </c>
      <c r="B53" s="100">
        <v>378.1</v>
      </c>
      <c r="C53" s="100">
        <v>192.7</v>
      </c>
      <c r="D53" s="100">
        <v>131</v>
      </c>
      <c r="E53" s="100">
        <v>100.1</v>
      </c>
      <c r="F53" s="100">
        <v>81.599999999999994</v>
      </c>
      <c r="G53" s="100">
        <v>69.3</v>
      </c>
      <c r="H53" s="100">
        <v>60.6</v>
      </c>
      <c r="I53" s="100">
        <v>54</v>
      </c>
      <c r="J53" s="100">
        <v>48.9</v>
      </c>
      <c r="K53" s="100">
        <v>44.9</v>
      </c>
      <c r="L53" s="100">
        <v>41.6</v>
      </c>
      <c r="M53" s="100">
        <v>38.799999999999997</v>
      </c>
      <c r="N53" s="100">
        <v>36.5</v>
      </c>
      <c r="O53" s="100">
        <v>34.6</v>
      </c>
      <c r="P53" s="100">
        <v>32.9</v>
      </c>
      <c r="Q53" s="100">
        <v>31.4</v>
      </c>
      <c r="R53" s="100">
        <v>30.1</v>
      </c>
      <c r="S53" s="100"/>
      <c r="T53" s="100"/>
      <c r="U53" s="100"/>
    </row>
    <row r="54" spans="1:21" x14ac:dyDescent="0.25">
      <c r="A54" s="99">
        <v>43</v>
      </c>
      <c r="B54" s="100">
        <v>383.5</v>
      </c>
      <c r="C54" s="100">
        <v>195.5</v>
      </c>
      <c r="D54" s="100">
        <v>132.9</v>
      </c>
      <c r="E54" s="100">
        <v>101.6</v>
      </c>
      <c r="F54" s="100">
        <v>82.8</v>
      </c>
      <c r="G54" s="100">
        <v>70.400000000000006</v>
      </c>
      <c r="H54" s="100">
        <v>61.5</v>
      </c>
      <c r="I54" s="100">
        <v>54.8</v>
      </c>
      <c r="J54" s="100">
        <v>49.7</v>
      </c>
      <c r="K54" s="100">
        <v>45.5</v>
      </c>
      <c r="L54" s="100">
        <v>42.2</v>
      </c>
      <c r="M54" s="100">
        <v>39.4</v>
      </c>
      <c r="N54" s="100">
        <v>37.1</v>
      </c>
      <c r="O54" s="100">
        <v>35.1</v>
      </c>
      <c r="P54" s="100">
        <v>33.4</v>
      </c>
      <c r="Q54" s="100">
        <v>32</v>
      </c>
      <c r="R54" s="100"/>
      <c r="S54" s="100"/>
      <c r="T54" s="100"/>
      <c r="U54" s="100"/>
    </row>
    <row r="55" spans="1:21" x14ac:dyDescent="0.25">
      <c r="A55" s="99">
        <v>44</v>
      </c>
      <c r="B55" s="100">
        <v>389</v>
      </c>
      <c r="C55" s="100">
        <v>198.3</v>
      </c>
      <c r="D55" s="100">
        <v>134.80000000000001</v>
      </c>
      <c r="E55" s="100">
        <v>103.1</v>
      </c>
      <c r="F55" s="100">
        <v>84.1</v>
      </c>
      <c r="G55" s="100">
        <v>71.400000000000006</v>
      </c>
      <c r="H55" s="100">
        <v>62.4</v>
      </c>
      <c r="I55" s="100">
        <v>55.6</v>
      </c>
      <c r="J55" s="100">
        <v>50.4</v>
      </c>
      <c r="K55" s="100">
        <v>46.3</v>
      </c>
      <c r="L55" s="100">
        <v>42.9</v>
      </c>
      <c r="M55" s="100">
        <v>40.1</v>
      </c>
      <c r="N55" s="100">
        <v>37.700000000000003</v>
      </c>
      <c r="O55" s="100">
        <v>35.700000000000003</v>
      </c>
      <c r="P55" s="100">
        <v>34</v>
      </c>
      <c r="Q55" s="100"/>
      <c r="R55" s="100"/>
      <c r="S55" s="100"/>
      <c r="T55" s="100"/>
      <c r="U55" s="100"/>
    </row>
    <row r="56" spans="1:21" x14ac:dyDescent="0.25">
      <c r="A56" s="99">
        <v>45</v>
      </c>
      <c r="B56" s="100">
        <v>394.6</v>
      </c>
      <c r="C56" s="100">
        <v>201.2</v>
      </c>
      <c r="D56" s="100">
        <v>136.80000000000001</v>
      </c>
      <c r="E56" s="100">
        <v>104.6</v>
      </c>
      <c r="F56" s="100">
        <v>85.3</v>
      </c>
      <c r="G56" s="100">
        <v>72.5</v>
      </c>
      <c r="H56" s="100">
        <v>63.3</v>
      </c>
      <c r="I56" s="100">
        <v>56.5</v>
      </c>
      <c r="J56" s="100">
        <v>51.2</v>
      </c>
      <c r="K56" s="100">
        <v>47</v>
      </c>
      <c r="L56" s="100">
        <v>43.6</v>
      </c>
      <c r="M56" s="100">
        <v>40.799999999999997</v>
      </c>
      <c r="N56" s="100">
        <v>38.4</v>
      </c>
      <c r="O56" s="100">
        <v>36.4</v>
      </c>
      <c r="P56" s="100"/>
      <c r="Q56" s="100"/>
      <c r="R56" s="100"/>
      <c r="S56" s="100"/>
      <c r="T56" s="100"/>
      <c r="U56" s="100"/>
    </row>
    <row r="57" spans="1:21" x14ac:dyDescent="0.25">
      <c r="A57" s="99">
        <v>46</v>
      </c>
      <c r="B57" s="100">
        <v>400.3</v>
      </c>
      <c r="C57" s="100">
        <v>204.1</v>
      </c>
      <c r="D57" s="100">
        <v>138.80000000000001</v>
      </c>
      <c r="E57" s="100">
        <v>106.1</v>
      </c>
      <c r="F57" s="100">
        <v>86.6</v>
      </c>
      <c r="G57" s="100">
        <v>73.599999999999994</v>
      </c>
      <c r="H57" s="100">
        <v>64.3</v>
      </c>
      <c r="I57" s="100">
        <v>57.4</v>
      </c>
      <c r="J57" s="100">
        <v>52</v>
      </c>
      <c r="K57" s="100">
        <v>47.8</v>
      </c>
      <c r="L57" s="100">
        <v>44.3</v>
      </c>
      <c r="M57" s="100">
        <v>41.5</v>
      </c>
      <c r="N57" s="100">
        <v>39.1</v>
      </c>
      <c r="O57" s="100"/>
      <c r="P57" s="100"/>
      <c r="Q57" s="100"/>
      <c r="R57" s="100"/>
      <c r="S57" s="100"/>
      <c r="T57" s="100"/>
      <c r="U57" s="100"/>
    </row>
    <row r="58" spans="1:21" x14ac:dyDescent="0.25">
      <c r="A58" s="99">
        <v>47</v>
      </c>
      <c r="B58" s="100">
        <v>406.1</v>
      </c>
      <c r="C58" s="100">
        <v>207.1</v>
      </c>
      <c r="D58" s="100">
        <v>140.80000000000001</v>
      </c>
      <c r="E58" s="100">
        <v>107.7</v>
      </c>
      <c r="F58" s="100">
        <v>87.9</v>
      </c>
      <c r="G58" s="100">
        <v>74.7</v>
      </c>
      <c r="H58" s="100">
        <v>65.3</v>
      </c>
      <c r="I58" s="100">
        <v>58.3</v>
      </c>
      <c r="J58" s="100">
        <v>52.9</v>
      </c>
      <c r="K58" s="100">
        <v>48.6</v>
      </c>
      <c r="L58" s="100">
        <v>45.1</v>
      </c>
      <c r="M58" s="100">
        <v>42.2</v>
      </c>
      <c r="N58" s="100"/>
      <c r="O58" s="100"/>
      <c r="P58" s="100"/>
      <c r="Q58" s="100"/>
      <c r="R58" s="100"/>
      <c r="S58" s="100"/>
      <c r="T58" s="100"/>
      <c r="U58" s="100"/>
    </row>
    <row r="59" spans="1:21" x14ac:dyDescent="0.25">
      <c r="A59" s="99">
        <v>48</v>
      </c>
      <c r="B59" s="100">
        <v>412</v>
      </c>
      <c r="C59" s="100">
        <v>210.1</v>
      </c>
      <c r="D59" s="100">
        <v>142.9</v>
      </c>
      <c r="E59" s="100">
        <v>109.3</v>
      </c>
      <c r="F59" s="100">
        <v>89.3</v>
      </c>
      <c r="G59" s="100">
        <v>75.900000000000006</v>
      </c>
      <c r="H59" s="100">
        <v>66.400000000000006</v>
      </c>
      <c r="I59" s="100">
        <v>59.3</v>
      </c>
      <c r="J59" s="100">
        <v>53.8</v>
      </c>
      <c r="K59" s="100">
        <v>49.5</v>
      </c>
      <c r="L59" s="100">
        <v>45.9</v>
      </c>
      <c r="M59" s="100"/>
      <c r="N59" s="100"/>
      <c r="O59" s="100"/>
      <c r="P59" s="100"/>
      <c r="Q59" s="100"/>
      <c r="R59" s="100"/>
      <c r="S59" s="100"/>
      <c r="T59" s="100"/>
      <c r="U59" s="100"/>
    </row>
    <row r="60" spans="1:21" x14ac:dyDescent="0.25">
      <c r="A60" s="99">
        <v>49</v>
      </c>
      <c r="B60" s="100">
        <v>418</v>
      </c>
      <c r="C60" s="100">
        <v>213.3</v>
      </c>
      <c r="D60" s="100">
        <v>145.1</v>
      </c>
      <c r="E60" s="100">
        <v>111.1</v>
      </c>
      <c r="F60" s="100">
        <v>90.7</v>
      </c>
      <c r="G60" s="100">
        <v>77.2</v>
      </c>
      <c r="H60" s="100">
        <v>67.5</v>
      </c>
      <c r="I60" s="100">
        <v>60.3</v>
      </c>
      <c r="J60" s="100">
        <v>54.8</v>
      </c>
      <c r="K60" s="100">
        <v>50.4</v>
      </c>
      <c r="L60" s="100"/>
      <c r="M60" s="100"/>
      <c r="N60" s="100"/>
      <c r="O60" s="100"/>
      <c r="P60" s="100"/>
      <c r="Q60" s="100"/>
      <c r="R60" s="100"/>
      <c r="S60" s="100"/>
      <c r="T60" s="100"/>
      <c r="U60" s="100"/>
    </row>
    <row r="61" spans="1:21" x14ac:dyDescent="0.25">
      <c r="A61" s="99">
        <v>50</v>
      </c>
      <c r="B61" s="100">
        <v>424.3</v>
      </c>
      <c r="C61" s="100">
        <v>216.5</v>
      </c>
      <c r="D61" s="100">
        <v>147.4</v>
      </c>
      <c r="E61" s="100">
        <v>112.9</v>
      </c>
      <c r="F61" s="100">
        <v>92.2</v>
      </c>
      <c r="G61" s="100">
        <v>78.5</v>
      </c>
      <c r="H61" s="100">
        <v>68.7</v>
      </c>
      <c r="I61" s="100">
        <v>61.4</v>
      </c>
      <c r="J61" s="100">
        <v>55.8</v>
      </c>
      <c r="K61" s="100"/>
      <c r="L61" s="100"/>
      <c r="M61" s="100"/>
      <c r="N61" s="100"/>
      <c r="O61" s="100"/>
      <c r="P61" s="100"/>
      <c r="Q61" s="100"/>
      <c r="R61" s="100"/>
      <c r="S61" s="100"/>
      <c r="T61" s="100"/>
      <c r="U61" s="100"/>
    </row>
    <row r="62" spans="1:21" x14ac:dyDescent="0.25">
      <c r="A62" s="99">
        <v>51</v>
      </c>
      <c r="B62" s="100">
        <v>430.7</v>
      </c>
      <c r="C62" s="100">
        <v>219.9</v>
      </c>
      <c r="D62" s="100">
        <v>149.80000000000001</v>
      </c>
      <c r="E62" s="100">
        <v>114.7</v>
      </c>
      <c r="F62" s="100">
        <v>93.8</v>
      </c>
      <c r="G62" s="100">
        <v>79.900000000000006</v>
      </c>
      <c r="H62" s="100">
        <v>70</v>
      </c>
      <c r="I62" s="100">
        <v>62.6</v>
      </c>
      <c r="J62" s="100"/>
      <c r="K62" s="100"/>
      <c r="L62" s="100"/>
      <c r="M62" s="100"/>
      <c r="N62" s="100"/>
      <c r="O62" s="100"/>
      <c r="P62" s="100"/>
      <c r="Q62" s="100"/>
      <c r="R62" s="100"/>
      <c r="S62" s="100"/>
      <c r="T62" s="100"/>
      <c r="U62" s="100"/>
    </row>
    <row r="63" spans="1:21" x14ac:dyDescent="0.25">
      <c r="A63" s="99">
        <v>52</v>
      </c>
      <c r="B63" s="100">
        <v>437.2</v>
      </c>
      <c r="C63" s="100">
        <v>223.4</v>
      </c>
      <c r="D63" s="100">
        <v>152.19999999999999</v>
      </c>
      <c r="E63" s="100">
        <v>116.6</v>
      </c>
      <c r="F63" s="100">
        <v>95.4</v>
      </c>
      <c r="G63" s="100">
        <v>81.3</v>
      </c>
      <c r="H63" s="100">
        <v>71.2</v>
      </c>
      <c r="I63" s="100"/>
      <c r="J63" s="100"/>
      <c r="K63" s="100"/>
      <c r="L63" s="100"/>
      <c r="M63" s="100"/>
      <c r="N63" s="100"/>
      <c r="O63" s="100"/>
      <c r="P63" s="100"/>
      <c r="Q63" s="100"/>
      <c r="R63" s="100"/>
      <c r="S63" s="100"/>
      <c r="T63" s="100"/>
      <c r="U63" s="100"/>
    </row>
    <row r="64" spans="1:21" x14ac:dyDescent="0.25">
      <c r="A64" s="99">
        <v>53</v>
      </c>
      <c r="B64" s="100">
        <v>443.9</v>
      </c>
      <c r="C64" s="100">
        <v>226.9</v>
      </c>
      <c r="D64" s="100">
        <v>154.6</v>
      </c>
      <c r="E64" s="100">
        <v>118.6</v>
      </c>
      <c r="F64" s="100">
        <v>97</v>
      </c>
      <c r="G64" s="100">
        <v>82.7</v>
      </c>
      <c r="H64" s="100"/>
      <c r="I64" s="100"/>
      <c r="J64" s="100"/>
      <c r="K64" s="100"/>
      <c r="L64" s="100"/>
      <c r="M64" s="100"/>
      <c r="N64" s="100"/>
      <c r="O64" s="100"/>
      <c r="P64" s="100"/>
      <c r="Q64" s="100"/>
      <c r="R64" s="100"/>
      <c r="S64" s="100"/>
      <c r="T64" s="100"/>
      <c r="U64" s="100"/>
    </row>
    <row r="65" spans="1:21" x14ac:dyDescent="0.25">
      <c r="A65" s="99">
        <v>54</v>
      </c>
      <c r="B65" s="100">
        <v>450.8</v>
      </c>
      <c r="C65" s="100">
        <v>230.5</v>
      </c>
      <c r="D65" s="100">
        <v>157.19999999999999</v>
      </c>
      <c r="E65" s="100">
        <v>120.6</v>
      </c>
      <c r="F65" s="100">
        <v>98.7</v>
      </c>
      <c r="G65" s="100"/>
      <c r="H65" s="100"/>
      <c r="I65" s="100"/>
      <c r="J65" s="100"/>
      <c r="K65" s="100"/>
      <c r="L65" s="100"/>
      <c r="M65" s="100"/>
      <c r="N65" s="100"/>
      <c r="O65" s="100"/>
      <c r="P65" s="100"/>
      <c r="Q65" s="100"/>
      <c r="R65" s="100"/>
      <c r="S65" s="100"/>
      <c r="T65" s="100"/>
      <c r="U65" s="100"/>
    </row>
    <row r="66" spans="1:21" x14ac:dyDescent="0.25">
      <c r="A66" s="99">
        <v>55</v>
      </c>
      <c r="B66" s="100">
        <v>457.8</v>
      </c>
      <c r="C66" s="100">
        <v>234.2</v>
      </c>
      <c r="D66" s="100">
        <v>159.80000000000001</v>
      </c>
      <c r="E66" s="100">
        <v>122.7</v>
      </c>
      <c r="F66" s="100"/>
      <c r="G66" s="100"/>
      <c r="H66" s="100"/>
      <c r="I66" s="100"/>
      <c r="J66" s="100"/>
      <c r="K66" s="100"/>
      <c r="L66" s="100"/>
      <c r="M66" s="100"/>
      <c r="N66" s="100"/>
      <c r="O66" s="100"/>
      <c r="P66" s="100"/>
      <c r="Q66" s="100"/>
      <c r="R66" s="100"/>
      <c r="S66" s="100"/>
      <c r="T66" s="100"/>
      <c r="U66" s="100"/>
    </row>
    <row r="67" spans="1:21" x14ac:dyDescent="0.25">
      <c r="A67" s="99">
        <v>56</v>
      </c>
      <c r="B67" s="100">
        <v>465.2</v>
      </c>
      <c r="C67" s="100">
        <v>238.2</v>
      </c>
      <c r="D67" s="100">
        <v>162.6</v>
      </c>
      <c r="E67" s="100"/>
      <c r="F67" s="100"/>
      <c r="G67" s="100"/>
      <c r="H67" s="100"/>
      <c r="I67" s="100"/>
      <c r="J67" s="100"/>
      <c r="K67" s="100"/>
      <c r="L67" s="100"/>
      <c r="M67" s="100"/>
      <c r="N67" s="100"/>
      <c r="O67" s="100"/>
      <c r="P67" s="100"/>
      <c r="Q67" s="100"/>
      <c r="R67" s="100"/>
      <c r="S67" s="100"/>
      <c r="T67" s="100"/>
      <c r="U67" s="100"/>
    </row>
    <row r="68" spans="1:21" x14ac:dyDescent="0.25">
      <c r="A68" s="99">
        <v>57</v>
      </c>
      <c r="B68" s="100">
        <v>472.9</v>
      </c>
      <c r="C68" s="100">
        <v>242.3</v>
      </c>
      <c r="D68" s="100"/>
      <c r="E68" s="100"/>
      <c r="F68" s="100"/>
      <c r="G68" s="100"/>
      <c r="H68" s="100"/>
      <c r="I68" s="100"/>
      <c r="J68" s="100"/>
      <c r="K68" s="100"/>
      <c r="L68" s="100"/>
      <c r="M68" s="100"/>
      <c r="N68" s="100"/>
      <c r="O68" s="100"/>
      <c r="P68" s="100"/>
      <c r="Q68" s="100"/>
      <c r="R68" s="100"/>
      <c r="S68" s="100"/>
      <c r="T68" s="100"/>
      <c r="U68" s="100"/>
    </row>
    <row r="69" spans="1:21" x14ac:dyDescent="0.25">
      <c r="A69" s="99">
        <v>58</v>
      </c>
      <c r="B69" s="100">
        <v>481</v>
      </c>
      <c r="C69" s="100"/>
      <c r="D69" s="100"/>
      <c r="E69" s="100"/>
      <c r="F69" s="100"/>
      <c r="G69" s="100"/>
      <c r="H69" s="100"/>
      <c r="I69" s="100"/>
      <c r="J69" s="100"/>
      <c r="K69" s="100"/>
      <c r="L69" s="100"/>
      <c r="M69" s="100"/>
      <c r="N69" s="100"/>
      <c r="O69" s="100"/>
      <c r="P69" s="100"/>
      <c r="Q69" s="100"/>
      <c r="R69" s="100"/>
      <c r="S69" s="100"/>
      <c r="T69" s="100"/>
      <c r="U69" s="100"/>
    </row>
    <row r="116" spans="22:22" x14ac:dyDescent="0.25">
      <c r="V116" s="25" t="b">
        <f t="shared" ref="V116" si="0">V27=V72</f>
        <v>1</v>
      </c>
    </row>
    <row r="117" spans="22:22" x14ac:dyDescent="0.25">
      <c r="V117" s="25" t="b">
        <f t="shared" ref="V117" si="1">V28=V73</f>
        <v>1</v>
      </c>
    </row>
    <row r="118" spans="22:22" x14ac:dyDescent="0.25">
      <c r="V118" s="25" t="b">
        <f t="shared" ref="V118" si="2">V29=V74</f>
        <v>1</v>
      </c>
    </row>
    <row r="119" spans="22:22" x14ac:dyDescent="0.25">
      <c r="V119" s="25" t="b">
        <f t="shared" ref="V119" si="3">V30=V75</f>
        <v>1</v>
      </c>
    </row>
    <row r="120" spans="22:22" x14ac:dyDescent="0.25">
      <c r="V120" s="25" t="b">
        <f t="shared" ref="V120" si="4">V31=V76</f>
        <v>1</v>
      </c>
    </row>
    <row r="121" spans="22:22" x14ac:dyDescent="0.25">
      <c r="V121" s="25" t="b">
        <f t="shared" ref="V121" si="5">V32=V77</f>
        <v>1</v>
      </c>
    </row>
    <row r="122" spans="22:22" x14ac:dyDescent="0.25">
      <c r="V122" s="25" t="b">
        <f t="shared" ref="V122" si="6">V33=V78</f>
        <v>1</v>
      </c>
    </row>
    <row r="123" spans="22:22" x14ac:dyDescent="0.25">
      <c r="V123" s="25" t="b">
        <f t="shared" ref="V123" si="7">V34=V79</f>
        <v>1</v>
      </c>
    </row>
    <row r="124" spans="22:22" x14ac:dyDescent="0.25">
      <c r="V124" s="25" t="b">
        <f t="shared" ref="V124" si="8">V35=V80</f>
        <v>1</v>
      </c>
    </row>
    <row r="125" spans="22:22" x14ac:dyDescent="0.25">
      <c r="V125" s="25" t="b">
        <f t="shared" ref="V125" si="9">V36=V81</f>
        <v>1</v>
      </c>
    </row>
    <row r="126" spans="22:22" x14ac:dyDescent="0.25">
      <c r="V126" s="25" t="b">
        <f t="shared" ref="V126" si="10">V37=V82</f>
        <v>1</v>
      </c>
    </row>
    <row r="127" spans="22:22" x14ac:dyDescent="0.25">
      <c r="V127" s="25" t="b">
        <f t="shared" ref="V127" si="11">V38=V83</f>
        <v>1</v>
      </c>
    </row>
    <row r="128" spans="22:22" x14ac:dyDescent="0.25">
      <c r="V128" s="25" t="b">
        <f t="shared" ref="V128" si="12">V39=V84</f>
        <v>1</v>
      </c>
    </row>
    <row r="129" spans="22:22" x14ac:dyDescent="0.25">
      <c r="V129" s="25" t="b">
        <f t="shared" ref="V129" si="13">V40=V85</f>
        <v>1</v>
      </c>
    </row>
    <row r="130" spans="22:22" x14ac:dyDescent="0.25">
      <c r="V130" s="25" t="b">
        <f t="shared" ref="V130" si="14">V41=V86</f>
        <v>1</v>
      </c>
    </row>
    <row r="131" spans="22:22" x14ac:dyDescent="0.25">
      <c r="V131" s="25" t="b">
        <f t="shared" ref="V131" si="15">V42=V87</f>
        <v>1</v>
      </c>
    </row>
    <row r="132" spans="22:22" x14ac:dyDescent="0.25">
      <c r="V132" s="25" t="b">
        <f t="shared" ref="V132" si="16">V43=V88</f>
        <v>1</v>
      </c>
    </row>
    <row r="133" spans="22:22" x14ac:dyDescent="0.25">
      <c r="V133" s="25" t="b">
        <f t="shared" ref="V133" si="17">V44=V89</f>
        <v>1</v>
      </c>
    </row>
    <row r="134" spans="22:22" x14ac:dyDescent="0.25">
      <c r="V134" s="25" t="b">
        <f t="shared" ref="V134" si="18">V45=V90</f>
        <v>1</v>
      </c>
    </row>
    <row r="135" spans="22:22" x14ac:dyDescent="0.25">
      <c r="V135" s="25" t="b">
        <f t="shared" ref="V135" si="19">V46=V91</f>
        <v>1</v>
      </c>
    </row>
    <row r="136" spans="22:22" x14ac:dyDescent="0.25">
      <c r="V136" s="25" t="b">
        <f t="shared" ref="V136" si="20">V47=V92</f>
        <v>1</v>
      </c>
    </row>
    <row r="137" spans="22:22" x14ac:dyDescent="0.25">
      <c r="V137" s="25" t="b">
        <f t="shared" ref="V137" si="21">V48=V93</f>
        <v>1</v>
      </c>
    </row>
    <row r="138" spans="22:22" x14ac:dyDescent="0.25">
      <c r="V138" s="25" t="b">
        <f t="shared" ref="V138" si="22">V49=V94</f>
        <v>1</v>
      </c>
    </row>
    <row r="139" spans="22:22" x14ac:dyDescent="0.25">
      <c r="V139" s="25" t="b">
        <f t="shared" ref="V139" si="23">V50=V95</f>
        <v>1</v>
      </c>
    </row>
    <row r="140" spans="22:22" x14ac:dyDescent="0.25">
      <c r="V140" s="25" t="b">
        <f t="shared" ref="V140" si="24">V51=V96</f>
        <v>1</v>
      </c>
    </row>
    <row r="141" spans="22:22" x14ac:dyDescent="0.25">
      <c r="V141" s="25" t="b">
        <f t="shared" ref="V141" si="25">V52=V97</f>
        <v>1</v>
      </c>
    </row>
    <row r="142" spans="22:22" x14ac:dyDescent="0.25">
      <c r="V142" s="25" t="b">
        <f t="shared" ref="V142" si="26">V53=V98</f>
        <v>1</v>
      </c>
    </row>
    <row r="143" spans="22:22" x14ac:dyDescent="0.25">
      <c r="V143" s="25" t="b">
        <f t="shared" ref="V143" si="27">V54=V99</f>
        <v>1</v>
      </c>
    </row>
    <row r="144" spans="22:22" x14ac:dyDescent="0.25">
      <c r="V144" s="25" t="b">
        <f t="shared" ref="V144" si="28">V55=V100</f>
        <v>1</v>
      </c>
    </row>
    <row r="145" spans="22:22" x14ac:dyDescent="0.25">
      <c r="V145" s="25" t="b">
        <f t="shared" ref="V145" si="29">V56=V101</f>
        <v>1</v>
      </c>
    </row>
    <row r="146" spans="22:22" x14ac:dyDescent="0.25">
      <c r="V146" s="25" t="b">
        <f t="shared" ref="V146" si="30">V57=V102</f>
        <v>1</v>
      </c>
    </row>
    <row r="147" spans="22:22" x14ac:dyDescent="0.25">
      <c r="V147" s="25" t="b">
        <f t="shared" ref="V147" si="31">V58=V103</f>
        <v>1</v>
      </c>
    </row>
    <row r="148" spans="22:22" x14ac:dyDescent="0.25">
      <c r="V148" s="25" t="b">
        <f t="shared" ref="V148" si="32">V59=V104</f>
        <v>1</v>
      </c>
    </row>
    <row r="149" spans="22:22" x14ac:dyDescent="0.25">
      <c r="V149" s="25" t="b">
        <f t="shared" ref="V149" si="33">V60=V105</f>
        <v>1</v>
      </c>
    </row>
    <row r="150" spans="22:22" x14ac:dyDescent="0.25">
      <c r="V150" s="25" t="b">
        <f t="shared" ref="V150" si="34">V61=V106</f>
        <v>1</v>
      </c>
    </row>
    <row r="151" spans="22:22" x14ac:dyDescent="0.25">
      <c r="V151" s="25" t="b">
        <f t="shared" ref="V151" si="35">V62=V107</f>
        <v>1</v>
      </c>
    </row>
    <row r="152" spans="22:22" x14ac:dyDescent="0.25">
      <c r="V152" s="25" t="b">
        <f t="shared" ref="V152" si="36">V63=V108</f>
        <v>1</v>
      </c>
    </row>
    <row r="153" spans="22:22" x14ac:dyDescent="0.25">
      <c r="V153" s="25" t="b">
        <f t="shared" ref="V153" si="37">V64=V109</f>
        <v>1</v>
      </c>
    </row>
    <row r="154" spans="22:22" x14ac:dyDescent="0.25">
      <c r="V154" s="25" t="b">
        <f t="shared" ref="V154" si="38">V65=V110</f>
        <v>1</v>
      </c>
    </row>
    <row r="155" spans="22:22" x14ac:dyDescent="0.25">
      <c r="V155" s="25" t="b">
        <f t="shared" ref="V155" si="39">V66=V111</f>
        <v>1</v>
      </c>
    </row>
    <row r="156" spans="22:22" x14ac:dyDescent="0.25">
      <c r="V156" s="25" t="b">
        <f t="shared" ref="V156" si="40">V67=V112</f>
        <v>1</v>
      </c>
    </row>
    <row r="157" spans="22:22" x14ac:dyDescent="0.25">
      <c r="V157" s="25" t="b">
        <f t="shared" ref="V157" si="41">V68=V113</f>
        <v>1</v>
      </c>
    </row>
    <row r="158" spans="22:22" x14ac:dyDescent="0.25">
      <c r="V158" s="25" t="b">
        <f t="shared" ref="V158" si="42">V69=V114</f>
        <v>1</v>
      </c>
    </row>
  </sheetData>
  <sheetProtection algorithmName="SHA-512" hashValue="0uj0+7DdVaZzrqEAFE4bPeFxhCYxm6OE5kc2pYbkElR7sThNhhOc5xFmgi0auoskPkEZO72wm1+p5SaoLGrUeA==" saltValue="khMfkLgqkhL+8iXsV/ZMWg==" spinCount="100000" sheet="1" objects="1" scenarios="1"/>
  <conditionalFormatting sqref="A6:A21">
    <cfRule type="expression" dxfId="457" priority="13" stopIfTrue="1">
      <formula>MOD(ROW(),2)=0</formula>
    </cfRule>
    <cfRule type="expression" dxfId="456" priority="14" stopIfTrue="1">
      <formula>MOD(ROW(),2)&lt;&gt;0</formula>
    </cfRule>
  </conditionalFormatting>
  <conditionalFormatting sqref="A26:A69">
    <cfRule type="expression" dxfId="455" priority="3" stopIfTrue="1">
      <formula>MOD(ROW(),2)=0</formula>
    </cfRule>
    <cfRule type="expression" dxfId="454" priority="4" stopIfTrue="1">
      <formula>MOD(ROW(),2)&lt;&gt;0</formula>
    </cfRule>
  </conditionalFormatting>
  <conditionalFormatting sqref="B17:B21">
    <cfRule type="expression" dxfId="453" priority="1" stopIfTrue="1">
      <formula>MOD(ROW(),2)=0</formula>
    </cfRule>
    <cfRule type="expression" dxfId="452" priority="2" stopIfTrue="1">
      <formula>MOD(ROW(),2)&lt;&gt;0</formula>
    </cfRule>
  </conditionalFormatting>
  <conditionalFormatting sqref="B6:U21">
    <cfRule type="expression" dxfId="451" priority="23" stopIfTrue="1">
      <formula>MOD(ROW(),2)=0</formula>
    </cfRule>
    <cfRule type="expression" dxfId="450" priority="24" stopIfTrue="1">
      <formula>MOD(ROW(),2)&lt;&gt;0</formula>
    </cfRule>
  </conditionalFormatting>
  <conditionalFormatting sqref="B26:U69">
    <cfRule type="expression" dxfId="449" priority="5" stopIfTrue="1">
      <formula>MOD(ROW(),2)=0</formula>
    </cfRule>
    <cfRule type="expression" dxfId="448" priority="6" stopIfTrue="1">
      <formula>MOD(ROW(),2)&lt;&gt;0</formula>
    </cfRule>
  </conditionalFormatting>
  <hyperlinks>
    <hyperlink ref="B24" location="Assumptions!A1" display="Assumptions" xr:uid="{9281B41B-29A1-4D41-A8D5-E5DA9AAD9A9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6">
    <tabColor theme="3" tint="0.39997558519241921"/>
  </sheetPr>
  <dimension ref="A1:P999"/>
  <sheetViews>
    <sheetView showGridLines="0" topLeftCell="F968" zoomScale="85" zoomScaleNormal="85" workbookViewId="0">
      <selection activeCell="P999" sqref="P999"/>
    </sheetView>
  </sheetViews>
  <sheetFormatPr defaultRowHeight="12.5" x14ac:dyDescent="0.25"/>
  <cols>
    <col min="1" max="4" width="17.36328125" customWidth="1"/>
    <col min="5" max="5" width="50.6328125" customWidth="1"/>
    <col min="6" max="6" width="17.36328125" customWidth="1"/>
    <col min="7" max="7" width="50.6328125" customWidth="1"/>
    <col min="8" max="10" width="17.36328125" customWidth="1"/>
    <col min="11" max="11" width="30.6328125" customWidth="1"/>
    <col min="12" max="12" width="17.36328125" customWidth="1"/>
    <col min="13" max="14" width="17.36328125" style="7" customWidth="1"/>
    <col min="15" max="16" width="17.36328125" customWidth="1"/>
  </cols>
  <sheetData>
    <row r="1" spans="1:16" ht="20" x14ac:dyDescent="0.4">
      <c r="A1" s="3" t="s">
        <v>0</v>
      </c>
      <c r="B1" s="9"/>
      <c r="C1" s="9"/>
      <c r="D1" s="9"/>
      <c r="E1" s="9"/>
      <c r="F1" s="9"/>
      <c r="G1" s="9"/>
      <c r="H1" s="9"/>
      <c r="I1" s="9"/>
      <c r="J1" s="9"/>
      <c r="K1" s="9"/>
      <c r="L1" s="9"/>
      <c r="M1" s="104"/>
      <c r="N1" s="104"/>
      <c r="O1" s="9"/>
      <c r="P1" s="9"/>
    </row>
    <row r="2" spans="1:16" ht="15.5" x14ac:dyDescent="0.35">
      <c r="A2" s="10" t="str">
        <f>IF(title="&gt; Enter workbook title here","Enter workbook title in Cover sheet",title)</f>
        <v>NHSPS_NI - Consolidated Factor Spreadsheet</v>
      </c>
      <c r="B2" s="8"/>
      <c r="C2" s="8"/>
      <c r="D2" s="8"/>
      <c r="E2" s="8"/>
      <c r="F2" s="8"/>
      <c r="G2" s="8"/>
      <c r="H2" s="8"/>
      <c r="I2" s="8"/>
      <c r="J2" s="8"/>
      <c r="K2" s="8"/>
      <c r="L2" s="8"/>
      <c r="M2" s="105"/>
      <c r="N2" s="105"/>
      <c r="O2" s="8"/>
      <c r="P2" s="8"/>
    </row>
    <row r="3" spans="1:16" ht="15.5" x14ac:dyDescent="0.35">
      <c r="A3" s="5" t="s">
        <v>13</v>
      </c>
      <c r="B3" s="8"/>
      <c r="C3" s="8"/>
      <c r="D3" s="8"/>
      <c r="E3" s="8"/>
      <c r="F3" s="8"/>
      <c r="G3" s="8"/>
      <c r="H3" s="8"/>
      <c r="I3" s="8"/>
      <c r="J3" s="8"/>
      <c r="K3" s="8"/>
      <c r="L3" s="8"/>
      <c r="M3" s="105"/>
      <c r="N3" s="105"/>
      <c r="O3" s="8"/>
      <c r="P3" s="8"/>
    </row>
    <row r="4" spans="1:16" x14ac:dyDescent="0.25">
      <c r="A4" s="6"/>
    </row>
    <row r="5" spans="1:16" x14ac:dyDescent="0.25">
      <c r="M5"/>
      <c r="N5"/>
    </row>
    <row r="6" spans="1:16" x14ac:dyDescent="0.25">
      <c r="M6"/>
      <c r="N6"/>
    </row>
    <row r="7" spans="1:16" s="24" customFormat="1" ht="50.25" customHeight="1" x14ac:dyDescent="0.3">
      <c r="A7" s="106" t="s">
        <v>306</v>
      </c>
      <c r="B7" s="106" t="s">
        <v>278</v>
      </c>
      <c r="C7" s="106" t="s">
        <v>280</v>
      </c>
      <c r="D7" s="106" t="s">
        <v>282</v>
      </c>
      <c r="E7" s="106" t="s">
        <v>6</v>
      </c>
      <c r="F7" s="106" t="s">
        <v>285</v>
      </c>
      <c r="G7" s="106" t="s">
        <v>287</v>
      </c>
      <c r="H7" s="106" t="s">
        <v>307</v>
      </c>
      <c r="I7" s="106" t="s">
        <v>291</v>
      </c>
      <c r="J7" s="106" t="s">
        <v>308</v>
      </c>
      <c r="K7" s="106" t="s">
        <v>295</v>
      </c>
      <c r="L7" s="106" t="s">
        <v>297</v>
      </c>
      <c r="M7" s="106" t="s">
        <v>299</v>
      </c>
      <c r="N7" s="106" t="s">
        <v>301</v>
      </c>
      <c r="O7" s="106" t="s">
        <v>303</v>
      </c>
      <c r="P7" s="106" t="s">
        <v>309</v>
      </c>
    </row>
    <row r="8" spans="1:16" ht="39.65" customHeight="1" x14ac:dyDescent="0.25">
      <c r="A8" s="165" t="str">
        <f ca="1">HYPERLINK(MID(CELL("filename",A1),FIND("[",CELL("filename",A1)),FIND("]",CELL("filename",A1)) - FIND("[",CELL("filename",A1)) + 1) &amp; "'x-101'!TABLE_CLIENT_1","x-101 1")</f>
        <v>x-101 1</v>
      </c>
      <c r="B8" s="81" t="s">
        <v>310</v>
      </c>
      <c r="C8" s="81" t="s">
        <v>74</v>
      </c>
      <c r="D8" s="81" t="s">
        <v>311</v>
      </c>
      <c r="E8" s="81" t="s">
        <v>312</v>
      </c>
      <c r="F8" s="81" t="s">
        <v>313</v>
      </c>
      <c r="G8" s="81" t="s">
        <v>314</v>
      </c>
      <c r="H8" s="81">
        <v>0</v>
      </c>
      <c r="I8" s="69">
        <v>101</v>
      </c>
      <c r="J8" t="s">
        <v>315</v>
      </c>
      <c r="K8" s="166" t="s">
        <v>316</v>
      </c>
      <c r="L8" s="166"/>
      <c r="M8" s="167">
        <v>45202</v>
      </c>
      <c r="N8" s="167">
        <v>45200</v>
      </c>
      <c r="O8" s="81" t="s">
        <v>317</v>
      </c>
      <c r="P8" s="167" t="s">
        <v>318</v>
      </c>
    </row>
    <row r="9" spans="1:16" ht="39.65" customHeight="1" x14ac:dyDescent="0.25">
      <c r="A9" s="165" t="str">
        <f ca="1">HYPERLINK(MID(CELL("filename",A1),FIND("[",CELL("filename",A1)),FIND("]",CELL("filename",A1)) - FIND("[",CELL("filename",A1)) + 1) &amp; "'x-102'!TABLE_CLIENT_1","x-102 1")</f>
        <v>x-102 1</v>
      </c>
      <c r="B9" s="81" t="s">
        <v>310</v>
      </c>
      <c r="C9" s="81" t="s">
        <v>74</v>
      </c>
      <c r="D9" s="81" t="s">
        <v>311</v>
      </c>
      <c r="E9" s="81" t="s">
        <v>319</v>
      </c>
      <c r="F9" s="81" t="s">
        <v>313</v>
      </c>
      <c r="G9" s="81" t="s">
        <v>314</v>
      </c>
      <c r="H9" s="81">
        <v>0</v>
      </c>
      <c r="I9" s="69">
        <v>102</v>
      </c>
      <c r="J9" t="s">
        <v>320</v>
      </c>
      <c r="K9" s="166" t="s">
        <v>321</v>
      </c>
      <c r="L9" s="166"/>
      <c r="M9" s="167">
        <v>45202</v>
      </c>
      <c r="N9" s="167">
        <v>45200</v>
      </c>
      <c r="O9" s="81" t="s">
        <v>317</v>
      </c>
      <c r="P9" s="167" t="s">
        <v>318</v>
      </c>
    </row>
    <row r="10" spans="1:16" ht="39.65" customHeight="1" x14ac:dyDescent="0.25">
      <c r="A10" s="165" t="str">
        <f ca="1">HYPERLINK(MID(CELL("filename",A1),FIND("[",CELL("filename",A1)),FIND("]",CELL("filename",A1)) - FIND("[",CELL("filename",A1)) + 1) &amp; "'x-103'!TABLE_CLIENT_1","x-103 1")</f>
        <v>x-103 1</v>
      </c>
      <c r="B10" s="81" t="s">
        <v>310</v>
      </c>
      <c r="C10" s="81" t="s">
        <v>74</v>
      </c>
      <c r="D10" s="81" t="s">
        <v>311</v>
      </c>
      <c r="E10" s="81" t="s">
        <v>322</v>
      </c>
      <c r="F10" s="81" t="s">
        <v>313</v>
      </c>
      <c r="G10" s="81" t="s">
        <v>314</v>
      </c>
      <c r="H10" s="81">
        <v>0</v>
      </c>
      <c r="I10" s="69">
        <v>103</v>
      </c>
      <c r="J10" t="s">
        <v>323</v>
      </c>
      <c r="K10" s="166" t="s">
        <v>324</v>
      </c>
      <c r="L10" s="166"/>
      <c r="M10" s="167">
        <v>45202</v>
      </c>
      <c r="N10" s="167">
        <v>45200</v>
      </c>
      <c r="O10" s="81" t="s">
        <v>317</v>
      </c>
      <c r="P10" s="167" t="s">
        <v>318</v>
      </c>
    </row>
    <row r="11" spans="1:16" ht="39.65" customHeight="1" x14ac:dyDescent="0.25">
      <c r="A11" s="165" t="str">
        <f ca="1">HYPERLINK(MID(CELL("filename",A1),FIND("[",CELL("filename",A1)),FIND("]",CELL("filename",A1)) - FIND("[",CELL("filename",A1)) + 1) &amp; "'x-104'!TABLE_CLIENT_1","x-104 1")</f>
        <v>x-104 1</v>
      </c>
      <c r="B11" s="81" t="s">
        <v>310</v>
      </c>
      <c r="C11" s="81" t="s">
        <v>74</v>
      </c>
      <c r="D11" s="81" t="s">
        <v>311</v>
      </c>
      <c r="E11" s="81" t="s">
        <v>325</v>
      </c>
      <c r="F11" s="81" t="s">
        <v>313</v>
      </c>
      <c r="G11" s="81" t="s">
        <v>314</v>
      </c>
      <c r="H11" s="81">
        <v>0</v>
      </c>
      <c r="I11" s="69">
        <v>104</v>
      </c>
      <c r="J11" t="s">
        <v>326</v>
      </c>
      <c r="K11" s="166" t="s">
        <v>327</v>
      </c>
      <c r="L11" s="166"/>
      <c r="M11" s="167">
        <v>45202</v>
      </c>
      <c r="N11" s="167">
        <v>45200</v>
      </c>
      <c r="O11" s="81" t="s">
        <v>317</v>
      </c>
      <c r="P11" s="167" t="s">
        <v>318</v>
      </c>
    </row>
    <row r="12" spans="1:16" ht="39.65" customHeight="1" x14ac:dyDescent="0.25">
      <c r="A12" s="165" t="str">
        <f ca="1">HYPERLINK(MID(CELL("filename",A1),FIND("[",CELL("filename",A1)),FIND("]",CELL("filename",A1)) - FIND("[",CELL("filename",A1)) + 1) &amp; "'x-201'!TABLE_CLIENT_1","x-201 1")</f>
        <v>x-201 1</v>
      </c>
      <c r="B12" s="81" t="s">
        <v>310</v>
      </c>
      <c r="C12" s="81" t="s">
        <v>75</v>
      </c>
      <c r="D12" s="81" t="s">
        <v>328</v>
      </c>
      <c r="E12" s="81" t="s">
        <v>329</v>
      </c>
      <c r="F12" s="81" t="s">
        <v>330</v>
      </c>
      <c r="G12" s="81" t="s">
        <v>314</v>
      </c>
      <c r="H12" s="81">
        <v>1</v>
      </c>
      <c r="I12" s="69">
        <v>201</v>
      </c>
      <c r="J12" t="s">
        <v>331</v>
      </c>
      <c r="K12" s="166" t="s">
        <v>332</v>
      </c>
      <c r="L12" s="166"/>
      <c r="M12" s="167">
        <v>45072</v>
      </c>
      <c r="N12" s="167">
        <v>45014</v>
      </c>
      <c r="O12" s="81" t="s">
        <v>317</v>
      </c>
      <c r="P12" s="167" t="s">
        <v>318</v>
      </c>
    </row>
    <row r="13" spans="1:16" ht="39.65" customHeight="1" x14ac:dyDescent="0.25">
      <c r="A13" s="165" t="str">
        <f ca="1">HYPERLINK(MID(CELL("filename",A1),FIND("[",CELL("filename",A1)),FIND("]",CELL("filename",A1)) - FIND("[",CELL("filename",A1)) + 1) &amp; "'x-202'!TABLE_CLIENT_1","x-202 1")</f>
        <v>x-202 1</v>
      </c>
      <c r="B13" s="81" t="s">
        <v>310</v>
      </c>
      <c r="C13" s="81" t="s">
        <v>75</v>
      </c>
      <c r="D13" s="81" t="s">
        <v>328</v>
      </c>
      <c r="E13" s="81" t="s">
        <v>333</v>
      </c>
      <c r="F13" s="81" t="s">
        <v>334</v>
      </c>
      <c r="G13" s="81" t="s">
        <v>314</v>
      </c>
      <c r="H13" s="81">
        <v>1</v>
      </c>
      <c r="I13" s="69">
        <v>202</v>
      </c>
      <c r="J13" t="s">
        <v>335</v>
      </c>
      <c r="K13" s="166" t="s">
        <v>336</v>
      </c>
      <c r="L13" s="166"/>
      <c r="M13" s="167">
        <v>45072</v>
      </c>
      <c r="N13" s="167">
        <v>45014</v>
      </c>
      <c r="O13" s="81" t="s">
        <v>317</v>
      </c>
      <c r="P13" s="167" t="s">
        <v>318</v>
      </c>
    </row>
    <row r="14" spans="1:16" ht="39.65" customHeight="1" x14ac:dyDescent="0.25">
      <c r="A14" s="165" t="str">
        <f ca="1">HYPERLINK(MID(CELL("filename",A1),FIND("[",CELL("filename",A1)),FIND("]",CELL("filename",A1)) - FIND("[",CELL("filename",A1)) + 1) &amp; "'x-203'!TABLE_CLIENT_1","x-203 1")</f>
        <v>x-203 1</v>
      </c>
      <c r="B14" s="81" t="s">
        <v>310</v>
      </c>
      <c r="C14" s="81" t="s">
        <v>75</v>
      </c>
      <c r="D14" s="81" t="s">
        <v>328</v>
      </c>
      <c r="E14" s="81" t="s">
        <v>337</v>
      </c>
      <c r="F14" s="81" t="s">
        <v>330</v>
      </c>
      <c r="G14" s="81" t="s">
        <v>314</v>
      </c>
      <c r="H14" s="81">
        <v>2</v>
      </c>
      <c r="I14" s="69">
        <v>203</v>
      </c>
      <c r="J14" t="s">
        <v>338</v>
      </c>
      <c r="K14" s="166" t="s">
        <v>339</v>
      </c>
      <c r="L14" s="166"/>
      <c r="M14" s="167">
        <v>45072</v>
      </c>
      <c r="N14" s="167">
        <v>45014</v>
      </c>
      <c r="O14" s="81" t="s">
        <v>317</v>
      </c>
      <c r="P14" s="167" t="s">
        <v>318</v>
      </c>
    </row>
    <row r="15" spans="1:16" ht="39.65" customHeight="1" x14ac:dyDescent="0.25">
      <c r="A15" s="165" t="str">
        <f ca="1">HYPERLINK(MID(CELL("filename",A1),FIND("[",CELL("filename",A1)),FIND("]",CELL("filename",A1)) - FIND("[",CELL("filename",A1)) + 1) &amp; "'x-204'!TABLE_CLIENT_1","x-204 1")</f>
        <v>x-204 1</v>
      </c>
      <c r="B15" s="81" t="s">
        <v>310</v>
      </c>
      <c r="C15" s="81" t="s">
        <v>75</v>
      </c>
      <c r="D15" s="81" t="s">
        <v>328</v>
      </c>
      <c r="E15" s="81" t="s">
        <v>340</v>
      </c>
      <c r="F15" s="81" t="s">
        <v>334</v>
      </c>
      <c r="G15" s="81" t="s">
        <v>314</v>
      </c>
      <c r="H15" s="81">
        <v>2</v>
      </c>
      <c r="I15" s="69">
        <v>204</v>
      </c>
      <c r="J15" t="s">
        <v>341</v>
      </c>
      <c r="K15" s="166" t="s">
        <v>342</v>
      </c>
      <c r="L15" s="166"/>
      <c r="M15" s="167">
        <v>45072</v>
      </c>
      <c r="N15" s="167">
        <v>45014</v>
      </c>
      <c r="O15" s="81" t="s">
        <v>317</v>
      </c>
      <c r="P15" s="167" t="s">
        <v>318</v>
      </c>
    </row>
    <row r="16" spans="1:16" ht="39.65" customHeight="1" x14ac:dyDescent="0.25">
      <c r="A16" s="165" t="str">
        <f ca="1">HYPERLINK(MID(CELL("filename",A1),FIND("[",CELL("filename",A1)),FIND("]",CELL("filename",A1)) - FIND("[",CELL("filename",A1)) + 1) &amp; "'x-204'!TABLE_CLIENT_2","x-204 2")</f>
        <v>x-204 2</v>
      </c>
      <c r="B16" s="81" t="s">
        <v>310</v>
      </c>
      <c r="C16" s="81" t="s">
        <v>75</v>
      </c>
      <c r="D16" s="81" t="s">
        <v>328</v>
      </c>
      <c r="E16" s="81" t="s">
        <v>343</v>
      </c>
      <c r="F16" s="81" t="s">
        <v>334</v>
      </c>
      <c r="G16" s="81" t="s">
        <v>314</v>
      </c>
      <c r="H16" s="81">
        <v>2</v>
      </c>
      <c r="I16" s="69">
        <v>204</v>
      </c>
      <c r="J16" t="s">
        <v>344</v>
      </c>
      <c r="K16" s="166" t="s">
        <v>342</v>
      </c>
      <c r="L16" s="166"/>
      <c r="M16" s="167">
        <v>45072</v>
      </c>
      <c r="N16" s="167">
        <v>45014</v>
      </c>
      <c r="O16" s="81" t="s">
        <v>317</v>
      </c>
      <c r="P16" s="167" t="s">
        <v>318</v>
      </c>
    </row>
    <row r="17" spans="1:16" ht="39.65" customHeight="1" x14ac:dyDescent="0.25">
      <c r="A17" s="165" t="str">
        <f ca="1">HYPERLINK(MID(CELL("filename",A1),FIND("[",CELL("filename",A1)),FIND("]",CELL("filename",A1)) - FIND("[",CELL("filename",A1)) + 1) &amp; "'x-205'!TABLE_CLIENT_1","x-205 1")</f>
        <v>x-205 1</v>
      </c>
      <c r="B17" s="81" t="s">
        <v>310</v>
      </c>
      <c r="C17" s="81" t="s">
        <v>75</v>
      </c>
      <c r="D17" s="81" t="s">
        <v>328</v>
      </c>
      <c r="E17" s="81" t="s">
        <v>345</v>
      </c>
      <c r="F17" s="81" t="s">
        <v>330</v>
      </c>
      <c r="G17" s="81" t="s">
        <v>314</v>
      </c>
      <c r="H17" s="81">
        <v>1</v>
      </c>
      <c r="I17" s="69">
        <v>205</v>
      </c>
      <c r="J17" t="s">
        <v>346</v>
      </c>
      <c r="K17" s="166" t="s">
        <v>347</v>
      </c>
      <c r="L17" s="166"/>
      <c r="M17" s="167">
        <v>45072</v>
      </c>
      <c r="N17" s="167">
        <v>45014</v>
      </c>
      <c r="O17" s="81" t="s">
        <v>317</v>
      </c>
      <c r="P17" s="167" t="s">
        <v>318</v>
      </c>
    </row>
    <row r="18" spans="1:16" ht="39.65" customHeight="1" x14ac:dyDescent="0.25">
      <c r="A18" s="165" t="str">
        <f ca="1">HYPERLINK(MID(CELL("filename",A1),FIND("[",CELL("filename",A1)),FIND("]",CELL("filename",A1)) - FIND("[",CELL("filename",A1)) + 1) &amp; "'x-206'!TABLE_CLIENT_1","x-206 1")</f>
        <v>x-206 1</v>
      </c>
      <c r="B18" s="81" t="s">
        <v>310</v>
      </c>
      <c r="C18" s="81" t="s">
        <v>75</v>
      </c>
      <c r="D18" s="81" t="s">
        <v>328</v>
      </c>
      <c r="E18" s="81" t="s">
        <v>348</v>
      </c>
      <c r="F18" s="81" t="s">
        <v>334</v>
      </c>
      <c r="G18" s="81" t="s">
        <v>314</v>
      </c>
      <c r="H18" s="81">
        <v>1</v>
      </c>
      <c r="I18" s="69">
        <v>206</v>
      </c>
      <c r="J18" t="s">
        <v>349</v>
      </c>
      <c r="K18" s="166" t="s">
        <v>350</v>
      </c>
      <c r="L18" s="166"/>
      <c r="M18" s="167">
        <v>45072</v>
      </c>
      <c r="N18" s="167">
        <v>45014</v>
      </c>
      <c r="O18" s="81" t="s">
        <v>317</v>
      </c>
      <c r="P18" s="167" t="s">
        <v>318</v>
      </c>
    </row>
    <row r="19" spans="1:16" ht="39.65" customHeight="1" x14ac:dyDescent="0.25">
      <c r="A19" s="165" t="str">
        <f ca="1">HYPERLINK(MID(CELL("filename",A1),FIND("[",CELL("filename",A1)),FIND("]",CELL("filename",A1)) - FIND("[",CELL("filename",A1)) + 1) &amp; "'x-207'!TABLE_CLIENT_1","x-207 1")</f>
        <v>x-207 1</v>
      </c>
      <c r="B19" s="81" t="s">
        <v>310</v>
      </c>
      <c r="C19" s="81" t="s">
        <v>75</v>
      </c>
      <c r="D19" s="81" t="s">
        <v>328</v>
      </c>
      <c r="E19" s="81" t="s">
        <v>351</v>
      </c>
      <c r="F19" s="81" t="s">
        <v>330</v>
      </c>
      <c r="G19" s="81" t="s">
        <v>352</v>
      </c>
      <c r="H19" s="81">
        <v>1</v>
      </c>
      <c r="I19" s="69">
        <v>207</v>
      </c>
      <c r="J19" t="s">
        <v>353</v>
      </c>
      <c r="K19" s="166" t="s">
        <v>354</v>
      </c>
      <c r="L19" s="166"/>
      <c r="M19" s="167">
        <v>45072</v>
      </c>
      <c r="N19" s="167">
        <v>45014</v>
      </c>
      <c r="O19" s="81" t="s">
        <v>317</v>
      </c>
      <c r="P19" s="167" t="s">
        <v>318</v>
      </c>
    </row>
    <row r="20" spans="1:16" ht="39.65" customHeight="1" x14ac:dyDescent="0.25">
      <c r="A20" s="165" t="str">
        <f ca="1">HYPERLINK(MID(CELL("filename",A1),FIND("[",CELL("filename",A1)),FIND("]",CELL("filename",A1)) - FIND("[",CELL("filename",A1)) + 1) &amp; "'x-208'!TABLE_CLIENT_1","x-208 1")</f>
        <v>x-208 1</v>
      </c>
      <c r="B20" s="81" t="s">
        <v>310</v>
      </c>
      <c r="C20" s="81" t="s">
        <v>75</v>
      </c>
      <c r="D20" s="81" t="s">
        <v>328</v>
      </c>
      <c r="E20" s="81" t="s">
        <v>355</v>
      </c>
      <c r="F20" s="81" t="s">
        <v>334</v>
      </c>
      <c r="G20" s="81" t="s">
        <v>352</v>
      </c>
      <c r="H20" s="81">
        <v>1</v>
      </c>
      <c r="I20" s="69">
        <v>208</v>
      </c>
      <c r="J20" t="s">
        <v>356</v>
      </c>
      <c r="K20" s="166" t="s">
        <v>357</v>
      </c>
      <c r="L20" s="166"/>
      <c r="M20" s="167">
        <v>45072</v>
      </c>
      <c r="N20" s="167">
        <v>45014</v>
      </c>
      <c r="O20" s="81" t="s">
        <v>317</v>
      </c>
      <c r="P20" s="167" t="s">
        <v>318</v>
      </c>
    </row>
    <row r="21" spans="1:16" ht="39.65" customHeight="1" x14ac:dyDescent="0.25">
      <c r="A21" s="165" t="str">
        <f ca="1">HYPERLINK(MID(CELL("filename",A1),FIND("[",CELL("filename",A1)),FIND("]",CELL("filename",A1)) - FIND("[",CELL("filename",A1)) + 1) &amp; "'x-209'!TABLE_CLIENT_1","x-209 1")</f>
        <v>x-209 1</v>
      </c>
      <c r="B21" s="81" t="s">
        <v>310</v>
      </c>
      <c r="C21" s="81" t="s">
        <v>74</v>
      </c>
      <c r="D21" s="81" t="s">
        <v>328</v>
      </c>
      <c r="E21" s="81" t="s">
        <v>358</v>
      </c>
      <c r="F21" s="81" t="s">
        <v>359</v>
      </c>
      <c r="G21" s="81" t="s">
        <v>360</v>
      </c>
      <c r="H21" s="81">
        <v>0</v>
      </c>
      <c r="I21" s="69">
        <v>209</v>
      </c>
      <c r="J21" t="s">
        <v>361</v>
      </c>
      <c r="K21" s="166" t="s">
        <v>362</v>
      </c>
      <c r="L21" s="166"/>
      <c r="M21" s="167">
        <v>45072</v>
      </c>
      <c r="N21" s="167">
        <v>45014</v>
      </c>
      <c r="O21" s="81" t="s">
        <v>317</v>
      </c>
      <c r="P21" s="167" t="s">
        <v>318</v>
      </c>
    </row>
    <row r="22" spans="1:16" ht="39.65" customHeight="1" x14ac:dyDescent="0.25">
      <c r="A22" s="165" t="str">
        <f ca="1">HYPERLINK(MID(CELL("filename",A1),FIND("[",CELL("filename",A1)),FIND("]",CELL("filename",A1)) - FIND("[",CELL("filename",A1)) + 1) &amp; "'x-217'!TABLE_CLIENT_1","x-217 1")</f>
        <v>x-217 1</v>
      </c>
      <c r="B22" s="81" t="s">
        <v>310</v>
      </c>
      <c r="C22" s="81" t="s">
        <v>363</v>
      </c>
      <c r="D22" s="81" t="s">
        <v>364</v>
      </c>
      <c r="E22" s="81" t="s">
        <v>365</v>
      </c>
      <c r="F22" s="81" t="s">
        <v>359</v>
      </c>
      <c r="G22" s="81" t="s">
        <v>366</v>
      </c>
      <c r="H22" s="81">
        <v>1</v>
      </c>
      <c r="I22" s="69">
        <v>217</v>
      </c>
      <c r="J22" t="s">
        <v>367</v>
      </c>
      <c r="K22" s="166" t="s">
        <v>368</v>
      </c>
      <c r="L22" s="166"/>
      <c r="M22" s="167">
        <v>45107</v>
      </c>
      <c r="N22" s="167">
        <v>45014</v>
      </c>
      <c r="O22" s="81" t="s">
        <v>317</v>
      </c>
      <c r="P22" s="167" t="s">
        <v>318</v>
      </c>
    </row>
    <row r="23" spans="1:16" ht="39.65" customHeight="1" x14ac:dyDescent="0.25">
      <c r="A23" s="165" t="str">
        <f ca="1">HYPERLINK(MID(CELL("filename",A1),FIND("[",CELL("filename",A1)),FIND("]",CELL("filename",A1)) - FIND("[",CELL("filename",A1)) + 1) &amp; "'x-218'!TABLE_CLIENT_1","x-218 1")</f>
        <v>x-218 1</v>
      </c>
      <c r="B23" s="81" t="s">
        <v>310</v>
      </c>
      <c r="C23" s="81" t="s">
        <v>74</v>
      </c>
      <c r="D23" s="81" t="s">
        <v>364</v>
      </c>
      <c r="E23" s="81" t="s">
        <v>369</v>
      </c>
      <c r="F23" s="81" t="s">
        <v>359</v>
      </c>
      <c r="G23" s="81" t="s">
        <v>366</v>
      </c>
      <c r="H23" s="81">
        <v>0</v>
      </c>
      <c r="I23" s="69">
        <v>215</v>
      </c>
      <c r="J23" t="s">
        <v>370</v>
      </c>
      <c r="K23" s="166" t="s">
        <v>371</v>
      </c>
      <c r="L23" s="166"/>
      <c r="M23" s="167">
        <v>45107</v>
      </c>
      <c r="N23" s="167">
        <v>45015</v>
      </c>
      <c r="O23" s="81" t="s">
        <v>317</v>
      </c>
      <c r="P23" s="167" t="s">
        <v>318</v>
      </c>
    </row>
    <row r="24" spans="1:16" ht="39.65" customHeight="1" x14ac:dyDescent="0.25">
      <c r="A24" s="165" t="str">
        <f ca="1">HYPERLINK(MID(CELL("filename",A1),FIND("[",CELL("filename",A1)),FIND("]",CELL("filename",A1)) - FIND("[",CELL("filename",A1)) + 1) &amp; "'x-301'!TABLE_CLIENT_1","x-301 1")</f>
        <v>x-301 1</v>
      </c>
      <c r="B24" s="81" t="s">
        <v>310</v>
      </c>
      <c r="C24" s="81" t="s">
        <v>75</v>
      </c>
      <c r="D24" s="81" t="s">
        <v>372</v>
      </c>
      <c r="E24" s="81" t="s">
        <v>373</v>
      </c>
      <c r="F24" s="81" t="s">
        <v>359</v>
      </c>
      <c r="G24" s="81" t="s">
        <v>374</v>
      </c>
      <c r="H24" s="81">
        <v>1</v>
      </c>
      <c r="I24" s="69">
        <v>301</v>
      </c>
      <c r="J24" t="s">
        <v>375</v>
      </c>
      <c r="K24" s="166" t="s">
        <v>376</v>
      </c>
      <c r="L24" s="166"/>
      <c r="M24" s="167">
        <v>45072</v>
      </c>
      <c r="N24" s="167">
        <v>45014</v>
      </c>
      <c r="O24" s="81" t="s">
        <v>317</v>
      </c>
      <c r="P24" s="167" t="s">
        <v>318</v>
      </c>
    </row>
    <row r="25" spans="1:16" ht="39.65" customHeight="1" x14ac:dyDescent="0.25">
      <c r="A25" s="165" t="str">
        <f ca="1">HYPERLINK(MID(CELL("filename",A1),FIND("[",CELL("filename",A1)),FIND("]",CELL("filename",A1)) - FIND("[",CELL("filename",A1)) + 1) &amp; "'x-302'!TABLE_CLIENT_1","x-302 1")</f>
        <v>x-302 1</v>
      </c>
      <c r="B25" s="81" t="s">
        <v>310</v>
      </c>
      <c r="C25" s="81" t="s">
        <v>75</v>
      </c>
      <c r="D25" s="81" t="s">
        <v>372</v>
      </c>
      <c r="E25" s="81" t="s">
        <v>377</v>
      </c>
      <c r="F25" s="81" t="s">
        <v>359</v>
      </c>
      <c r="G25" s="81" t="s">
        <v>374</v>
      </c>
      <c r="H25" s="81">
        <v>1</v>
      </c>
      <c r="I25" s="69">
        <v>302</v>
      </c>
      <c r="J25" t="s">
        <v>378</v>
      </c>
      <c r="K25" s="166" t="s">
        <v>379</v>
      </c>
      <c r="L25" s="166"/>
      <c r="M25" s="167">
        <v>45072</v>
      </c>
      <c r="N25" s="167">
        <v>45014</v>
      </c>
      <c r="O25" s="81" t="s">
        <v>317</v>
      </c>
      <c r="P25" s="167" t="s">
        <v>318</v>
      </c>
    </row>
    <row r="26" spans="1:16" ht="39.65" customHeight="1" x14ac:dyDescent="0.25">
      <c r="A26" s="165" t="str">
        <f ca="1">HYPERLINK(MID(CELL("filename",A1),FIND("[",CELL("filename",A1)),FIND("]",CELL("filename",A1)) - FIND("[",CELL("filename",A1)) + 1) &amp; "'x-303'!TABLE_CLIENT_1","x-303 1")</f>
        <v>x-303 1</v>
      </c>
      <c r="B26" s="81" t="s">
        <v>310</v>
      </c>
      <c r="C26" s="81" t="s">
        <v>75</v>
      </c>
      <c r="D26" s="81" t="s">
        <v>372</v>
      </c>
      <c r="E26" s="81" t="s">
        <v>380</v>
      </c>
      <c r="F26" s="81" t="s">
        <v>359</v>
      </c>
      <c r="G26" s="81" t="s">
        <v>366</v>
      </c>
      <c r="H26" s="81">
        <v>1</v>
      </c>
      <c r="I26" s="69">
        <v>303</v>
      </c>
      <c r="J26" t="s">
        <v>381</v>
      </c>
      <c r="K26" s="166" t="s">
        <v>382</v>
      </c>
      <c r="L26" s="166"/>
      <c r="M26" s="167">
        <v>45072</v>
      </c>
      <c r="N26" s="167">
        <v>45014</v>
      </c>
      <c r="O26" s="81" t="s">
        <v>317</v>
      </c>
      <c r="P26" s="167" t="s">
        <v>318</v>
      </c>
    </row>
    <row r="27" spans="1:16" ht="39.65" customHeight="1" x14ac:dyDescent="0.25">
      <c r="A27" s="165" t="str">
        <f ca="1">HYPERLINK(MID(CELL("filename",A1),FIND("[",CELL("filename",A1)),FIND("]",CELL("filename",A1)) - FIND("[",CELL("filename",A1)) + 1) &amp; "'x-304'!TABLE_CLIENT_1","x-304 1")</f>
        <v>x-304 1</v>
      </c>
      <c r="B27" s="81" t="s">
        <v>310</v>
      </c>
      <c r="C27" s="81" t="s">
        <v>74</v>
      </c>
      <c r="D27" s="81" t="s">
        <v>372</v>
      </c>
      <c r="E27" s="81" t="s">
        <v>383</v>
      </c>
      <c r="F27" s="81" t="s">
        <v>359</v>
      </c>
      <c r="G27" s="81" t="s">
        <v>374</v>
      </c>
      <c r="H27" s="81">
        <v>0</v>
      </c>
      <c r="I27" s="69">
        <v>304</v>
      </c>
      <c r="J27" t="s">
        <v>384</v>
      </c>
      <c r="K27" s="166" t="s">
        <v>376</v>
      </c>
      <c r="L27" s="166"/>
      <c r="M27" s="167">
        <v>45072</v>
      </c>
      <c r="N27" s="167">
        <v>45014</v>
      </c>
      <c r="O27" s="81" t="s">
        <v>317</v>
      </c>
      <c r="P27" s="167" t="s">
        <v>318</v>
      </c>
    </row>
    <row r="28" spans="1:16" ht="39.65" customHeight="1" x14ac:dyDescent="0.25">
      <c r="A28" s="165" t="str">
        <f ca="1">HYPERLINK(MID(CELL("filename",A1),FIND("[",CELL("filename",A1)),FIND("]",CELL("filename",A1)) - FIND("[",CELL("filename",A1)) + 1) &amp; "'x-305'!TABLE_CLIENT_1","x-305 1")</f>
        <v>x-305 1</v>
      </c>
      <c r="B28" s="81" t="s">
        <v>310</v>
      </c>
      <c r="C28" s="81" t="s">
        <v>74</v>
      </c>
      <c r="D28" s="81" t="s">
        <v>372</v>
      </c>
      <c r="E28" s="81" t="s">
        <v>385</v>
      </c>
      <c r="F28" s="81" t="s">
        <v>359</v>
      </c>
      <c r="G28" s="81" t="s">
        <v>374</v>
      </c>
      <c r="H28" s="81">
        <v>0</v>
      </c>
      <c r="I28" s="69">
        <v>305</v>
      </c>
      <c r="J28" t="s">
        <v>386</v>
      </c>
      <c r="K28" s="166" t="s">
        <v>379</v>
      </c>
      <c r="L28" s="166"/>
      <c r="M28" s="167">
        <v>45072</v>
      </c>
      <c r="N28" s="167">
        <v>45014</v>
      </c>
      <c r="O28" s="81" t="s">
        <v>317</v>
      </c>
      <c r="P28" s="167" t="s">
        <v>318</v>
      </c>
    </row>
    <row r="29" spans="1:16" ht="39.65" customHeight="1" x14ac:dyDescent="0.25">
      <c r="A29" s="165" t="str">
        <f ca="1">HYPERLINK(MID(CELL("filename",A1),FIND("[",CELL("filename",A1)),FIND("]",CELL("filename",A1)) - FIND("[",CELL("filename",A1)) + 1) &amp; "'x-306'!TABLE_CLIENT_1","x-306 1")</f>
        <v>x-306 1</v>
      </c>
      <c r="B29" s="81" t="s">
        <v>310</v>
      </c>
      <c r="C29" s="81" t="s">
        <v>75</v>
      </c>
      <c r="D29" s="81" t="s">
        <v>387</v>
      </c>
      <c r="E29" s="81" t="s">
        <v>388</v>
      </c>
      <c r="F29" s="81" t="s">
        <v>359</v>
      </c>
      <c r="G29" s="81" t="s">
        <v>389</v>
      </c>
      <c r="H29" s="81">
        <v>1</v>
      </c>
      <c r="I29" s="69">
        <v>306</v>
      </c>
      <c r="J29" t="s">
        <v>390</v>
      </c>
      <c r="K29" s="166" t="s">
        <v>391</v>
      </c>
      <c r="L29" s="166"/>
      <c r="M29" s="167">
        <v>45072</v>
      </c>
      <c r="N29" s="167">
        <v>45014</v>
      </c>
      <c r="O29" s="81" t="s">
        <v>317</v>
      </c>
      <c r="P29" s="167" t="s">
        <v>318</v>
      </c>
    </row>
    <row r="30" spans="1:16" ht="39.65" customHeight="1" x14ac:dyDescent="0.25">
      <c r="A30" s="165" t="str">
        <f ca="1">HYPERLINK(MID(CELL("filename",A1),FIND("[",CELL("filename",A1)),FIND("]",CELL("filename",A1)) - FIND("[",CELL("filename",A1)) + 1) &amp; "'x-307'!TABLE_CLIENT_1","x-307 1")</f>
        <v>x-307 1</v>
      </c>
      <c r="B30" s="81" t="s">
        <v>310</v>
      </c>
      <c r="C30" s="81" t="s">
        <v>74</v>
      </c>
      <c r="D30" s="81" t="s">
        <v>387</v>
      </c>
      <c r="E30" s="81" t="s">
        <v>392</v>
      </c>
      <c r="F30" s="81" t="s">
        <v>359</v>
      </c>
      <c r="G30" s="81" t="s">
        <v>389</v>
      </c>
      <c r="H30" s="81">
        <v>0</v>
      </c>
      <c r="I30" s="69">
        <v>307</v>
      </c>
      <c r="J30" t="s">
        <v>393</v>
      </c>
      <c r="K30" s="166" t="s">
        <v>391</v>
      </c>
      <c r="L30" s="166"/>
      <c r="M30" s="167">
        <v>45072</v>
      </c>
      <c r="N30" s="167">
        <v>45014</v>
      </c>
      <c r="O30" s="81" t="s">
        <v>317</v>
      </c>
      <c r="P30" s="167" t="s">
        <v>318</v>
      </c>
    </row>
    <row r="31" spans="1:16" ht="39.65" customHeight="1" x14ac:dyDescent="0.25">
      <c r="A31" s="165" t="str">
        <f ca="1">HYPERLINK(MID(CELL("filename",A1),FIND("[",CELL("filename",A1)),FIND("]",CELL("filename",A1)) - FIND("[",CELL("filename",A1)) + 1) &amp; "'x-308'!TABLE_CLIENT_1","x-308 1")</f>
        <v>x-308 1</v>
      </c>
      <c r="B31" s="81" t="s">
        <v>310</v>
      </c>
      <c r="C31" s="81" t="s">
        <v>75</v>
      </c>
      <c r="D31" s="81" t="s">
        <v>372</v>
      </c>
      <c r="E31" s="81" t="s">
        <v>373</v>
      </c>
      <c r="F31" s="81" t="s">
        <v>359</v>
      </c>
      <c r="G31" s="81" t="s">
        <v>374</v>
      </c>
      <c r="H31" s="81">
        <v>1</v>
      </c>
      <c r="I31" s="69">
        <v>308</v>
      </c>
      <c r="J31" t="s">
        <v>394</v>
      </c>
      <c r="K31" s="166" t="s">
        <v>395</v>
      </c>
      <c r="L31" s="166"/>
      <c r="M31" s="167">
        <v>45072</v>
      </c>
      <c r="N31" s="167">
        <v>45014</v>
      </c>
      <c r="O31" s="81" t="s">
        <v>317</v>
      </c>
      <c r="P31" s="167" t="s">
        <v>318</v>
      </c>
    </row>
    <row r="32" spans="1:16" ht="39.65" customHeight="1" x14ac:dyDescent="0.25">
      <c r="A32" s="165" t="str">
        <f ca="1">HYPERLINK(MID(CELL("filename",A1),FIND("[",CELL("filename",A1)),FIND("]",CELL("filename",A1)) - FIND("[",CELL("filename",A1)) + 1) &amp; "'x-401'!TABLE_CLIENT_1","x-401 1")</f>
        <v>x-401 1</v>
      </c>
      <c r="B32" s="81" t="s">
        <v>310</v>
      </c>
      <c r="C32" s="81" t="s">
        <v>75</v>
      </c>
      <c r="D32" s="81" t="s">
        <v>396</v>
      </c>
      <c r="E32" s="81" t="s">
        <v>397</v>
      </c>
      <c r="F32" s="81" t="s">
        <v>359</v>
      </c>
      <c r="G32" s="81" t="s">
        <v>398</v>
      </c>
      <c r="H32" s="81">
        <v>1</v>
      </c>
      <c r="I32" s="69">
        <v>401</v>
      </c>
      <c r="J32" t="s">
        <v>399</v>
      </c>
      <c r="K32" s="166" t="s">
        <v>400</v>
      </c>
      <c r="L32" s="166"/>
      <c r="M32" s="167">
        <v>45107</v>
      </c>
      <c r="N32" s="167">
        <v>45107</v>
      </c>
      <c r="O32" s="81" t="s">
        <v>317</v>
      </c>
      <c r="P32" s="167" t="s">
        <v>318</v>
      </c>
    </row>
    <row r="33" spans="1:16" ht="39.65" customHeight="1" x14ac:dyDescent="0.25">
      <c r="A33" s="165" t="str">
        <f ca="1">HYPERLINK(MID(CELL("filename",A1),FIND("[",CELL("filename",A1)),FIND("]",CELL("filename",A1)) - FIND("[",CELL("filename",A1)) + 1) &amp; "'x-402'!TABLE_CLIENT_1","x-402 1")</f>
        <v>x-402 1</v>
      </c>
      <c r="B33" s="81" t="s">
        <v>310</v>
      </c>
      <c r="C33" s="81" t="s">
        <v>75</v>
      </c>
      <c r="D33" s="81" t="s">
        <v>396</v>
      </c>
      <c r="E33" s="81" t="s">
        <v>401</v>
      </c>
      <c r="F33" s="81" t="s">
        <v>359</v>
      </c>
      <c r="G33" s="81" t="s">
        <v>398</v>
      </c>
      <c r="H33" s="81">
        <v>1</v>
      </c>
      <c r="I33" s="69">
        <v>402</v>
      </c>
      <c r="J33" t="s">
        <v>402</v>
      </c>
      <c r="K33" s="166" t="s">
        <v>403</v>
      </c>
      <c r="L33" s="166"/>
      <c r="M33" s="167">
        <v>45107</v>
      </c>
      <c r="N33" s="167">
        <v>45107</v>
      </c>
      <c r="O33" s="81" t="s">
        <v>317</v>
      </c>
      <c r="P33" s="167" t="s">
        <v>318</v>
      </c>
    </row>
    <row r="34" spans="1:16" ht="39.65" customHeight="1" x14ac:dyDescent="0.25">
      <c r="A34" s="165" t="str">
        <f ca="1">HYPERLINK(MID(CELL("filename",A1),FIND("[",CELL("filename",A1)),FIND("]",CELL("filename",A1)) - FIND("[",CELL("filename",A1)) + 1) &amp; "'x-403'!TABLE_CLIENT_1","x-403 1")</f>
        <v>x-403 1</v>
      </c>
      <c r="B34" s="81" t="s">
        <v>310</v>
      </c>
      <c r="C34" s="81" t="s">
        <v>75</v>
      </c>
      <c r="D34" s="81" t="s">
        <v>396</v>
      </c>
      <c r="E34" s="81" t="s">
        <v>404</v>
      </c>
      <c r="F34" s="81" t="s">
        <v>359</v>
      </c>
      <c r="G34" s="81" t="s">
        <v>398</v>
      </c>
      <c r="H34" s="81">
        <v>1</v>
      </c>
      <c r="I34" s="69">
        <v>403</v>
      </c>
      <c r="J34" t="s">
        <v>405</v>
      </c>
      <c r="K34" s="166" t="s">
        <v>406</v>
      </c>
      <c r="L34" s="166"/>
      <c r="M34" s="167">
        <v>45107</v>
      </c>
      <c r="N34" s="167">
        <v>45107</v>
      </c>
      <c r="O34" s="81" t="s">
        <v>317</v>
      </c>
      <c r="P34" s="167" t="s">
        <v>318</v>
      </c>
    </row>
    <row r="35" spans="1:16" ht="39.65" customHeight="1" x14ac:dyDescent="0.25">
      <c r="A35" s="165" t="str">
        <f ca="1">HYPERLINK(MID(CELL("filename",A1),FIND("[",CELL("filename",A1)),FIND("]",CELL("filename",A1)) - FIND("[",CELL("filename",A1)) + 1) &amp; "'x-403'!TABLE_CLIENT_2","x-403 2")</f>
        <v>x-403 2</v>
      </c>
      <c r="B35" s="81" t="s">
        <v>310</v>
      </c>
      <c r="C35" s="81" t="s">
        <v>75</v>
      </c>
      <c r="D35" s="81" t="s">
        <v>396</v>
      </c>
      <c r="E35" s="81" t="s">
        <v>407</v>
      </c>
      <c r="F35" s="81" t="s">
        <v>359</v>
      </c>
      <c r="G35" s="81" t="s">
        <v>408</v>
      </c>
      <c r="H35" s="81">
        <v>1</v>
      </c>
      <c r="I35" s="69">
        <v>403</v>
      </c>
      <c r="J35" t="s">
        <v>409</v>
      </c>
      <c r="K35" s="166" t="s">
        <v>410</v>
      </c>
      <c r="L35" s="166"/>
      <c r="M35" s="167">
        <v>45107</v>
      </c>
      <c r="N35" s="167">
        <v>45107</v>
      </c>
      <c r="O35" s="81" t="s">
        <v>317</v>
      </c>
      <c r="P35" s="167" t="s">
        <v>318</v>
      </c>
    </row>
    <row r="36" spans="1:16" ht="39.65" customHeight="1" x14ac:dyDescent="0.25">
      <c r="A36" s="165" t="str">
        <f ca="1">HYPERLINK(MID(CELL("filename",A1),FIND("[",CELL("filename",A1)),FIND("]",CELL("filename",A1)) - FIND("[",CELL("filename",A1)) + 1) &amp; "'x-404'!TABLE_CLIENT_1","x-404 1")</f>
        <v>x-404 1</v>
      </c>
      <c r="B36" s="81" t="s">
        <v>310</v>
      </c>
      <c r="C36" s="81" t="s">
        <v>75</v>
      </c>
      <c r="D36" s="81" t="s">
        <v>396</v>
      </c>
      <c r="E36" s="81" t="s">
        <v>411</v>
      </c>
      <c r="F36" s="81" t="s">
        <v>359</v>
      </c>
      <c r="G36" s="81" t="s">
        <v>398</v>
      </c>
      <c r="H36" s="81">
        <v>1</v>
      </c>
      <c r="I36" s="69">
        <v>404</v>
      </c>
      <c r="J36" t="s">
        <v>412</v>
      </c>
      <c r="K36" s="166" t="s">
        <v>413</v>
      </c>
      <c r="L36" s="166"/>
      <c r="M36" s="167">
        <v>45107</v>
      </c>
      <c r="N36" s="167">
        <v>45107</v>
      </c>
      <c r="O36" s="81" t="s">
        <v>317</v>
      </c>
      <c r="P36" s="167" t="s">
        <v>318</v>
      </c>
    </row>
    <row r="37" spans="1:16" ht="39.65" customHeight="1" x14ac:dyDescent="0.25">
      <c r="A37" s="165" t="str">
        <f ca="1">HYPERLINK(MID(CELL("filename",A1),FIND("[",CELL("filename",A1)),FIND("]",CELL("filename",A1)) - FIND("[",CELL("filename",A1)) + 1) &amp; "'x-404'!TABLE_CLIENT_2","x-404 2")</f>
        <v>x-404 2</v>
      </c>
      <c r="B37" s="81" t="s">
        <v>310</v>
      </c>
      <c r="C37" s="81" t="s">
        <v>75</v>
      </c>
      <c r="D37" s="81" t="s">
        <v>396</v>
      </c>
      <c r="E37" s="81" t="s">
        <v>414</v>
      </c>
      <c r="F37" s="81" t="s">
        <v>359</v>
      </c>
      <c r="G37" s="81" t="s">
        <v>408</v>
      </c>
      <c r="H37" s="81">
        <v>1</v>
      </c>
      <c r="I37" s="69">
        <v>404</v>
      </c>
      <c r="J37" t="s">
        <v>415</v>
      </c>
      <c r="K37" s="166" t="s">
        <v>416</v>
      </c>
      <c r="L37" s="166"/>
      <c r="M37" s="167">
        <v>45107</v>
      </c>
      <c r="N37" s="167">
        <v>45107</v>
      </c>
      <c r="O37" s="81" t="s">
        <v>317</v>
      </c>
      <c r="P37" s="167" t="s">
        <v>318</v>
      </c>
    </row>
    <row r="38" spans="1:16" ht="39.65" customHeight="1" x14ac:dyDescent="0.25">
      <c r="A38" s="165" t="str">
        <f ca="1">HYPERLINK(MID(CELL("filename",A1),FIND("[",CELL("filename",A1)),FIND("]",CELL("filename",A1)) - FIND("[",CELL("filename",A1)) + 1) &amp; "'x-405'!TABLE_CLIENT_1","x-405 1")</f>
        <v>x-405 1</v>
      </c>
      <c r="B38" s="81" t="s">
        <v>310</v>
      </c>
      <c r="C38" s="81" t="s">
        <v>75</v>
      </c>
      <c r="D38" s="81" t="s">
        <v>396</v>
      </c>
      <c r="E38" s="81" t="s">
        <v>417</v>
      </c>
      <c r="F38" s="81" t="s">
        <v>359</v>
      </c>
      <c r="G38" s="81" t="s">
        <v>398</v>
      </c>
      <c r="H38" s="81">
        <v>1</v>
      </c>
      <c r="I38" s="69">
        <v>405</v>
      </c>
      <c r="J38" t="s">
        <v>418</v>
      </c>
      <c r="K38" s="166" t="s">
        <v>419</v>
      </c>
      <c r="L38" s="166"/>
      <c r="M38" s="167">
        <v>45107</v>
      </c>
      <c r="N38" s="167">
        <v>45107</v>
      </c>
      <c r="O38" s="81" t="s">
        <v>317</v>
      </c>
      <c r="P38" s="167" t="s">
        <v>318</v>
      </c>
    </row>
    <row r="39" spans="1:16" ht="39.65" customHeight="1" x14ac:dyDescent="0.25">
      <c r="A39" s="165" t="str">
        <f ca="1">HYPERLINK(MID(CELL("filename",A1),FIND("[",CELL("filename",A1)),FIND("]",CELL("filename",A1)) - FIND("[",CELL("filename",A1)) + 1) &amp; "'x-406'!TABLE_CLIENT_1","x-406 1")</f>
        <v>x-406 1</v>
      </c>
      <c r="B39" s="81" t="s">
        <v>310</v>
      </c>
      <c r="C39" s="81" t="s">
        <v>75</v>
      </c>
      <c r="D39" s="81" t="s">
        <v>396</v>
      </c>
      <c r="E39" s="81" t="s">
        <v>420</v>
      </c>
      <c r="F39" s="81" t="s">
        <v>359</v>
      </c>
      <c r="G39" s="81" t="s">
        <v>398</v>
      </c>
      <c r="H39" s="81">
        <v>1</v>
      </c>
      <c r="I39" s="69">
        <v>406</v>
      </c>
      <c r="J39" t="s">
        <v>421</v>
      </c>
      <c r="K39" s="166" t="s">
        <v>422</v>
      </c>
      <c r="L39" s="166"/>
      <c r="M39" s="167">
        <v>45107</v>
      </c>
      <c r="N39" s="167">
        <v>45107</v>
      </c>
      <c r="O39" s="81" t="s">
        <v>317</v>
      </c>
      <c r="P39" s="167" t="s">
        <v>318</v>
      </c>
    </row>
    <row r="40" spans="1:16" ht="39.65" customHeight="1" x14ac:dyDescent="0.25">
      <c r="A40" s="165" t="str">
        <f ca="1">HYPERLINK(MID(CELL("filename",A1),FIND("[",CELL("filename",A1)),FIND("]",CELL("filename",A1)) - FIND("[",CELL("filename",A1)) + 1) &amp; "'x-407'!TABLE_CLIENT_1","x-407 1")</f>
        <v>x-407 1</v>
      </c>
      <c r="B40" s="81" t="s">
        <v>310</v>
      </c>
      <c r="C40" s="81" t="s">
        <v>75</v>
      </c>
      <c r="D40" s="81" t="s">
        <v>396</v>
      </c>
      <c r="E40" s="81" t="s">
        <v>423</v>
      </c>
      <c r="F40" s="81" t="s">
        <v>359</v>
      </c>
      <c r="G40" s="81" t="s">
        <v>398</v>
      </c>
      <c r="H40" s="81">
        <v>1</v>
      </c>
      <c r="I40" s="69">
        <v>407</v>
      </c>
      <c r="J40" t="s">
        <v>424</v>
      </c>
      <c r="K40" s="166" t="s">
        <v>425</v>
      </c>
      <c r="L40" s="166"/>
      <c r="M40" s="167">
        <v>45107</v>
      </c>
      <c r="N40" s="167">
        <v>45107</v>
      </c>
      <c r="O40" s="81" t="s">
        <v>317</v>
      </c>
      <c r="P40" s="167" t="s">
        <v>318</v>
      </c>
    </row>
    <row r="41" spans="1:16" ht="39.65" customHeight="1" x14ac:dyDescent="0.25">
      <c r="A41" s="165" t="str">
        <f ca="1">HYPERLINK(MID(CELL("filename",A1),FIND("[",CELL("filename",A1)),FIND("]",CELL("filename",A1)) - FIND("[",CELL("filename",A1)) + 1) &amp; "'x-408'!TABLE_CLIENT_1","x-408 1")</f>
        <v>x-408 1</v>
      </c>
      <c r="B41" s="81" t="s">
        <v>310</v>
      </c>
      <c r="C41" s="81" t="s">
        <v>75</v>
      </c>
      <c r="D41" s="81" t="s">
        <v>396</v>
      </c>
      <c r="E41" s="81" t="s">
        <v>426</v>
      </c>
      <c r="F41" s="81" t="s">
        <v>359</v>
      </c>
      <c r="G41" s="81" t="s">
        <v>398</v>
      </c>
      <c r="H41" s="81">
        <v>1</v>
      </c>
      <c r="I41" s="69">
        <v>408</v>
      </c>
      <c r="J41" t="s">
        <v>427</v>
      </c>
      <c r="K41" s="166" t="s">
        <v>428</v>
      </c>
      <c r="L41" s="166"/>
      <c r="M41" s="167">
        <v>45107</v>
      </c>
      <c r="N41" s="167">
        <v>45107</v>
      </c>
      <c r="O41" s="81" t="s">
        <v>317</v>
      </c>
      <c r="P41" s="167" t="s">
        <v>318</v>
      </c>
    </row>
    <row r="42" spans="1:16" ht="39.65" customHeight="1" x14ac:dyDescent="0.25">
      <c r="A42" s="165" t="str">
        <f ca="1">HYPERLINK(MID(CELL("filename",A1),FIND("[",CELL("filename",A1)),FIND("]",CELL("filename",A1)) - FIND("[",CELL("filename",A1)) + 1) &amp; "'x-409'!TABLE_CLIENT_1","x-409 1")</f>
        <v>x-409 1</v>
      </c>
      <c r="B42" s="81" t="s">
        <v>310</v>
      </c>
      <c r="C42" s="81" t="s">
        <v>75</v>
      </c>
      <c r="D42" s="81" t="s">
        <v>396</v>
      </c>
      <c r="E42" s="81" t="s">
        <v>429</v>
      </c>
      <c r="F42" s="81" t="s">
        <v>359</v>
      </c>
      <c r="G42" s="81" t="s">
        <v>398</v>
      </c>
      <c r="H42" s="81">
        <v>1</v>
      </c>
      <c r="I42" s="69">
        <v>409</v>
      </c>
      <c r="J42" t="s">
        <v>430</v>
      </c>
      <c r="K42" s="166" t="s">
        <v>431</v>
      </c>
      <c r="L42" s="166"/>
      <c r="M42" s="167">
        <v>45107</v>
      </c>
      <c r="N42" s="167">
        <v>45107</v>
      </c>
      <c r="O42" s="81" t="s">
        <v>317</v>
      </c>
      <c r="P42" s="167" t="s">
        <v>318</v>
      </c>
    </row>
    <row r="43" spans="1:16" ht="39.65" customHeight="1" x14ac:dyDescent="0.25">
      <c r="A43" s="165" t="str">
        <f ca="1">HYPERLINK(MID(CELL("filename",A1),FIND("[",CELL("filename",A1)),FIND("]",CELL("filename",A1)) - FIND("[",CELL("filename",A1)) + 1) &amp; "'x-409'!TABLE_CLIENT_2","x-409 2")</f>
        <v>x-409 2</v>
      </c>
      <c r="B43" s="81" t="s">
        <v>310</v>
      </c>
      <c r="C43" s="81" t="s">
        <v>75</v>
      </c>
      <c r="D43" s="81" t="s">
        <v>396</v>
      </c>
      <c r="E43" s="81" t="s">
        <v>432</v>
      </c>
      <c r="F43" s="81" t="s">
        <v>359</v>
      </c>
      <c r="G43" s="81" t="s">
        <v>398</v>
      </c>
      <c r="H43" s="81">
        <v>1</v>
      </c>
      <c r="I43" s="69">
        <v>409</v>
      </c>
      <c r="J43" t="s">
        <v>433</v>
      </c>
      <c r="K43" s="166" t="s">
        <v>434</v>
      </c>
      <c r="L43" s="166"/>
      <c r="M43" s="167">
        <v>45107</v>
      </c>
      <c r="N43" s="167">
        <v>45107</v>
      </c>
      <c r="O43" s="81" t="s">
        <v>317</v>
      </c>
      <c r="P43" s="167" t="s">
        <v>318</v>
      </c>
    </row>
    <row r="44" spans="1:16" ht="39.65" customHeight="1" x14ac:dyDescent="0.25">
      <c r="A44" s="165" t="str">
        <f ca="1">HYPERLINK(MID(CELL("filename",A1),FIND("[",CELL("filename",A1)),FIND("]",CELL("filename",A1)) - FIND("[",CELL("filename",A1)) + 1) &amp; "'x-410'!TABLE_CLIENT_1","x-410 1")</f>
        <v>x-410 1</v>
      </c>
      <c r="B44" s="81" t="s">
        <v>310</v>
      </c>
      <c r="C44" s="81" t="s">
        <v>75</v>
      </c>
      <c r="D44" s="81" t="s">
        <v>396</v>
      </c>
      <c r="E44" s="81" t="s">
        <v>435</v>
      </c>
      <c r="F44" s="81" t="s">
        <v>359</v>
      </c>
      <c r="G44" s="81" t="s">
        <v>398</v>
      </c>
      <c r="H44" s="81">
        <v>1</v>
      </c>
      <c r="I44" s="69">
        <v>410</v>
      </c>
      <c r="J44" t="s">
        <v>436</v>
      </c>
      <c r="K44" s="166" t="s">
        <v>437</v>
      </c>
      <c r="L44" s="166"/>
      <c r="M44" s="167">
        <v>45107</v>
      </c>
      <c r="N44" s="167">
        <v>45107</v>
      </c>
      <c r="O44" s="81" t="s">
        <v>317</v>
      </c>
      <c r="P44" s="167" t="s">
        <v>318</v>
      </c>
    </row>
    <row r="45" spans="1:16" ht="39.65" customHeight="1" x14ac:dyDescent="0.25">
      <c r="A45" s="165" t="str">
        <f ca="1">HYPERLINK(MID(CELL("filename",A1),FIND("[",CELL("filename",A1)),FIND("]",CELL("filename",A1)) - FIND("[",CELL("filename",A1)) + 1) &amp; "'x-410'!TABLE_CLIENT_2","x-410 2")</f>
        <v>x-410 2</v>
      </c>
      <c r="B45" s="81" t="s">
        <v>310</v>
      </c>
      <c r="C45" s="81" t="s">
        <v>75</v>
      </c>
      <c r="D45" s="81" t="s">
        <v>396</v>
      </c>
      <c r="E45" s="81" t="s">
        <v>438</v>
      </c>
      <c r="F45" s="81" t="s">
        <v>359</v>
      </c>
      <c r="G45" s="81" t="s">
        <v>398</v>
      </c>
      <c r="H45" s="81">
        <v>1</v>
      </c>
      <c r="I45" s="69">
        <v>410</v>
      </c>
      <c r="J45" t="s">
        <v>439</v>
      </c>
      <c r="K45" s="166" t="s">
        <v>440</v>
      </c>
      <c r="L45" s="166"/>
      <c r="M45" s="167">
        <v>45107</v>
      </c>
      <c r="N45" s="167">
        <v>45107</v>
      </c>
      <c r="O45" s="81" t="s">
        <v>317</v>
      </c>
      <c r="P45" s="167" t="s">
        <v>318</v>
      </c>
    </row>
    <row r="46" spans="1:16" ht="39.65" customHeight="1" x14ac:dyDescent="0.25">
      <c r="A46" s="165" t="str">
        <f ca="1">HYPERLINK(MID(CELL("filename",A1),FIND("[",CELL("filename",A1)),FIND("]",CELL("filename",A1)) - FIND("[",CELL("filename",A1)) + 1) &amp; "'x-411'!TABLE_CLIENT_1","x-411 1")</f>
        <v>x-411 1</v>
      </c>
      <c r="B46" s="81" t="s">
        <v>310</v>
      </c>
      <c r="C46" s="81" t="s">
        <v>75</v>
      </c>
      <c r="D46" s="81" t="s">
        <v>396</v>
      </c>
      <c r="E46" s="81" t="s">
        <v>441</v>
      </c>
      <c r="F46" s="81" t="s">
        <v>359</v>
      </c>
      <c r="G46" s="81" t="s">
        <v>398</v>
      </c>
      <c r="H46" s="81">
        <v>2</v>
      </c>
      <c r="I46" s="69">
        <v>411</v>
      </c>
      <c r="J46" t="s">
        <v>442</v>
      </c>
      <c r="K46" s="166" t="s">
        <v>443</v>
      </c>
      <c r="L46" s="166"/>
      <c r="M46" s="167">
        <v>45107</v>
      </c>
      <c r="N46" s="167">
        <v>45107</v>
      </c>
      <c r="O46" s="81" t="s">
        <v>317</v>
      </c>
      <c r="P46" s="167" t="s">
        <v>318</v>
      </c>
    </row>
    <row r="47" spans="1:16" ht="39.65" customHeight="1" x14ac:dyDescent="0.25">
      <c r="A47" s="165" t="str">
        <f ca="1">HYPERLINK(MID(CELL("filename",A1),FIND("[",CELL("filename",A1)),FIND("]",CELL("filename",A1)) - FIND("[",CELL("filename",A1)) + 1) &amp; "'x-412'!TABLE_CLIENT_1","x-412 1")</f>
        <v>x-412 1</v>
      </c>
      <c r="B47" s="81" t="s">
        <v>310</v>
      </c>
      <c r="C47" s="81" t="s">
        <v>75</v>
      </c>
      <c r="D47" s="81" t="s">
        <v>396</v>
      </c>
      <c r="E47" s="81" t="s">
        <v>444</v>
      </c>
      <c r="F47" s="81" t="s">
        <v>359</v>
      </c>
      <c r="G47" s="81" t="s">
        <v>398</v>
      </c>
      <c r="H47" s="81">
        <v>1</v>
      </c>
      <c r="I47" s="69">
        <v>412</v>
      </c>
      <c r="J47" t="s">
        <v>445</v>
      </c>
      <c r="K47" s="166" t="s">
        <v>446</v>
      </c>
      <c r="L47" s="166"/>
      <c r="M47" s="167">
        <v>45107</v>
      </c>
      <c r="N47" s="167">
        <v>45107</v>
      </c>
      <c r="O47" s="81" t="s">
        <v>317</v>
      </c>
      <c r="P47" s="167" t="s">
        <v>318</v>
      </c>
    </row>
    <row r="48" spans="1:16" ht="39.65" customHeight="1" x14ac:dyDescent="0.25">
      <c r="A48" s="165" t="str">
        <f ca="1">HYPERLINK(MID(CELL("filename",A1),FIND("[",CELL("filename",A1)),FIND("]",CELL("filename",A1)) - FIND("[",CELL("filename",A1)) + 1) &amp; "'x-413'!TABLE_CLIENT_1","x-413 1")</f>
        <v>x-413 1</v>
      </c>
      <c r="B48" s="81" t="s">
        <v>310</v>
      </c>
      <c r="C48" s="81" t="s">
        <v>75</v>
      </c>
      <c r="D48" s="81" t="s">
        <v>396</v>
      </c>
      <c r="E48" s="81" t="s">
        <v>447</v>
      </c>
      <c r="F48" s="81" t="s">
        <v>359</v>
      </c>
      <c r="G48" s="81" t="s">
        <v>398</v>
      </c>
      <c r="H48" s="81">
        <v>1</v>
      </c>
      <c r="I48" s="69">
        <v>413</v>
      </c>
      <c r="J48" t="s">
        <v>448</v>
      </c>
      <c r="K48" s="166" t="s">
        <v>449</v>
      </c>
      <c r="L48" s="166"/>
      <c r="M48" s="167">
        <v>45107</v>
      </c>
      <c r="N48" s="167">
        <v>45107</v>
      </c>
      <c r="O48" s="81" t="s">
        <v>317</v>
      </c>
      <c r="P48" s="167" t="s">
        <v>318</v>
      </c>
    </row>
    <row r="49" spans="1:16" ht="39.65" customHeight="1" x14ac:dyDescent="0.25">
      <c r="A49" s="165" t="str">
        <f ca="1">HYPERLINK(MID(CELL("filename",A1),FIND("[",CELL("filename",A1)),FIND("]",CELL("filename",A1)) - FIND("[",CELL("filename",A1)) + 1) &amp; "'x-414'!TABLE_CLIENT_1","x-414 1")</f>
        <v>x-414 1</v>
      </c>
      <c r="B49" s="81" t="s">
        <v>310</v>
      </c>
      <c r="C49" s="81" t="s">
        <v>75</v>
      </c>
      <c r="D49" s="81" t="s">
        <v>396</v>
      </c>
      <c r="E49" s="81" t="s">
        <v>450</v>
      </c>
      <c r="F49" s="81" t="s">
        <v>359</v>
      </c>
      <c r="G49" s="81" t="s">
        <v>398</v>
      </c>
      <c r="H49" s="81">
        <v>1</v>
      </c>
      <c r="I49" s="69">
        <v>414</v>
      </c>
      <c r="J49" t="s">
        <v>451</v>
      </c>
      <c r="K49" s="166" t="s">
        <v>452</v>
      </c>
      <c r="L49" s="166"/>
      <c r="M49" s="167">
        <v>45107</v>
      </c>
      <c r="N49" s="167">
        <v>45107</v>
      </c>
      <c r="O49" s="81" t="s">
        <v>317</v>
      </c>
      <c r="P49" s="167" t="s">
        <v>318</v>
      </c>
    </row>
    <row r="50" spans="1:16" ht="39.65" customHeight="1" x14ac:dyDescent="0.25">
      <c r="A50" s="165" t="str">
        <f ca="1">HYPERLINK(MID(CELL("filename",A1),FIND("[",CELL("filename",A1)),FIND("]",CELL("filename",A1)) - FIND("[",CELL("filename",A1)) + 1) &amp; "'x-415'!TABLE_CLIENT_1","x-415 1")</f>
        <v>x-415 1</v>
      </c>
      <c r="B50" s="81" t="s">
        <v>310</v>
      </c>
      <c r="C50" s="81" t="s">
        <v>75</v>
      </c>
      <c r="D50" s="81" t="s">
        <v>396</v>
      </c>
      <c r="E50" s="81" t="s">
        <v>453</v>
      </c>
      <c r="F50" s="81" t="s">
        <v>359</v>
      </c>
      <c r="G50" s="81" t="s">
        <v>398</v>
      </c>
      <c r="H50" s="81">
        <v>1</v>
      </c>
      <c r="I50" s="69">
        <v>415</v>
      </c>
      <c r="J50" t="s">
        <v>454</v>
      </c>
      <c r="K50" s="166" t="s">
        <v>455</v>
      </c>
      <c r="L50" s="166"/>
      <c r="M50" s="167">
        <v>45107</v>
      </c>
      <c r="N50" s="167">
        <v>45107</v>
      </c>
      <c r="O50" s="81" t="s">
        <v>317</v>
      </c>
      <c r="P50" s="167" t="s">
        <v>318</v>
      </c>
    </row>
    <row r="51" spans="1:16" ht="39.65" customHeight="1" x14ac:dyDescent="0.25">
      <c r="A51" s="165" t="str">
        <f ca="1">HYPERLINK(MID(CELL("filename",A1),FIND("[",CELL("filename",A1)),FIND("]",CELL("filename",A1)) - FIND("[",CELL("filename",A1)) + 1) &amp; "'x-415'!TABLE_CLIENT_2","x-415 2")</f>
        <v>x-415 2</v>
      </c>
      <c r="B51" s="81" t="s">
        <v>310</v>
      </c>
      <c r="C51" s="81" t="s">
        <v>75</v>
      </c>
      <c r="D51" s="81" t="s">
        <v>396</v>
      </c>
      <c r="E51" s="81" t="s">
        <v>456</v>
      </c>
      <c r="F51" s="81" t="s">
        <v>359</v>
      </c>
      <c r="G51" s="81" t="s">
        <v>398</v>
      </c>
      <c r="H51" s="81">
        <v>1</v>
      </c>
      <c r="I51" s="69">
        <v>415</v>
      </c>
      <c r="J51" t="s">
        <v>457</v>
      </c>
      <c r="K51" s="166" t="s">
        <v>458</v>
      </c>
      <c r="L51" s="166"/>
      <c r="M51" s="167">
        <v>45107</v>
      </c>
      <c r="N51" s="167">
        <v>45107</v>
      </c>
      <c r="O51" s="81" t="s">
        <v>317</v>
      </c>
      <c r="P51" s="167" t="s">
        <v>318</v>
      </c>
    </row>
    <row r="52" spans="1:16" ht="39.65" customHeight="1" x14ac:dyDescent="0.25">
      <c r="A52" s="165" t="str">
        <f ca="1">HYPERLINK(MID(CELL("filename",A1),FIND("[",CELL("filename",A1)),FIND("]",CELL("filename",A1)) - FIND("[",CELL("filename",A1)) + 1) &amp; "'x-416'!TABLE_CLIENT_1","x-416 1")</f>
        <v>x-416 1</v>
      </c>
      <c r="B52" s="81" t="s">
        <v>310</v>
      </c>
      <c r="C52" s="81" t="s">
        <v>75</v>
      </c>
      <c r="D52" s="81" t="s">
        <v>459</v>
      </c>
      <c r="E52" s="81" t="s">
        <v>460</v>
      </c>
      <c r="F52" s="81" t="s">
        <v>359</v>
      </c>
      <c r="G52" s="81" t="s">
        <v>398</v>
      </c>
      <c r="H52" s="81">
        <v>2</v>
      </c>
      <c r="I52" s="69">
        <v>416</v>
      </c>
      <c r="J52" t="s">
        <v>461</v>
      </c>
      <c r="K52" s="166" t="s">
        <v>462</v>
      </c>
      <c r="L52" s="166"/>
      <c r="M52" s="167">
        <v>45107</v>
      </c>
      <c r="N52" s="167">
        <v>45107</v>
      </c>
      <c r="O52" s="81" t="s">
        <v>317</v>
      </c>
      <c r="P52" s="167" t="s">
        <v>318</v>
      </c>
    </row>
    <row r="53" spans="1:16" ht="39.65" customHeight="1" x14ac:dyDescent="0.25">
      <c r="A53" s="165" t="str">
        <f ca="1">HYPERLINK(MID(CELL("filename",A1),FIND("[",CELL("filename",A1)),FIND("]",CELL("filename",A1)) - FIND("[",CELL("filename",A1)) + 1) &amp; "'x-417'!TABLE_CLIENT_1","x-417 1")</f>
        <v>x-417 1</v>
      </c>
      <c r="B53" s="81" t="s">
        <v>310</v>
      </c>
      <c r="C53" s="81" t="s">
        <v>75</v>
      </c>
      <c r="D53" s="81" t="s">
        <v>459</v>
      </c>
      <c r="E53" s="81" t="s">
        <v>463</v>
      </c>
      <c r="F53" s="81" t="s">
        <v>359</v>
      </c>
      <c r="G53" s="81" t="s">
        <v>398</v>
      </c>
      <c r="H53" s="81">
        <v>2</v>
      </c>
      <c r="I53" s="69">
        <v>417</v>
      </c>
      <c r="J53" t="s">
        <v>464</v>
      </c>
      <c r="K53" s="166" t="s">
        <v>465</v>
      </c>
      <c r="L53" s="166"/>
      <c r="M53" s="167">
        <v>45107</v>
      </c>
      <c r="N53" s="167">
        <v>45107</v>
      </c>
      <c r="O53" s="81" t="s">
        <v>317</v>
      </c>
      <c r="P53" s="167" t="s">
        <v>318</v>
      </c>
    </row>
    <row r="54" spans="1:16" ht="39.65" customHeight="1" x14ac:dyDescent="0.25">
      <c r="A54" s="165" t="str">
        <f ca="1">HYPERLINK(MID(CELL("filename",A1),FIND("[",CELL("filename",A1)),FIND("]",CELL("filename",A1)) - FIND("[",CELL("filename",A1)) + 1) &amp; "'x-418'!TABLE_CLIENT_1","x-418 1")</f>
        <v>x-418 1</v>
      </c>
      <c r="B54" s="81" t="s">
        <v>310</v>
      </c>
      <c r="C54" s="81" t="s">
        <v>75</v>
      </c>
      <c r="D54" s="81" t="s">
        <v>459</v>
      </c>
      <c r="E54" s="81" t="s">
        <v>466</v>
      </c>
      <c r="F54" s="81" t="s">
        <v>359</v>
      </c>
      <c r="G54" s="81" t="s">
        <v>398</v>
      </c>
      <c r="H54" s="81">
        <v>2</v>
      </c>
      <c r="I54" s="69">
        <v>418</v>
      </c>
      <c r="J54" t="s">
        <v>467</v>
      </c>
      <c r="K54" s="166" t="s">
        <v>468</v>
      </c>
      <c r="L54" s="166"/>
      <c r="M54" s="167">
        <v>45107</v>
      </c>
      <c r="N54" s="167">
        <v>45107</v>
      </c>
      <c r="O54" s="81" t="s">
        <v>317</v>
      </c>
      <c r="P54" s="167" t="s">
        <v>318</v>
      </c>
    </row>
    <row r="55" spans="1:16" ht="39.65" customHeight="1" x14ac:dyDescent="0.25">
      <c r="A55" s="165" t="str">
        <f ca="1">HYPERLINK(MID(CELL("filename",A1),FIND("[",CELL("filename",A1)),FIND("]",CELL("filename",A1)) - FIND("[",CELL("filename",A1)) + 1) &amp; "'x-419'!TABLE_CLIENT_1","x-419 1")</f>
        <v>x-419 1</v>
      </c>
      <c r="B55" s="81" t="s">
        <v>310</v>
      </c>
      <c r="C55" s="81" t="s">
        <v>75</v>
      </c>
      <c r="D55" s="81" t="s">
        <v>459</v>
      </c>
      <c r="E55" s="81" t="s">
        <v>469</v>
      </c>
      <c r="F55" s="81" t="s">
        <v>359</v>
      </c>
      <c r="G55" s="81" t="s">
        <v>398</v>
      </c>
      <c r="H55" s="81">
        <v>2</v>
      </c>
      <c r="I55" s="69">
        <v>419</v>
      </c>
      <c r="J55" t="s">
        <v>470</v>
      </c>
      <c r="K55" s="166" t="s">
        <v>471</v>
      </c>
      <c r="L55" s="166"/>
      <c r="M55" s="167">
        <v>45107</v>
      </c>
      <c r="N55" s="167">
        <v>45107</v>
      </c>
      <c r="O55" s="81" t="s">
        <v>317</v>
      </c>
      <c r="P55" s="167" t="s">
        <v>318</v>
      </c>
    </row>
    <row r="56" spans="1:16" ht="39.65" customHeight="1" x14ac:dyDescent="0.25">
      <c r="A56" s="165" t="str">
        <f ca="1">HYPERLINK(MID(CELL("filename",A1),FIND("[",CELL("filename",A1)),FIND("]",CELL("filename",A1)) - FIND("[",CELL("filename",A1)) + 1) &amp; "'x-420'!TABLE_CLIENT_1","x-420 1")</f>
        <v>x-420 1</v>
      </c>
      <c r="B56" s="81" t="s">
        <v>310</v>
      </c>
      <c r="C56" s="81" t="s">
        <v>74</v>
      </c>
      <c r="D56" s="81" t="s">
        <v>396</v>
      </c>
      <c r="E56" s="81" t="s">
        <v>472</v>
      </c>
      <c r="F56" s="81" t="s">
        <v>359</v>
      </c>
      <c r="G56" s="81" t="s">
        <v>473</v>
      </c>
      <c r="H56" s="81">
        <v>0</v>
      </c>
      <c r="I56" s="69">
        <v>420</v>
      </c>
      <c r="J56" t="s">
        <v>474</v>
      </c>
      <c r="K56" s="166" t="s">
        <v>400</v>
      </c>
      <c r="L56" s="166"/>
      <c r="M56" s="167">
        <v>45107</v>
      </c>
      <c r="N56" s="167">
        <v>45107</v>
      </c>
      <c r="O56" s="81" t="s">
        <v>317</v>
      </c>
      <c r="P56" s="167" t="s">
        <v>318</v>
      </c>
    </row>
    <row r="57" spans="1:16" ht="39.65" customHeight="1" x14ac:dyDescent="0.25">
      <c r="A57" s="165" t="str">
        <f ca="1">HYPERLINK(MID(CELL("filename",A1),FIND("[",CELL("filename",A1)),FIND("]",CELL("filename",A1)) - FIND("[",CELL("filename",A1)) + 1) &amp; "'x-421'!TABLE_CLIENT_1","x-421 1")</f>
        <v>x-421 1</v>
      </c>
      <c r="B57" s="81" t="s">
        <v>310</v>
      </c>
      <c r="C57" s="81" t="s">
        <v>74</v>
      </c>
      <c r="D57" s="81" t="s">
        <v>459</v>
      </c>
      <c r="E57" s="81" t="s">
        <v>475</v>
      </c>
      <c r="F57" s="81" t="s">
        <v>359</v>
      </c>
      <c r="G57" s="81" t="s">
        <v>476</v>
      </c>
      <c r="H57" s="81">
        <v>0</v>
      </c>
      <c r="I57" s="69">
        <v>421</v>
      </c>
      <c r="J57" t="s">
        <v>477</v>
      </c>
      <c r="K57" s="166" t="s">
        <v>462</v>
      </c>
      <c r="L57" s="166"/>
      <c r="M57" s="167">
        <v>45107</v>
      </c>
      <c r="N57" s="167">
        <v>45107</v>
      </c>
      <c r="O57" s="81" t="s">
        <v>317</v>
      </c>
      <c r="P57" s="167" t="s">
        <v>318</v>
      </c>
    </row>
    <row r="58" spans="1:16" ht="39.65" customHeight="1" x14ac:dyDescent="0.25">
      <c r="A58" s="165" t="str">
        <f ca="1">HYPERLINK(MID(CELL("filename",A1),FIND("[",CELL("filename",A1)),FIND("]",CELL("filename",A1)) - FIND("[",CELL("filename",A1)) + 1) &amp; "'x-422'!TABLE_CLIENT_1","x-422 1")</f>
        <v>x-422 1</v>
      </c>
      <c r="B58" s="81" t="s">
        <v>310</v>
      </c>
      <c r="C58" s="81" t="s">
        <v>74</v>
      </c>
      <c r="D58" s="81" t="s">
        <v>459</v>
      </c>
      <c r="E58" s="81" t="s">
        <v>478</v>
      </c>
      <c r="F58" s="81" t="s">
        <v>359</v>
      </c>
      <c r="G58" s="81" t="s">
        <v>476</v>
      </c>
      <c r="H58" s="81">
        <v>0</v>
      </c>
      <c r="I58" s="69">
        <v>422</v>
      </c>
      <c r="J58" t="s">
        <v>479</v>
      </c>
      <c r="K58" s="166" t="s">
        <v>465</v>
      </c>
      <c r="L58" s="166"/>
      <c r="M58" s="167">
        <v>45107</v>
      </c>
      <c r="N58" s="167">
        <v>45107</v>
      </c>
      <c r="O58" s="81" t="s">
        <v>317</v>
      </c>
      <c r="P58" s="167" t="s">
        <v>318</v>
      </c>
    </row>
    <row r="59" spans="1:16" ht="39.65" customHeight="1" x14ac:dyDescent="0.25">
      <c r="A59" s="165" t="str">
        <f ca="1">HYPERLINK(MID(CELL("filename",A1),FIND("[",CELL("filename",A1)),FIND("]",CELL("filename",A1)) - FIND("[",CELL("filename",A1)) + 1) &amp; "'x-423'!TABLE_CLIENT_1","x-423 1")</f>
        <v>x-423 1</v>
      </c>
      <c r="B59" s="81" t="s">
        <v>310</v>
      </c>
      <c r="C59" s="81" t="s">
        <v>75</v>
      </c>
      <c r="D59" s="81" t="s">
        <v>396</v>
      </c>
      <c r="E59" s="81" t="s">
        <v>480</v>
      </c>
      <c r="F59" s="81" t="s">
        <v>359</v>
      </c>
      <c r="G59" s="81" t="s">
        <v>398</v>
      </c>
      <c r="H59" s="81">
        <v>1</v>
      </c>
      <c r="I59" s="69">
        <v>423</v>
      </c>
      <c r="J59" t="s">
        <v>481</v>
      </c>
      <c r="K59" s="166" t="s">
        <v>482</v>
      </c>
      <c r="L59" s="166"/>
      <c r="M59" s="167">
        <v>45107</v>
      </c>
      <c r="N59" s="167">
        <v>45107</v>
      </c>
      <c r="O59" s="81" t="s">
        <v>317</v>
      </c>
      <c r="P59" s="167" t="s">
        <v>318</v>
      </c>
    </row>
    <row r="60" spans="1:16" ht="39.65" customHeight="1" x14ac:dyDescent="0.25">
      <c r="A60" s="165" t="str">
        <f ca="1">HYPERLINK(MID(CELL("filename",A1),FIND("[",CELL("filename",A1)),FIND("]",CELL("filename",A1)) - FIND("[",CELL("filename",A1)) + 1) &amp; "'x-501'!TABLE_CLIENT_1","x-501 1")</f>
        <v>x-501 1</v>
      </c>
      <c r="B60" s="81" t="s">
        <v>310</v>
      </c>
      <c r="C60" s="81">
        <v>1995</v>
      </c>
      <c r="D60" s="81" t="s">
        <v>483</v>
      </c>
      <c r="E60" s="81" t="s">
        <v>484</v>
      </c>
      <c r="F60" s="81" t="s">
        <v>359</v>
      </c>
      <c r="G60" s="81" t="s">
        <v>408</v>
      </c>
      <c r="H60" s="81">
        <v>1</v>
      </c>
      <c r="I60" s="69">
        <v>501</v>
      </c>
      <c r="J60" t="s">
        <v>485</v>
      </c>
      <c r="K60" s="166" t="s">
        <v>486</v>
      </c>
      <c r="L60" s="166"/>
      <c r="M60" s="167">
        <v>45135</v>
      </c>
      <c r="N60" s="167">
        <v>45200</v>
      </c>
      <c r="O60" s="81" t="s">
        <v>317</v>
      </c>
      <c r="P60" s="167" t="s">
        <v>318</v>
      </c>
    </row>
    <row r="61" spans="1:16" ht="39.65" customHeight="1" x14ac:dyDescent="0.25">
      <c r="A61" s="165" t="str">
        <f ca="1">HYPERLINK(MID(CELL("filename",A1),FIND("[",CELL("filename",A1)),FIND("]",CELL("filename",A1)) - FIND("[",CELL("filename",A1)) + 1) &amp; "'x-502'!TABLE_CLIENT_1","x-502 1")</f>
        <v>x-502 1</v>
      </c>
      <c r="B61" s="81" t="s">
        <v>310</v>
      </c>
      <c r="C61" s="81">
        <v>2008</v>
      </c>
      <c r="D61" s="81" t="s">
        <v>483</v>
      </c>
      <c r="E61" s="81" t="s">
        <v>484</v>
      </c>
      <c r="F61" s="81" t="s">
        <v>359</v>
      </c>
      <c r="G61" s="81" t="s">
        <v>408</v>
      </c>
      <c r="H61" s="81">
        <v>2</v>
      </c>
      <c r="I61" s="69">
        <v>502</v>
      </c>
      <c r="J61" t="s">
        <v>487</v>
      </c>
      <c r="K61" s="166" t="s">
        <v>488</v>
      </c>
      <c r="L61" s="166"/>
      <c r="M61" s="167">
        <v>45135</v>
      </c>
      <c r="N61" s="167">
        <v>45200</v>
      </c>
      <c r="O61" s="81" t="s">
        <v>317</v>
      </c>
      <c r="P61" s="167" t="s">
        <v>318</v>
      </c>
    </row>
    <row r="62" spans="1:16" ht="39.65" customHeight="1" x14ac:dyDescent="0.25">
      <c r="A62" s="165" t="str">
        <f ca="1">HYPERLINK(MID(CELL("filename",A1),FIND("[",CELL("filename",A1)),FIND("]",CELL("filename",A1)) - FIND("[",CELL("filename",A1)) + 1) &amp; "'x-503'!TABLE_CLIENT_1","x-503 1")</f>
        <v>x-503 1</v>
      </c>
      <c r="B62" s="81" t="s">
        <v>310</v>
      </c>
      <c r="C62" s="81" t="s">
        <v>74</v>
      </c>
      <c r="D62" s="81" t="s">
        <v>483</v>
      </c>
      <c r="E62" s="81" t="s">
        <v>484</v>
      </c>
      <c r="F62" s="81" t="s">
        <v>359</v>
      </c>
      <c r="G62" s="81" t="s">
        <v>408</v>
      </c>
      <c r="H62" s="81">
        <v>0</v>
      </c>
      <c r="I62" s="69">
        <v>503</v>
      </c>
      <c r="J62" t="s">
        <v>489</v>
      </c>
      <c r="K62" s="166" t="s">
        <v>490</v>
      </c>
      <c r="L62" s="166"/>
      <c r="M62" s="167">
        <v>45135</v>
      </c>
      <c r="N62" s="167">
        <v>45200</v>
      </c>
      <c r="O62" s="81" t="s">
        <v>317</v>
      </c>
      <c r="P62" s="167" t="s">
        <v>318</v>
      </c>
    </row>
    <row r="63" spans="1:16" ht="39.65" customHeight="1" x14ac:dyDescent="0.25">
      <c r="A63" s="165" t="str">
        <f ca="1">HYPERLINK(MID(CELL("filename",A1),FIND("[",CELL("filename",A1)),FIND("]",CELL("filename",A1)) - FIND("[",CELL("filename",A1)) + 1) &amp; "'x-504'!TABLE_CLIENT_1","x-504 1")</f>
        <v>x-504 1</v>
      </c>
      <c r="B63" s="81" t="s">
        <v>310</v>
      </c>
      <c r="C63" s="81">
        <v>1995</v>
      </c>
      <c r="D63" s="81" t="s">
        <v>491</v>
      </c>
      <c r="E63" s="81" t="s">
        <v>492</v>
      </c>
      <c r="F63" s="81" t="s">
        <v>359</v>
      </c>
      <c r="G63" s="81" t="s">
        <v>408</v>
      </c>
      <c r="H63" s="81">
        <v>1</v>
      </c>
      <c r="I63" s="69">
        <v>504</v>
      </c>
      <c r="J63" t="s">
        <v>493</v>
      </c>
      <c r="K63" s="166" t="s">
        <v>494</v>
      </c>
      <c r="L63" s="166"/>
      <c r="M63" s="167">
        <v>45135</v>
      </c>
      <c r="N63" s="167">
        <v>45200</v>
      </c>
      <c r="O63" s="81" t="s">
        <v>317</v>
      </c>
      <c r="P63" s="167" t="s">
        <v>318</v>
      </c>
    </row>
    <row r="64" spans="1:16" ht="39.65" customHeight="1" x14ac:dyDescent="0.25">
      <c r="A64" s="165" t="str">
        <f ca="1">HYPERLINK(MID(CELL("filename",A1),FIND("[",CELL("filename",A1)),FIND("]",CELL("filename",A1)) - FIND("[",CELL("filename",A1)) + 1) &amp; "'x-505'!TABLE_CLIENT_1","x-505 1")</f>
        <v>x-505 1</v>
      </c>
      <c r="B64" s="81" t="s">
        <v>310</v>
      </c>
      <c r="C64" s="81" t="s">
        <v>75</v>
      </c>
      <c r="D64" s="81" t="s">
        <v>491</v>
      </c>
      <c r="E64" s="81" t="s">
        <v>484</v>
      </c>
      <c r="F64" s="81" t="s">
        <v>359</v>
      </c>
      <c r="G64" s="81" t="s">
        <v>408</v>
      </c>
      <c r="H64" s="81">
        <v>1</v>
      </c>
      <c r="I64" s="69">
        <v>505</v>
      </c>
      <c r="J64" t="s">
        <v>495</v>
      </c>
      <c r="K64" s="166" t="s">
        <v>496</v>
      </c>
      <c r="L64" s="166"/>
      <c r="M64" s="167">
        <v>45135</v>
      </c>
      <c r="N64" s="167">
        <v>45200</v>
      </c>
      <c r="O64" s="81" t="s">
        <v>317</v>
      </c>
      <c r="P64" s="167" t="s">
        <v>318</v>
      </c>
    </row>
    <row r="65" spans="1:16" ht="39.65" customHeight="1" x14ac:dyDescent="0.25">
      <c r="A65" s="165" t="str">
        <f ca="1">HYPERLINK(MID(CELL("filename",A1),FIND("[",CELL("filename",A1)),FIND("]",CELL("filename",A1)) - FIND("[",CELL("filename",A1)) + 1) &amp; "'x-601'!TABLE_CLIENT_1","x-601 1")</f>
        <v>x-601 1</v>
      </c>
      <c r="B65" s="81" t="s">
        <v>310</v>
      </c>
      <c r="C65" s="81" t="s">
        <v>75</v>
      </c>
      <c r="D65" s="81" t="s">
        <v>497</v>
      </c>
      <c r="E65" s="81" t="s">
        <v>498</v>
      </c>
      <c r="F65" s="81" t="s">
        <v>359</v>
      </c>
      <c r="G65" s="81" t="s">
        <v>499</v>
      </c>
      <c r="H65" s="81">
        <v>1</v>
      </c>
      <c r="I65" s="69">
        <v>601</v>
      </c>
      <c r="J65" t="s">
        <v>500</v>
      </c>
      <c r="K65" s="166" t="s">
        <v>501</v>
      </c>
      <c r="L65" s="166"/>
      <c r="M65" s="167">
        <v>45072</v>
      </c>
      <c r="N65" s="167">
        <v>45078</v>
      </c>
      <c r="O65" s="81" t="s">
        <v>317</v>
      </c>
      <c r="P65" s="167" t="s">
        <v>318</v>
      </c>
    </row>
    <row r="66" spans="1:16" ht="39.65" customHeight="1" x14ac:dyDescent="0.25">
      <c r="A66" s="165" t="str">
        <f ca="1">HYPERLINK(MID(CELL("filename",A1),FIND("[",CELL("filename",A1)),FIND("]",CELL("filename",A1)) - FIND("[",CELL("filename",A1)) + 1) &amp; "'x-602'!TABLE_CLIENT_1","x-602 1")</f>
        <v>x-602 1</v>
      </c>
      <c r="B66" s="81" t="s">
        <v>310</v>
      </c>
      <c r="C66" s="81" t="s">
        <v>75</v>
      </c>
      <c r="D66" s="81" t="s">
        <v>497</v>
      </c>
      <c r="E66" s="81" t="s">
        <v>502</v>
      </c>
      <c r="F66" s="81" t="s">
        <v>359</v>
      </c>
      <c r="G66" s="81" t="s">
        <v>499</v>
      </c>
      <c r="H66" s="81">
        <v>1</v>
      </c>
      <c r="I66" s="69">
        <v>602</v>
      </c>
      <c r="J66" t="s">
        <v>503</v>
      </c>
      <c r="K66" s="166" t="s">
        <v>504</v>
      </c>
      <c r="L66" s="166"/>
      <c r="M66" s="167">
        <v>45072</v>
      </c>
      <c r="N66" s="167">
        <v>45078</v>
      </c>
      <c r="O66" s="81" t="s">
        <v>317</v>
      </c>
      <c r="P66" s="167" t="s">
        <v>318</v>
      </c>
    </row>
    <row r="67" spans="1:16" ht="39.65" customHeight="1" x14ac:dyDescent="0.25">
      <c r="A67" s="165" t="str">
        <f ca="1">HYPERLINK(MID(CELL("filename",A1),FIND("[",CELL("filename",A1)),FIND("]",CELL("filename",A1)) - FIND("[",CELL("filename",A1)) + 1) &amp; "'x-603'!TABLE_CLIENT_1","x-603 1")</f>
        <v>x-603 1</v>
      </c>
      <c r="B67" s="81" t="s">
        <v>310</v>
      </c>
      <c r="C67" s="81" t="s">
        <v>74</v>
      </c>
      <c r="D67" s="81" t="s">
        <v>497</v>
      </c>
      <c r="E67" s="81" t="s">
        <v>498</v>
      </c>
      <c r="F67" s="81" t="s">
        <v>359</v>
      </c>
      <c r="G67" s="81" t="s">
        <v>499</v>
      </c>
      <c r="H67" s="81">
        <v>0</v>
      </c>
      <c r="I67" s="69">
        <v>603</v>
      </c>
      <c r="J67" t="s">
        <v>505</v>
      </c>
      <c r="K67" s="166" t="s">
        <v>501</v>
      </c>
      <c r="L67" s="166"/>
      <c r="M67" s="167">
        <v>45072</v>
      </c>
      <c r="N67" s="167">
        <v>45078</v>
      </c>
      <c r="O67" s="81" t="s">
        <v>317</v>
      </c>
      <c r="P67" s="167" t="s">
        <v>318</v>
      </c>
    </row>
    <row r="68" spans="1:16" ht="39.65" customHeight="1" x14ac:dyDescent="0.25">
      <c r="A68" s="165" t="str">
        <f ca="1">HYPERLINK(MID(CELL("filename",A1),FIND("[",CELL("filename",A1)),FIND("]",CELL("filename",A1)) - FIND("[",CELL("filename",A1)) + 1) &amp; "'x-604'!TABLE_CLIENT_1","x-604 1")</f>
        <v>x-604 1</v>
      </c>
      <c r="B68" s="81" t="s">
        <v>310</v>
      </c>
      <c r="C68" s="81" t="s">
        <v>74</v>
      </c>
      <c r="D68" s="81" t="s">
        <v>497</v>
      </c>
      <c r="E68" s="81" t="s">
        <v>502</v>
      </c>
      <c r="F68" s="81" t="s">
        <v>359</v>
      </c>
      <c r="G68" s="81" t="s">
        <v>499</v>
      </c>
      <c r="H68" s="81">
        <v>0</v>
      </c>
      <c r="I68" s="69">
        <v>604</v>
      </c>
      <c r="J68" t="s">
        <v>506</v>
      </c>
      <c r="K68" s="166" t="s">
        <v>504</v>
      </c>
      <c r="L68" s="166"/>
      <c r="M68" s="167">
        <v>45072</v>
      </c>
      <c r="N68" s="167">
        <v>45078</v>
      </c>
      <c r="O68" s="81" t="s">
        <v>317</v>
      </c>
      <c r="P68" s="167" t="s">
        <v>318</v>
      </c>
    </row>
    <row r="69" spans="1:16" ht="39.65" customHeight="1" x14ac:dyDescent="0.25">
      <c r="A69" s="165" t="str">
        <f ca="1">HYPERLINK(MID(CELL("filename",A1),FIND("[",CELL("filename",A1)),FIND("]",CELL("filename",A1)) - FIND("[",CELL("filename",A1)) + 1) &amp; "'x-605'!TABLE_CLIENT_1","x-605 1")</f>
        <v>x-605 1</v>
      </c>
      <c r="B69" s="81" t="s">
        <v>310</v>
      </c>
      <c r="C69" s="81" t="s">
        <v>75</v>
      </c>
      <c r="D69" s="81" t="s">
        <v>507</v>
      </c>
      <c r="E69" s="81" t="s">
        <v>508</v>
      </c>
      <c r="F69" s="81" t="s">
        <v>359</v>
      </c>
      <c r="G69" s="81" t="s">
        <v>499</v>
      </c>
      <c r="H69" s="81">
        <v>0</v>
      </c>
      <c r="I69" s="69">
        <v>605</v>
      </c>
      <c r="J69" t="s">
        <v>509</v>
      </c>
      <c r="K69" s="166" t="s">
        <v>510</v>
      </c>
      <c r="L69" s="166"/>
      <c r="M69" s="167">
        <v>45072</v>
      </c>
      <c r="N69" s="167">
        <v>45078</v>
      </c>
      <c r="O69" s="81" t="s">
        <v>511</v>
      </c>
      <c r="P69" s="167" t="s">
        <v>318</v>
      </c>
    </row>
    <row r="70" spans="1:16" ht="39.65" customHeight="1" x14ac:dyDescent="0.25">
      <c r="A70" s="165" t="str">
        <f ca="1">HYPERLINK(MID(CELL("filename",A1),FIND("[",CELL("filename",A1)),FIND("]",CELL("filename",A1)) - FIND("[",CELL("filename",A1)) + 1) &amp; "'x-606'!TABLE_CLIENT_1","x-606 1")</f>
        <v>x-606 1</v>
      </c>
      <c r="B70" s="81" t="s">
        <v>310</v>
      </c>
      <c r="C70" s="81" t="s">
        <v>74</v>
      </c>
      <c r="D70" s="81" t="s">
        <v>507</v>
      </c>
      <c r="E70" s="81" t="s">
        <v>508</v>
      </c>
      <c r="F70" s="81" t="s">
        <v>359</v>
      </c>
      <c r="G70" s="81" t="s">
        <v>499</v>
      </c>
      <c r="H70" s="81">
        <v>0</v>
      </c>
      <c r="I70" s="69">
        <v>606</v>
      </c>
      <c r="J70" t="s">
        <v>512</v>
      </c>
      <c r="K70" s="166" t="s">
        <v>510</v>
      </c>
      <c r="L70" s="166"/>
      <c r="M70" s="167">
        <v>45072</v>
      </c>
      <c r="N70" s="167">
        <v>45078</v>
      </c>
      <c r="O70" s="81" t="s">
        <v>511</v>
      </c>
      <c r="P70" s="167" t="s">
        <v>318</v>
      </c>
    </row>
    <row r="71" spans="1:16" ht="39.65" customHeight="1" x14ac:dyDescent="0.25">
      <c r="A71" s="165" t="str">
        <f ca="1">HYPERLINK(MID(CELL("filename",A1),FIND("[",CELL("filename",A1)),FIND("]",CELL("filename",A1)) - FIND("[",CELL("filename",A1)) + 1) &amp; "'x-703'!TABLE_CLIENT_1","x-703 1")</f>
        <v>x-703 1</v>
      </c>
      <c r="B71" s="81" t="s">
        <v>310</v>
      </c>
      <c r="C71" s="81" t="s">
        <v>513</v>
      </c>
      <c r="D71" s="81" t="s">
        <v>514</v>
      </c>
      <c r="E71" s="81" t="s">
        <v>515</v>
      </c>
      <c r="F71" s="81" t="s">
        <v>359</v>
      </c>
      <c r="G71" s="81" t="s">
        <v>516</v>
      </c>
      <c r="H71" s="81">
        <v>0</v>
      </c>
      <c r="I71" s="69">
        <v>703</v>
      </c>
      <c r="J71" t="s">
        <v>517</v>
      </c>
      <c r="K71" s="166" t="s">
        <v>518</v>
      </c>
      <c r="L71" s="166"/>
      <c r="M71" s="167">
        <v>45202</v>
      </c>
      <c r="N71" s="167">
        <v>45202</v>
      </c>
      <c r="O71" s="81" t="s">
        <v>317</v>
      </c>
      <c r="P71" s="167" t="s">
        <v>318</v>
      </c>
    </row>
    <row r="72" spans="1:16" ht="39.65" customHeight="1" x14ac:dyDescent="0.25">
      <c r="A72" s="165" t="str">
        <f ca="1">HYPERLINK(MID(CELL("filename",A1),FIND("[",CELL("filename",A1)),FIND("]",CELL("filename",A1)) - FIND("[",CELL("filename",A1)) + 1) &amp; "'x-704'!TABLE_CLIENT_1","x-704 1")</f>
        <v>x-704 1</v>
      </c>
      <c r="B72" s="81" t="s">
        <v>310</v>
      </c>
      <c r="C72" s="81" t="s">
        <v>363</v>
      </c>
      <c r="D72" s="81" t="s">
        <v>514</v>
      </c>
      <c r="E72" s="81" t="s">
        <v>519</v>
      </c>
      <c r="F72" s="81" t="s">
        <v>359</v>
      </c>
      <c r="G72" s="81" t="s">
        <v>520</v>
      </c>
      <c r="H72" s="81">
        <v>1</v>
      </c>
      <c r="I72" s="69">
        <v>704</v>
      </c>
      <c r="J72" t="s">
        <v>521</v>
      </c>
      <c r="K72" s="166" t="s">
        <v>522</v>
      </c>
      <c r="L72" s="166"/>
      <c r="M72" s="167">
        <v>45202</v>
      </c>
      <c r="N72" s="167">
        <v>45202</v>
      </c>
      <c r="O72" s="81" t="s">
        <v>317</v>
      </c>
      <c r="P72" s="167" t="s">
        <v>318</v>
      </c>
    </row>
    <row r="73" spans="1:16" ht="39.65" customHeight="1" x14ac:dyDescent="0.25">
      <c r="A73" s="165" t="str">
        <f ca="1">HYPERLINK(MID(CELL("filename",A1),FIND("[",CELL("filename",A1)),FIND("]",CELL("filename",A1)) - FIND("[",CELL("filename",A1)) + 1) &amp; "'x-705'!TABLE_CLIENT_1","x-705 1")</f>
        <v>x-705 1</v>
      </c>
      <c r="B73" s="81" t="s">
        <v>310</v>
      </c>
      <c r="C73" s="81" t="s">
        <v>363</v>
      </c>
      <c r="D73" s="81" t="s">
        <v>514</v>
      </c>
      <c r="E73" s="81" t="s">
        <v>523</v>
      </c>
      <c r="F73" s="81" t="s">
        <v>359</v>
      </c>
      <c r="G73" s="81" t="s">
        <v>520</v>
      </c>
      <c r="H73" s="81">
        <v>1</v>
      </c>
      <c r="I73" s="69">
        <v>705</v>
      </c>
      <c r="J73" t="s">
        <v>524</v>
      </c>
      <c r="K73" s="166" t="s">
        <v>525</v>
      </c>
      <c r="L73" s="166"/>
      <c r="M73" s="167">
        <v>45202</v>
      </c>
      <c r="N73" s="167">
        <v>45202</v>
      </c>
      <c r="O73" s="81" t="s">
        <v>317</v>
      </c>
      <c r="P73" s="167" t="s">
        <v>318</v>
      </c>
    </row>
    <row r="74" spans="1:16" ht="39.65" customHeight="1" x14ac:dyDescent="0.25">
      <c r="A74" s="165" t="str">
        <f ca="1">HYPERLINK(MID(CELL("filename",A1),FIND("[",CELL("filename",A1)),FIND("]",CELL("filename",A1)) - FIND("[",CELL("filename",A1)) + 1) &amp; "'x-706'!TABLE_CLIENT_1","x-706 1")</f>
        <v>x-706 1</v>
      </c>
      <c r="B74" s="81" t="s">
        <v>310</v>
      </c>
      <c r="C74" s="81" t="s">
        <v>363</v>
      </c>
      <c r="D74" s="81" t="s">
        <v>514</v>
      </c>
      <c r="E74" s="81" t="s">
        <v>526</v>
      </c>
      <c r="F74" s="81" t="s">
        <v>359</v>
      </c>
      <c r="G74" s="81" t="s">
        <v>520</v>
      </c>
      <c r="H74" s="81">
        <v>2</v>
      </c>
      <c r="I74" s="69">
        <v>706</v>
      </c>
      <c r="J74" t="s">
        <v>527</v>
      </c>
      <c r="K74" s="166" t="s">
        <v>528</v>
      </c>
      <c r="L74" s="166"/>
      <c r="M74" s="167">
        <v>45202</v>
      </c>
      <c r="N74" s="167">
        <v>45202</v>
      </c>
      <c r="O74" s="81" t="s">
        <v>317</v>
      </c>
      <c r="P74" s="167" t="s">
        <v>318</v>
      </c>
    </row>
    <row r="75" spans="1:16" ht="39.65" customHeight="1" x14ac:dyDescent="0.25">
      <c r="A75" s="165" t="str">
        <f ca="1">HYPERLINK(MID(CELL("filename",A1),FIND("[",CELL("filename",A1)),FIND("]",CELL("filename",A1)) - FIND("[",CELL("filename",A1)) + 1) &amp; "'x-707'!TABLE_CLIENT_1","x-707 1")</f>
        <v>x-707 1</v>
      </c>
      <c r="B75" s="81" t="s">
        <v>310</v>
      </c>
      <c r="C75" s="81" t="s">
        <v>363</v>
      </c>
      <c r="D75" s="81" t="s">
        <v>514</v>
      </c>
      <c r="E75" s="81" t="s">
        <v>529</v>
      </c>
      <c r="F75" s="81" t="s">
        <v>359</v>
      </c>
      <c r="G75" s="81" t="s">
        <v>520</v>
      </c>
      <c r="H75" s="81">
        <v>2</v>
      </c>
      <c r="I75" s="69">
        <v>707</v>
      </c>
      <c r="J75" t="s">
        <v>530</v>
      </c>
      <c r="K75" s="166" t="s">
        <v>531</v>
      </c>
      <c r="L75" s="166"/>
      <c r="M75" s="167">
        <v>45202</v>
      </c>
      <c r="N75" s="167">
        <v>45202</v>
      </c>
      <c r="O75" s="81" t="s">
        <v>317</v>
      </c>
      <c r="P75" s="167" t="s">
        <v>318</v>
      </c>
    </row>
    <row r="76" spans="1:16" ht="39.65" customHeight="1" x14ac:dyDescent="0.25">
      <c r="A76" s="165" t="str">
        <f ca="1">HYPERLINK(MID(CELL("filename",A1),FIND("[",CELL("filename",A1)),FIND("]",CELL("filename",A1)) - FIND("[",CELL("filename",A1)) + 1) &amp; "'x-708'!TABLE_CLIENT_1","x-708 1")</f>
        <v>x-708 1</v>
      </c>
      <c r="B76" s="81" t="s">
        <v>310</v>
      </c>
      <c r="C76" s="81" t="s">
        <v>363</v>
      </c>
      <c r="D76" s="81" t="s">
        <v>514</v>
      </c>
      <c r="E76" s="81" t="s">
        <v>532</v>
      </c>
      <c r="F76" s="81" t="s">
        <v>359</v>
      </c>
      <c r="G76" s="81" t="s">
        <v>520</v>
      </c>
      <c r="H76" s="81">
        <v>1</v>
      </c>
      <c r="I76" s="69">
        <v>708</v>
      </c>
      <c r="J76" t="s">
        <v>533</v>
      </c>
      <c r="K76" s="166" t="s">
        <v>534</v>
      </c>
      <c r="L76" s="166"/>
      <c r="M76" s="167">
        <v>45202</v>
      </c>
      <c r="N76" s="167">
        <v>45202</v>
      </c>
      <c r="O76" s="81" t="s">
        <v>317</v>
      </c>
      <c r="P76" s="167" t="s">
        <v>318</v>
      </c>
    </row>
    <row r="77" spans="1:16" ht="39.65" customHeight="1" x14ac:dyDescent="0.25">
      <c r="A77" s="165" t="str">
        <f ca="1">HYPERLINK(MID(CELL("filename",A1),FIND("[",CELL("filename",A1)),FIND("]",CELL("filename",A1)) - FIND("[",CELL("filename",A1)) + 1) &amp; "'x-709'!TABLE_CLIENT_1","x-709 1")</f>
        <v>x-709 1</v>
      </c>
      <c r="B77" s="81" t="s">
        <v>310</v>
      </c>
      <c r="C77" s="81" t="s">
        <v>363</v>
      </c>
      <c r="D77" s="81" t="s">
        <v>514</v>
      </c>
      <c r="E77" s="81" t="s">
        <v>535</v>
      </c>
      <c r="F77" s="81" t="s">
        <v>359</v>
      </c>
      <c r="G77" s="81" t="s">
        <v>520</v>
      </c>
      <c r="H77" s="81">
        <v>1</v>
      </c>
      <c r="I77" s="69">
        <v>709</v>
      </c>
      <c r="J77" t="s">
        <v>536</v>
      </c>
      <c r="K77" s="166" t="s">
        <v>537</v>
      </c>
      <c r="L77" s="166"/>
      <c r="M77" s="167">
        <v>45202</v>
      </c>
      <c r="N77" s="167">
        <v>45202</v>
      </c>
      <c r="O77" s="81" t="s">
        <v>317</v>
      </c>
      <c r="P77" s="167" t="s">
        <v>318</v>
      </c>
    </row>
    <row r="78" spans="1:16" ht="39.65" customHeight="1" x14ac:dyDescent="0.25">
      <c r="A78" s="165" t="str">
        <f ca="1">HYPERLINK(MID(CELL("filename",A1),FIND("[",CELL("filename",A1)),FIND("]",CELL("filename",A1)) - FIND("[",CELL("filename",A1)) + 1) &amp; "'x-710'!TABLE_CLIENT_1","x-710 1")</f>
        <v>x-710 1</v>
      </c>
      <c r="B78" s="81" t="s">
        <v>310</v>
      </c>
      <c r="C78" s="81" t="s">
        <v>363</v>
      </c>
      <c r="D78" s="81" t="s">
        <v>514</v>
      </c>
      <c r="E78" s="81" t="s">
        <v>538</v>
      </c>
      <c r="F78" s="81" t="s">
        <v>359</v>
      </c>
      <c r="G78" s="81" t="s">
        <v>520</v>
      </c>
      <c r="H78" s="81">
        <v>2</v>
      </c>
      <c r="I78" s="69">
        <v>710</v>
      </c>
      <c r="J78" t="s">
        <v>539</v>
      </c>
      <c r="K78" s="166" t="s">
        <v>540</v>
      </c>
      <c r="L78" s="166"/>
      <c r="M78" s="167">
        <v>45202</v>
      </c>
      <c r="N78" s="167">
        <v>45202</v>
      </c>
      <c r="O78" s="81" t="s">
        <v>317</v>
      </c>
      <c r="P78" s="167" t="s">
        <v>318</v>
      </c>
    </row>
    <row r="79" spans="1:16" ht="39.65" customHeight="1" x14ac:dyDescent="0.25">
      <c r="A79" s="165" t="str">
        <f ca="1">HYPERLINK(MID(CELL("filename",A1),FIND("[",CELL("filename",A1)),FIND("]",CELL("filename",A1)) - FIND("[",CELL("filename",A1)) + 1) &amp; "'x-711'!TABLE_CLIENT_1","x-711 1")</f>
        <v>x-711 1</v>
      </c>
      <c r="B79" s="81" t="s">
        <v>310</v>
      </c>
      <c r="C79" s="81" t="s">
        <v>363</v>
      </c>
      <c r="D79" s="81" t="s">
        <v>514</v>
      </c>
      <c r="E79" s="81" t="s">
        <v>541</v>
      </c>
      <c r="F79" s="81" t="s">
        <v>359</v>
      </c>
      <c r="G79" s="81" t="s">
        <v>520</v>
      </c>
      <c r="H79" s="81">
        <v>2</v>
      </c>
      <c r="I79" s="69">
        <v>711</v>
      </c>
      <c r="J79" t="s">
        <v>542</v>
      </c>
      <c r="K79" s="166" t="s">
        <v>543</v>
      </c>
      <c r="L79" s="166"/>
      <c r="M79" s="167">
        <v>45202</v>
      </c>
      <c r="N79" s="167">
        <v>45202</v>
      </c>
      <c r="O79" s="81" t="s">
        <v>317</v>
      </c>
      <c r="P79" s="167" t="s">
        <v>318</v>
      </c>
    </row>
    <row r="80" spans="1:16" ht="39.65" customHeight="1" x14ac:dyDescent="0.25">
      <c r="A80" s="165" t="str">
        <f ca="1">HYPERLINK(MID(CELL("filename",A1),FIND("[",CELL("filename",A1)),FIND("]",CELL("filename",A1)) - FIND("[",CELL("filename",A1)) + 1) &amp; "'x-712'!TABLE_CLIENT_1","x-712 1")</f>
        <v>x-712 1</v>
      </c>
      <c r="B80" s="81" t="s">
        <v>310</v>
      </c>
      <c r="C80" s="81" t="s">
        <v>513</v>
      </c>
      <c r="D80" s="81" t="s">
        <v>514</v>
      </c>
      <c r="E80" s="81" t="s">
        <v>544</v>
      </c>
      <c r="F80" s="81" t="s">
        <v>359</v>
      </c>
      <c r="G80" s="81" t="s">
        <v>520</v>
      </c>
      <c r="H80" s="81">
        <v>0</v>
      </c>
      <c r="I80" s="69">
        <v>712</v>
      </c>
      <c r="J80" t="s">
        <v>545</v>
      </c>
      <c r="K80" s="166" t="s">
        <v>546</v>
      </c>
      <c r="L80" s="166"/>
      <c r="M80" s="167">
        <v>45202</v>
      </c>
      <c r="N80" s="167">
        <v>45202</v>
      </c>
      <c r="O80" s="81" t="s">
        <v>317</v>
      </c>
      <c r="P80" s="167" t="s">
        <v>318</v>
      </c>
    </row>
    <row r="81" spans="1:16" ht="39.65" customHeight="1" x14ac:dyDescent="0.25">
      <c r="A81" s="165" t="str">
        <f ca="1">HYPERLINK(MID(CELL("filename",A1),FIND("[",CELL("filename",A1)),FIND("]",CELL("filename",A1)) - FIND("[",CELL("filename",A1)) + 1) &amp; "'x-713'!TABLE_CLIENT_1","x-713 1")</f>
        <v>x-713 1</v>
      </c>
      <c r="B81" s="81" t="s">
        <v>310</v>
      </c>
      <c r="C81" s="81" t="s">
        <v>513</v>
      </c>
      <c r="D81" s="81" t="s">
        <v>514</v>
      </c>
      <c r="E81" s="81" t="s">
        <v>547</v>
      </c>
      <c r="F81" s="81" t="s">
        <v>359</v>
      </c>
      <c r="G81" s="81" t="s">
        <v>520</v>
      </c>
      <c r="H81" s="81">
        <v>0</v>
      </c>
      <c r="I81" s="69">
        <v>713</v>
      </c>
      <c r="J81" t="s">
        <v>548</v>
      </c>
      <c r="K81" s="166" t="s">
        <v>549</v>
      </c>
      <c r="L81" s="166"/>
      <c r="M81" s="167">
        <v>45202</v>
      </c>
      <c r="N81" s="167">
        <v>45202</v>
      </c>
      <c r="O81" s="81" t="s">
        <v>317</v>
      </c>
      <c r="P81" s="167" t="s">
        <v>318</v>
      </c>
    </row>
    <row r="82" spans="1:16" ht="39.65" customHeight="1" x14ac:dyDescent="0.25">
      <c r="A82" s="165" t="str">
        <f ca="1">HYPERLINK(MID(CELL("filename",A1),FIND("[",CELL("filename",A1)),FIND("]",CELL("filename",A1)) - FIND("[",CELL("filename",A1)) + 1) &amp; "'x-714'!TABLE_CLIENT_1","x-714 1")</f>
        <v>x-714 1</v>
      </c>
      <c r="B82" s="81" t="s">
        <v>310</v>
      </c>
      <c r="C82" s="81" t="s">
        <v>513</v>
      </c>
      <c r="D82" s="81" t="s">
        <v>514</v>
      </c>
      <c r="E82" s="81" t="s">
        <v>550</v>
      </c>
      <c r="F82" s="81" t="s">
        <v>359</v>
      </c>
      <c r="G82" s="81" t="s">
        <v>520</v>
      </c>
      <c r="H82" s="81">
        <v>0</v>
      </c>
      <c r="I82" s="69">
        <v>714</v>
      </c>
      <c r="J82" t="s">
        <v>551</v>
      </c>
      <c r="K82" s="166" t="s">
        <v>552</v>
      </c>
      <c r="L82" s="166"/>
      <c r="M82" s="167">
        <v>45202</v>
      </c>
      <c r="N82" s="167">
        <v>45202</v>
      </c>
      <c r="O82" s="81" t="s">
        <v>317</v>
      </c>
      <c r="P82" s="167" t="s">
        <v>318</v>
      </c>
    </row>
    <row r="83" spans="1:16" ht="39.65" customHeight="1" x14ac:dyDescent="0.25">
      <c r="A83" s="165" t="str">
        <f ca="1">HYPERLINK(MID(CELL("filename",A1),FIND("[",CELL("filename",A1)),FIND("]",CELL("filename",A1)) - FIND("[",CELL("filename",A1)) + 1) &amp; "'x-715'!TABLE_CLIENT_1","x-715 1")</f>
        <v>x-715 1</v>
      </c>
      <c r="B83" s="81" t="s">
        <v>310</v>
      </c>
      <c r="C83" s="81" t="s">
        <v>513</v>
      </c>
      <c r="D83" s="81" t="s">
        <v>514</v>
      </c>
      <c r="E83" s="81" t="s">
        <v>553</v>
      </c>
      <c r="F83" s="81" t="s">
        <v>359</v>
      </c>
      <c r="G83" s="81" t="s">
        <v>520</v>
      </c>
      <c r="H83" s="81">
        <v>0</v>
      </c>
      <c r="I83" s="69">
        <v>715</v>
      </c>
      <c r="J83" t="s">
        <v>554</v>
      </c>
      <c r="K83" s="166" t="s">
        <v>555</v>
      </c>
      <c r="L83" s="166"/>
      <c r="M83" s="167">
        <v>45202</v>
      </c>
      <c r="N83" s="167">
        <v>45202</v>
      </c>
      <c r="O83" s="81" t="s">
        <v>317</v>
      </c>
      <c r="P83" s="167" t="s">
        <v>318</v>
      </c>
    </row>
    <row r="84" spans="1:16" ht="39.65" customHeight="1" x14ac:dyDescent="0.25">
      <c r="A84" s="165" t="str">
        <f ca="1">HYPERLINK(MID(CELL("filename",A1),FIND("[",CELL("filename",A1)),FIND("]",CELL("filename",A1)) - FIND("[",CELL("filename",A1)) + 1) &amp; "'x-716'!TABLE_CLIENT_1","x-716 1")</f>
        <v>x-716 1</v>
      </c>
      <c r="B84" s="81" t="s">
        <v>310</v>
      </c>
      <c r="C84" s="81" t="s">
        <v>513</v>
      </c>
      <c r="D84" s="81" t="s">
        <v>514</v>
      </c>
      <c r="E84" s="81" t="s">
        <v>556</v>
      </c>
      <c r="F84" s="81" t="s">
        <v>359</v>
      </c>
      <c r="G84" s="81" t="s">
        <v>520</v>
      </c>
      <c r="H84" s="81">
        <v>0</v>
      </c>
      <c r="I84" s="69">
        <v>716</v>
      </c>
      <c r="J84" t="s">
        <v>557</v>
      </c>
      <c r="K84" s="166" t="s">
        <v>558</v>
      </c>
      <c r="L84" s="166"/>
      <c r="M84" s="167">
        <v>45202</v>
      </c>
      <c r="N84" s="167">
        <v>45202</v>
      </c>
      <c r="O84" s="81" t="s">
        <v>317</v>
      </c>
      <c r="P84" s="167" t="s">
        <v>318</v>
      </c>
    </row>
    <row r="85" spans="1:16" ht="39.65" customHeight="1" x14ac:dyDescent="0.25">
      <c r="A85" s="165" t="str">
        <f ca="1">HYPERLINK(MID(CELL("filename",A1),FIND("[",CELL("filename",A1)),FIND("]",CELL("filename",A1)) - FIND("[",CELL("filename",A1)) + 1) &amp; "'x-717'!TABLE_CLIENT_1","x-717 1")</f>
        <v>x-717 1</v>
      </c>
      <c r="B85" s="81" t="s">
        <v>310</v>
      </c>
      <c r="C85" s="81" t="s">
        <v>513</v>
      </c>
      <c r="D85" s="81" t="s">
        <v>514</v>
      </c>
      <c r="E85" s="81" t="s">
        <v>559</v>
      </c>
      <c r="F85" s="81" t="s">
        <v>359</v>
      </c>
      <c r="G85" s="81" t="s">
        <v>520</v>
      </c>
      <c r="H85" s="81">
        <v>0</v>
      </c>
      <c r="I85" s="69">
        <v>717</v>
      </c>
      <c r="J85" t="s">
        <v>560</v>
      </c>
      <c r="K85" s="166" t="s">
        <v>561</v>
      </c>
      <c r="L85" s="166"/>
      <c r="M85" s="167">
        <v>45202</v>
      </c>
      <c r="N85" s="167">
        <v>45202</v>
      </c>
      <c r="O85" s="81" t="s">
        <v>317</v>
      </c>
      <c r="P85" s="167" t="s">
        <v>318</v>
      </c>
    </row>
    <row r="86" spans="1:16" ht="39.65" customHeight="1" x14ac:dyDescent="0.25">
      <c r="A86" s="165" t="str">
        <f ca="1">HYPERLINK(MID(CELL("filename",A1),FIND("[",CELL("filename",A1)),FIND("]",CELL("filename",A1)) - FIND("[",CELL("filename",A1)) + 1) &amp; "'x-718'!TABLE_CLIENT_1","x-718 1")</f>
        <v>x-718 1</v>
      </c>
      <c r="B86" s="81" t="s">
        <v>310</v>
      </c>
      <c r="C86" s="81" t="s">
        <v>513</v>
      </c>
      <c r="D86" s="81" t="s">
        <v>514</v>
      </c>
      <c r="E86" s="81" t="s">
        <v>562</v>
      </c>
      <c r="F86" s="81" t="s">
        <v>359</v>
      </c>
      <c r="G86" s="81" t="s">
        <v>520</v>
      </c>
      <c r="H86" s="81">
        <v>0</v>
      </c>
      <c r="I86" s="69">
        <v>718</v>
      </c>
      <c r="J86" t="s">
        <v>563</v>
      </c>
      <c r="K86" s="166" t="s">
        <v>564</v>
      </c>
      <c r="L86" s="166"/>
      <c r="M86" s="167">
        <v>45202</v>
      </c>
      <c r="N86" s="167">
        <v>45202</v>
      </c>
      <c r="O86" s="81" t="s">
        <v>317</v>
      </c>
      <c r="P86" s="167" t="s">
        <v>318</v>
      </c>
    </row>
    <row r="87" spans="1:16" ht="39.65" customHeight="1" x14ac:dyDescent="0.25">
      <c r="A87" s="165" t="str">
        <f ca="1">HYPERLINK(MID(CELL("filename",A1),FIND("[",CELL("filename",A1)),FIND("]",CELL("filename",A1)) - FIND("[",CELL("filename",A1)) + 1) &amp; "'x-719'!TABLE_CLIENT_1","x-719 1")</f>
        <v>x-719 1</v>
      </c>
      <c r="B87" s="81" t="s">
        <v>310</v>
      </c>
      <c r="C87" s="81" t="s">
        <v>513</v>
      </c>
      <c r="D87" s="81" t="s">
        <v>514</v>
      </c>
      <c r="E87" s="81" t="s">
        <v>565</v>
      </c>
      <c r="F87" s="81" t="s">
        <v>359</v>
      </c>
      <c r="G87" s="81" t="s">
        <v>520</v>
      </c>
      <c r="H87" s="81">
        <v>0</v>
      </c>
      <c r="I87" s="69">
        <v>719</v>
      </c>
      <c r="J87" t="s">
        <v>566</v>
      </c>
      <c r="K87" s="166" t="s">
        <v>567</v>
      </c>
      <c r="L87" s="166"/>
      <c r="M87" s="167">
        <v>45202</v>
      </c>
      <c r="N87" s="167">
        <v>45202</v>
      </c>
      <c r="O87" s="81" t="s">
        <v>317</v>
      </c>
      <c r="P87" s="167" t="s">
        <v>318</v>
      </c>
    </row>
    <row r="88" spans="1:16" ht="39.65" customHeight="1" x14ac:dyDescent="0.25">
      <c r="A88" s="165" t="str">
        <f ca="1">HYPERLINK(MID(CELL("filename",A1),FIND("[",CELL("filename",A1)),FIND("]",CELL("filename",A1)) - FIND("[",CELL("filename",A1)) + 1) &amp; "'x-720'!TABLE_CLIENT_1","x-720 1")</f>
        <v>x-720 1</v>
      </c>
      <c r="B88" s="81" t="s">
        <v>310</v>
      </c>
      <c r="C88" s="81" t="s">
        <v>513</v>
      </c>
      <c r="D88" s="81" t="s">
        <v>568</v>
      </c>
      <c r="E88" s="81" t="s">
        <v>569</v>
      </c>
      <c r="F88" s="81" t="s">
        <v>359</v>
      </c>
      <c r="G88" s="81" t="s">
        <v>570</v>
      </c>
      <c r="H88" s="81">
        <v>0</v>
      </c>
      <c r="I88" s="69">
        <v>720</v>
      </c>
      <c r="J88" t="s">
        <v>571</v>
      </c>
      <c r="K88" s="166" t="s">
        <v>572</v>
      </c>
      <c r="L88" s="166"/>
      <c r="M88" s="167">
        <v>45202</v>
      </c>
      <c r="N88" s="167">
        <v>45200</v>
      </c>
      <c r="O88" s="81" t="s">
        <v>317</v>
      </c>
      <c r="P88" s="167" t="s">
        <v>318</v>
      </c>
    </row>
    <row r="89" spans="1:16" ht="39.65" customHeight="1" x14ac:dyDescent="0.25">
      <c r="A89" s="165" t="str">
        <f ca="1">HYPERLINK(MID(CELL("filename",A1),FIND("[",CELL("filename",A1)),FIND("]",CELL("filename",A1)) - FIND("[",CELL("filename",A1)) + 1) &amp; "'x-721'!TABLE_CLIENT_1","x-721 1")</f>
        <v>x-721 1</v>
      </c>
      <c r="B89" s="81" t="s">
        <v>310</v>
      </c>
      <c r="C89" s="81" t="s">
        <v>75</v>
      </c>
      <c r="D89" s="81" t="s">
        <v>573</v>
      </c>
      <c r="E89" s="81" t="s">
        <v>574</v>
      </c>
      <c r="F89" s="81" t="s">
        <v>359</v>
      </c>
      <c r="G89" s="81" t="s">
        <v>575</v>
      </c>
      <c r="H89" s="81">
        <v>1</v>
      </c>
      <c r="I89" s="69">
        <v>721</v>
      </c>
      <c r="J89" t="s">
        <v>576</v>
      </c>
      <c r="K89" s="166" t="s">
        <v>576</v>
      </c>
      <c r="L89" s="166"/>
      <c r="M89" s="167">
        <v>45202</v>
      </c>
      <c r="N89" s="167">
        <v>45202</v>
      </c>
      <c r="O89" s="81" t="s">
        <v>317</v>
      </c>
      <c r="P89" s="167" t="s">
        <v>318</v>
      </c>
    </row>
    <row r="90" spans="1:16" ht="39.65" customHeight="1" x14ac:dyDescent="0.25">
      <c r="A90" s="165" t="str">
        <f ca="1">HYPERLINK(MID(CELL("filename",A1),FIND("[",CELL("filename",A1)),FIND("]",CELL("filename",A1)) - FIND("[",CELL("filename",A1)) + 1) &amp; "'x-722'!TABLE_CLIENT_1","x-722 1")</f>
        <v>x-722 1</v>
      </c>
      <c r="B90" s="81" t="s">
        <v>310</v>
      </c>
      <c r="C90" s="81" t="s">
        <v>75</v>
      </c>
      <c r="D90" s="81" t="s">
        <v>573</v>
      </c>
      <c r="E90" s="81" t="s">
        <v>574</v>
      </c>
      <c r="F90" s="81" t="s">
        <v>359</v>
      </c>
      <c r="G90" s="81" t="s">
        <v>575</v>
      </c>
      <c r="H90" s="81">
        <v>1</v>
      </c>
      <c r="I90" s="69">
        <v>722</v>
      </c>
      <c r="J90" t="s">
        <v>577</v>
      </c>
      <c r="K90" s="166" t="s">
        <v>577</v>
      </c>
      <c r="L90" s="166"/>
      <c r="M90" s="167">
        <v>45202</v>
      </c>
      <c r="N90" s="167">
        <v>45202</v>
      </c>
      <c r="O90" s="81" t="s">
        <v>317</v>
      </c>
      <c r="P90" s="167" t="s">
        <v>318</v>
      </c>
    </row>
    <row r="91" spans="1:16" ht="39.65" customHeight="1" x14ac:dyDescent="0.25">
      <c r="A91" s="165" t="str">
        <f ca="1">HYPERLINK(MID(CELL("filename",A1),FIND("[",CELL("filename",A1)),FIND("]",CELL("filename",A1)) - FIND("[",CELL("filename",A1)) + 1) &amp; "'x-723'!TABLE_CLIENT_1","x-723 1")</f>
        <v>x-723 1</v>
      </c>
      <c r="B91" s="81" t="s">
        <v>310</v>
      </c>
      <c r="C91" s="81" t="s">
        <v>74</v>
      </c>
      <c r="D91" s="81" t="s">
        <v>573</v>
      </c>
      <c r="E91" s="81" t="s">
        <v>578</v>
      </c>
      <c r="F91" s="81" t="s">
        <v>359</v>
      </c>
      <c r="G91" s="81" t="s">
        <v>575</v>
      </c>
      <c r="H91" s="81">
        <v>0</v>
      </c>
      <c r="I91" s="69">
        <v>723</v>
      </c>
      <c r="J91" t="s">
        <v>579</v>
      </c>
      <c r="K91" s="166" t="s">
        <v>579</v>
      </c>
      <c r="L91" s="166"/>
      <c r="M91" s="167">
        <v>45202</v>
      </c>
      <c r="N91" s="167">
        <v>45202</v>
      </c>
      <c r="O91" s="81" t="s">
        <v>317</v>
      </c>
      <c r="P91" s="167" t="s">
        <v>318</v>
      </c>
    </row>
    <row r="92" spans="1:16" ht="39.65" customHeight="1" x14ac:dyDescent="0.25">
      <c r="A92" s="165" t="str">
        <f ca="1">HYPERLINK(MID(CELL("filename",A1),FIND("[",CELL("filename",A1)),FIND("]",CELL("filename",A1)) - FIND("[",CELL("filename",A1)) + 1) &amp; "'x-801'!TABLE_CLIENT_1","x-801 1")</f>
        <v>x-801 1</v>
      </c>
      <c r="B92" s="81" t="s">
        <v>310</v>
      </c>
      <c r="C92" s="81" t="s">
        <v>580</v>
      </c>
      <c r="D92" s="81" t="s">
        <v>396</v>
      </c>
      <c r="E92" s="81" t="s">
        <v>581</v>
      </c>
      <c r="F92" s="81" t="s">
        <v>359</v>
      </c>
      <c r="G92" s="81" t="s">
        <v>582</v>
      </c>
      <c r="H92" s="81">
        <v>0</v>
      </c>
      <c r="I92" s="69">
        <v>801</v>
      </c>
      <c r="J92" t="s">
        <v>583</v>
      </c>
      <c r="K92" s="166" t="s">
        <v>584</v>
      </c>
      <c r="L92" s="166"/>
      <c r="M92" s="167">
        <v>45135</v>
      </c>
      <c r="N92" s="167">
        <v>45200</v>
      </c>
      <c r="O92" s="81" t="s">
        <v>317</v>
      </c>
      <c r="P92" s="167" t="s">
        <v>318</v>
      </c>
    </row>
    <row r="93" spans="1:16" ht="39.65" customHeight="1" x14ac:dyDescent="0.25">
      <c r="A93" s="165" t="str">
        <f ca="1">HYPERLINK(MID(CELL("filename",A1),FIND("[",CELL("filename",A1)),FIND("]",CELL("filename",A1)) - FIND("[",CELL("filename",A1)) + 1) &amp; "'x-802'!TABLE_CLIENT_1","x-802 1")</f>
        <v>x-802 1</v>
      </c>
      <c r="B93" s="81" t="s">
        <v>310</v>
      </c>
      <c r="C93" s="81" t="s">
        <v>580</v>
      </c>
      <c r="D93" s="81" t="s">
        <v>396</v>
      </c>
      <c r="E93" s="81" t="s">
        <v>585</v>
      </c>
      <c r="F93" s="81" t="s">
        <v>359</v>
      </c>
      <c r="G93" s="81" t="s">
        <v>582</v>
      </c>
      <c r="H93" s="81">
        <v>0</v>
      </c>
      <c r="I93" s="69">
        <v>802</v>
      </c>
      <c r="J93" t="s">
        <v>586</v>
      </c>
      <c r="K93" s="166" t="s">
        <v>587</v>
      </c>
      <c r="L93" s="166"/>
      <c r="M93" s="167">
        <v>45135</v>
      </c>
      <c r="N93" s="167">
        <v>45200</v>
      </c>
      <c r="O93" s="81" t="s">
        <v>317</v>
      </c>
      <c r="P93" s="167" t="s">
        <v>318</v>
      </c>
    </row>
    <row r="94" spans="1:16" ht="39.65" customHeight="1" x14ac:dyDescent="0.25">
      <c r="A94" s="165" t="str">
        <f ca="1">HYPERLINK(MID(CELL("filename",A1),FIND("[",CELL("filename",A1)),FIND("]",CELL("filename",A1)) - FIND("[",CELL("filename",A1)) + 1) &amp; "'x-803'!TABLE_CLIENT_1","x-803 1")</f>
        <v>x-803 1</v>
      </c>
      <c r="B94" s="81" t="s">
        <v>310</v>
      </c>
      <c r="C94" s="81" t="s">
        <v>580</v>
      </c>
      <c r="D94" s="81" t="s">
        <v>396</v>
      </c>
      <c r="E94" s="81" t="s">
        <v>588</v>
      </c>
      <c r="F94" s="81" t="s">
        <v>359</v>
      </c>
      <c r="G94" s="81" t="s">
        <v>589</v>
      </c>
      <c r="H94" s="81">
        <v>0</v>
      </c>
      <c r="I94" s="69">
        <v>803</v>
      </c>
      <c r="J94" t="s">
        <v>590</v>
      </c>
      <c r="K94" s="166" t="s">
        <v>591</v>
      </c>
      <c r="L94" s="166"/>
      <c r="M94" s="167">
        <v>45135</v>
      </c>
      <c r="N94" s="167">
        <v>45200</v>
      </c>
      <c r="O94" s="81" t="s">
        <v>317</v>
      </c>
      <c r="P94" s="167" t="s">
        <v>318</v>
      </c>
    </row>
    <row r="95" spans="1:16" ht="39.65" customHeight="1" x14ac:dyDescent="0.25">
      <c r="A95" s="165" t="str">
        <f ca="1">HYPERLINK(MID(CELL("filename",A1),FIND("[",CELL("filename",A1)),FIND("]",CELL("filename",A1)) - FIND("[",CELL("filename",A1)) + 1) &amp; "'x-804'!TABLE_CLIENT_1","x-804 1")</f>
        <v>x-804 1</v>
      </c>
      <c r="B95" s="81" t="s">
        <v>310</v>
      </c>
      <c r="C95" s="81" t="s">
        <v>580</v>
      </c>
      <c r="D95" s="81" t="s">
        <v>396</v>
      </c>
      <c r="E95" s="81" t="s">
        <v>592</v>
      </c>
      <c r="F95" s="81" t="s">
        <v>359</v>
      </c>
      <c r="G95" s="81" t="s">
        <v>582</v>
      </c>
      <c r="H95" s="81">
        <v>0</v>
      </c>
      <c r="I95" s="69">
        <v>804</v>
      </c>
      <c r="J95" t="s">
        <v>593</v>
      </c>
      <c r="K95" s="166" t="s">
        <v>594</v>
      </c>
      <c r="L95" s="166"/>
      <c r="M95" s="167">
        <v>45135</v>
      </c>
      <c r="N95" s="167">
        <v>45200</v>
      </c>
      <c r="O95" s="81" t="s">
        <v>317</v>
      </c>
      <c r="P95" s="167" t="s">
        <v>318</v>
      </c>
    </row>
    <row r="96" spans="1:16" ht="39.65" customHeight="1" x14ac:dyDescent="0.25">
      <c r="A96" s="165" t="str">
        <f ca="1">HYPERLINK(MID(CELL("filename",A1),FIND("[",CELL("filename",A1)),FIND("]",CELL("filename",A1)) - FIND("[",CELL("filename",A1)) + 1) &amp; "'x-805'!TABLE_CLIENT_1","x-805 1")</f>
        <v>x-805 1</v>
      </c>
      <c r="B96" s="81" t="s">
        <v>310</v>
      </c>
      <c r="C96" s="81" t="s">
        <v>580</v>
      </c>
      <c r="D96" s="81" t="s">
        <v>396</v>
      </c>
      <c r="E96" s="81" t="s">
        <v>595</v>
      </c>
      <c r="F96" s="81" t="s">
        <v>359</v>
      </c>
      <c r="G96" s="81" t="s">
        <v>582</v>
      </c>
      <c r="H96" s="81">
        <v>0</v>
      </c>
      <c r="I96" s="69">
        <v>805</v>
      </c>
      <c r="J96" t="s">
        <v>596</v>
      </c>
      <c r="K96" s="166" t="s">
        <v>597</v>
      </c>
      <c r="L96" s="166"/>
      <c r="M96" s="167">
        <v>45135</v>
      </c>
      <c r="N96" s="167">
        <v>45200</v>
      </c>
      <c r="O96" s="81" t="s">
        <v>317</v>
      </c>
      <c r="P96" s="167" t="s">
        <v>318</v>
      </c>
    </row>
    <row r="97" spans="1:16" ht="39.65" customHeight="1" x14ac:dyDescent="0.25">
      <c r="A97" s="165" t="str">
        <f ca="1">HYPERLINK(MID(CELL("filename",A1),FIND("[",CELL("filename",A1)),FIND("]",CELL("filename",A1)) - FIND("[",CELL("filename",A1)) + 1) &amp; "'x-806'!TABLE_CLIENT_1","x-806 1")</f>
        <v>x-806 1</v>
      </c>
      <c r="B97" s="81" t="s">
        <v>310</v>
      </c>
      <c r="C97" s="81" t="s">
        <v>580</v>
      </c>
      <c r="D97" s="81" t="s">
        <v>396</v>
      </c>
      <c r="E97" s="81" t="s">
        <v>598</v>
      </c>
      <c r="F97" s="81" t="s">
        <v>359</v>
      </c>
      <c r="G97" s="81" t="s">
        <v>582</v>
      </c>
      <c r="H97" s="81">
        <v>0</v>
      </c>
      <c r="I97" s="69">
        <v>806</v>
      </c>
      <c r="J97" t="s">
        <v>599</v>
      </c>
      <c r="K97" s="166" t="s">
        <v>600</v>
      </c>
      <c r="L97" s="166"/>
      <c r="M97" s="167">
        <v>45135</v>
      </c>
      <c r="N97" s="167">
        <v>45200</v>
      </c>
      <c r="O97" s="81" t="s">
        <v>317</v>
      </c>
      <c r="P97" s="167" t="s">
        <v>318</v>
      </c>
    </row>
    <row r="98" spans="1:16" ht="39.65" customHeight="1" x14ac:dyDescent="0.25">
      <c r="A98" s="165" t="str">
        <f ca="1">HYPERLINK(MID(CELL("filename",A1),FIND("[",CELL("filename",A1)),FIND("]",CELL("filename",A1)) - FIND("[",CELL("filename",A1)) + 1) &amp; "'x-807'!TABLE_CLIENT_1","x-807 1")</f>
        <v>x-807 1</v>
      </c>
      <c r="B98" s="81" t="s">
        <v>310</v>
      </c>
      <c r="C98" s="81" t="s">
        <v>601</v>
      </c>
      <c r="D98" s="81" t="s">
        <v>396</v>
      </c>
      <c r="E98" s="81" t="s">
        <v>602</v>
      </c>
      <c r="F98" s="81" t="s">
        <v>359</v>
      </c>
      <c r="G98" s="81" t="s">
        <v>582</v>
      </c>
      <c r="H98" s="81">
        <v>0</v>
      </c>
      <c r="I98" s="69">
        <v>807</v>
      </c>
      <c r="J98" t="s">
        <v>603</v>
      </c>
      <c r="K98" s="166" t="s">
        <v>604</v>
      </c>
      <c r="L98" s="166"/>
      <c r="M98" s="167">
        <v>45135</v>
      </c>
      <c r="N98" s="167">
        <v>45200</v>
      </c>
      <c r="O98" s="81" t="s">
        <v>317</v>
      </c>
      <c r="P98" s="167" t="s">
        <v>318</v>
      </c>
    </row>
    <row r="99" spans="1:16" ht="39.65" customHeight="1" x14ac:dyDescent="0.25">
      <c r="A99" s="165" t="str">
        <f ca="1">HYPERLINK(MID(CELL("filename",A1),FIND("[",CELL("filename",A1)),FIND("]",CELL("filename",A1)) - FIND("[",CELL("filename",A1)) + 1) &amp; "'x-808'!TABLE_CLIENT_1","x-808 1")</f>
        <v>x-808 1</v>
      </c>
      <c r="B99" s="81" t="s">
        <v>310</v>
      </c>
      <c r="C99" s="81" t="s">
        <v>601</v>
      </c>
      <c r="D99" s="81" t="s">
        <v>396</v>
      </c>
      <c r="E99" s="81" t="s">
        <v>605</v>
      </c>
      <c r="F99" s="81" t="s">
        <v>359</v>
      </c>
      <c r="G99" s="81" t="s">
        <v>582</v>
      </c>
      <c r="H99" s="81">
        <v>0</v>
      </c>
      <c r="I99" s="69">
        <v>808</v>
      </c>
      <c r="J99" t="s">
        <v>606</v>
      </c>
      <c r="K99" s="166" t="s">
        <v>607</v>
      </c>
      <c r="L99" s="166"/>
      <c r="M99" s="167">
        <v>45135</v>
      </c>
      <c r="N99" s="167">
        <v>45200</v>
      </c>
      <c r="O99" s="81" t="s">
        <v>317</v>
      </c>
      <c r="P99" s="167" t="s">
        <v>318</v>
      </c>
    </row>
    <row r="100" spans="1:16" ht="39.65" customHeight="1" x14ac:dyDescent="0.25">
      <c r="A100" s="165" t="str">
        <f ca="1">HYPERLINK(MID(CELL("filename",A1),FIND("[",CELL("filename",A1)),FIND("]",CELL("filename",A1)) - FIND("[",CELL("filename",A1)) + 1) &amp; "'x-809'!TABLE_CLIENT_1","x-809 1")</f>
        <v>x-809 1</v>
      </c>
      <c r="B100" s="81" t="s">
        <v>310</v>
      </c>
      <c r="C100" s="81" t="s">
        <v>580</v>
      </c>
      <c r="D100" s="81" t="s">
        <v>396</v>
      </c>
      <c r="E100" s="81" t="s">
        <v>608</v>
      </c>
      <c r="F100" s="81" t="s">
        <v>359</v>
      </c>
      <c r="G100" s="81" t="s">
        <v>582</v>
      </c>
      <c r="H100" s="81">
        <v>0</v>
      </c>
      <c r="I100" s="69">
        <v>809</v>
      </c>
      <c r="J100" t="s">
        <v>609</v>
      </c>
      <c r="K100" s="166" t="s">
        <v>610</v>
      </c>
      <c r="L100" s="166"/>
      <c r="M100" s="167">
        <v>45135</v>
      </c>
      <c r="N100" s="167">
        <v>45200</v>
      </c>
      <c r="O100" s="81" t="s">
        <v>317</v>
      </c>
      <c r="P100" s="167" t="s">
        <v>318</v>
      </c>
    </row>
    <row r="101" spans="1:16" ht="39.65" customHeight="1" x14ac:dyDescent="0.25">
      <c r="A101" s="165" t="str">
        <f ca="1">HYPERLINK(MID(CELL("filename",A1),FIND("[",CELL("filename",A1)),FIND("]",CELL("filename",A1)) - FIND("[",CELL("filename",A1)) + 1) &amp; "'x-810'!TABLE_CLIENT_1","x-810 1")</f>
        <v>x-810 1</v>
      </c>
      <c r="B101" s="81" t="s">
        <v>310</v>
      </c>
      <c r="C101" s="81" t="s">
        <v>580</v>
      </c>
      <c r="D101" s="81" t="s">
        <v>396</v>
      </c>
      <c r="E101" s="81" t="s">
        <v>611</v>
      </c>
      <c r="F101" s="81" t="s">
        <v>359</v>
      </c>
      <c r="G101" s="81" t="s">
        <v>582</v>
      </c>
      <c r="H101" s="81">
        <v>0</v>
      </c>
      <c r="I101" s="69">
        <v>810</v>
      </c>
      <c r="J101" t="s">
        <v>612</v>
      </c>
      <c r="K101" s="166" t="s">
        <v>613</v>
      </c>
      <c r="L101" s="166"/>
      <c r="M101" s="167">
        <v>45135</v>
      </c>
      <c r="N101" s="167">
        <v>45200</v>
      </c>
      <c r="O101" s="81" t="s">
        <v>317</v>
      </c>
      <c r="P101" s="167" t="s">
        <v>318</v>
      </c>
    </row>
    <row r="102" spans="1:16" ht="39.65" customHeight="1" x14ac:dyDescent="0.25">
      <c r="A102" s="165" t="str">
        <f ca="1">HYPERLINK(MID(CELL("filename",A1),FIND("[",CELL("filename",A1)),FIND("]",CELL("filename",A1)) - FIND("[",CELL("filename",A1)) + 1) &amp; "'x-810'!TABLE_CLIENT_2","x-810 2")</f>
        <v>x-810 2</v>
      </c>
      <c r="B102" s="81" t="s">
        <v>310</v>
      </c>
      <c r="C102" s="81" t="s">
        <v>580</v>
      </c>
      <c r="D102" s="81" t="s">
        <v>396</v>
      </c>
      <c r="E102" s="81" t="s">
        <v>614</v>
      </c>
      <c r="F102" s="81" t="s">
        <v>359</v>
      </c>
      <c r="G102" s="81" t="s">
        <v>582</v>
      </c>
      <c r="H102" s="81">
        <v>0</v>
      </c>
      <c r="I102" s="69">
        <v>810</v>
      </c>
      <c r="J102" t="s">
        <v>615</v>
      </c>
      <c r="K102" s="166" t="s">
        <v>613</v>
      </c>
      <c r="L102" s="166"/>
      <c r="M102" s="167">
        <v>45135</v>
      </c>
      <c r="N102" s="167">
        <v>45200</v>
      </c>
      <c r="O102" s="81" t="s">
        <v>317</v>
      </c>
      <c r="P102" s="167" t="s">
        <v>318</v>
      </c>
    </row>
    <row r="103" spans="1:16" ht="39.65" customHeight="1" x14ac:dyDescent="0.25">
      <c r="A103" s="165" t="str">
        <f ca="1">HYPERLINK(MID(CELL("filename",A1),FIND("[",CELL("filename",A1)),FIND("]",CELL("filename",A1)) - FIND("[",CELL("filename",A1)) + 1) &amp; "'x-811'!TABLE_CLIENT_1","x-811 1")</f>
        <v>x-811 1</v>
      </c>
      <c r="B103" s="81" t="s">
        <v>310</v>
      </c>
      <c r="C103" s="81" t="s">
        <v>580</v>
      </c>
      <c r="D103" s="81" t="s">
        <v>396</v>
      </c>
      <c r="E103" s="81" t="s">
        <v>616</v>
      </c>
      <c r="F103" s="81" t="s">
        <v>359</v>
      </c>
      <c r="G103" s="81" t="s">
        <v>582</v>
      </c>
      <c r="H103" s="81">
        <v>0</v>
      </c>
      <c r="I103" s="69">
        <v>811</v>
      </c>
      <c r="J103" t="s">
        <v>617</v>
      </c>
      <c r="K103" s="166" t="s">
        <v>618</v>
      </c>
      <c r="L103" s="166"/>
      <c r="M103" s="167">
        <v>45135</v>
      </c>
      <c r="N103" s="167">
        <v>45200</v>
      </c>
      <c r="O103" s="81" t="s">
        <v>317</v>
      </c>
      <c r="P103" s="167" t="s">
        <v>318</v>
      </c>
    </row>
    <row r="104" spans="1:16" ht="39.65" customHeight="1" x14ac:dyDescent="0.25">
      <c r="A104" s="165" t="str">
        <f ca="1">HYPERLINK(MID(CELL("filename",A1),FIND("[",CELL("filename",A1)),FIND("]",CELL("filename",A1)) - FIND("[",CELL("filename",A1)) + 1) &amp; "'x-812'!TABLE_CLIENT_1","x-812 1")</f>
        <v>x-812 1</v>
      </c>
      <c r="B104" s="81" t="s">
        <v>310</v>
      </c>
      <c r="C104" s="81" t="s">
        <v>580</v>
      </c>
      <c r="D104" s="81" t="s">
        <v>396</v>
      </c>
      <c r="E104" s="81" t="s">
        <v>619</v>
      </c>
      <c r="F104" s="81" t="s">
        <v>359</v>
      </c>
      <c r="G104" s="81" t="s">
        <v>582</v>
      </c>
      <c r="H104" s="81">
        <v>0</v>
      </c>
      <c r="I104" s="69">
        <v>812</v>
      </c>
      <c r="J104" t="s">
        <v>620</v>
      </c>
      <c r="K104" s="166" t="s">
        <v>621</v>
      </c>
      <c r="L104" s="166"/>
      <c r="M104" s="167">
        <v>45135</v>
      </c>
      <c r="N104" s="167">
        <v>45200</v>
      </c>
      <c r="O104" s="81" t="s">
        <v>317</v>
      </c>
      <c r="P104" s="167" t="s">
        <v>318</v>
      </c>
    </row>
    <row r="105" spans="1:16" ht="39.65" customHeight="1" x14ac:dyDescent="0.25">
      <c r="A105" s="165" t="str">
        <f ca="1">HYPERLINK(MID(CELL("filename",A1),FIND("[",CELL("filename",A1)),FIND("]",CELL("filename",A1)) - FIND("[",CELL("filename",A1)) + 1) &amp; "'x-813'!TABLE_CLIENT_1","x-813 1")</f>
        <v>x-813 1</v>
      </c>
      <c r="B105" s="81" t="s">
        <v>310</v>
      </c>
      <c r="C105" s="81" t="s">
        <v>622</v>
      </c>
      <c r="D105" s="81" t="s">
        <v>396</v>
      </c>
      <c r="E105" s="81" t="s">
        <v>623</v>
      </c>
      <c r="F105" s="81" t="s">
        <v>359</v>
      </c>
      <c r="G105" s="81" t="s">
        <v>582</v>
      </c>
      <c r="H105" s="81">
        <v>0</v>
      </c>
      <c r="I105" s="69">
        <v>813</v>
      </c>
      <c r="J105" t="s">
        <v>624</v>
      </c>
      <c r="K105" s="166" t="s">
        <v>584</v>
      </c>
      <c r="L105" s="166"/>
      <c r="M105" s="167">
        <v>45135</v>
      </c>
      <c r="N105" s="167">
        <v>45200</v>
      </c>
      <c r="O105" s="81" t="s">
        <v>317</v>
      </c>
      <c r="P105" s="167" t="s">
        <v>318</v>
      </c>
    </row>
    <row r="106" spans="1:16" ht="39.65" customHeight="1" x14ac:dyDescent="0.25">
      <c r="A106" s="165" t="str">
        <f ca="1">HYPERLINK(MID(CELL("filename",A1),FIND("[",CELL("filename",A1)),FIND("]",CELL("filename",A1)) - FIND("[",CELL("filename",A1)) + 1) &amp; "'x-814'!TABLE_CLIENT_1","x-814 1")</f>
        <v>x-814 1</v>
      </c>
      <c r="B106" s="81" t="s">
        <v>310</v>
      </c>
      <c r="C106" s="81" t="s">
        <v>75</v>
      </c>
      <c r="D106" s="81" t="s">
        <v>625</v>
      </c>
      <c r="E106" s="81" t="s">
        <v>626</v>
      </c>
      <c r="F106" s="81" t="s">
        <v>359</v>
      </c>
      <c r="G106" s="81" t="s">
        <v>499</v>
      </c>
      <c r="H106" s="81">
        <v>1</v>
      </c>
      <c r="I106" s="69">
        <v>814</v>
      </c>
      <c r="J106" t="s">
        <v>627</v>
      </c>
      <c r="K106" s="166" t="s">
        <v>628</v>
      </c>
      <c r="L106" s="166"/>
      <c r="M106" s="167">
        <v>45135</v>
      </c>
      <c r="N106" s="167">
        <v>45200</v>
      </c>
      <c r="O106" s="81" t="s">
        <v>317</v>
      </c>
      <c r="P106" s="167" t="s">
        <v>318</v>
      </c>
    </row>
    <row r="107" spans="1:16" ht="39.65" customHeight="1" x14ac:dyDescent="0.25">
      <c r="A107" s="165" t="str">
        <f ca="1">HYPERLINK(MID(CELL("filename",A1),FIND("[",CELL("filename",A1)),FIND("]",CELL("filename",A1)) - FIND("[",CELL("filename",A1)) + 1) &amp; "'x-815'!TABLE_CLIENT_1","x-815 1")</f>
        <v>x-815 1</v>
      </c>
      <c r="B107" s="81" t="s">
        <v>310</v>
      </c>
      <c r="C107" s="81" t="s">
        <v>75</v>
      </c>
      <c r="D107" s="81" t="s">
        <v>625</v>
      </c>
      <c r="E107" s="81" t="s">
        <v>629</v>
      </c>
      <c r="F107" s="81" t="s">
        <v>359</v>
      </c>
      <c r="G107" s="81" t="s">
        <v>499</v>
      </c>
      <c r="H107" s="81">
        <v>1</v>
      </c>
      <c r="I107" s="69">
        <v>815</v>
      </c>
      <c r="J107" t="s">
        <v>630</v>
      </c>
      <c r="K107" s="166" t="s">
        <v>631</v>
      </c>
      <c r="L107" s="166"/>
      <c r="M107" s="167">
        <v>45135</v>
      </c>
      <c r="N107" s="167">
        <v>45200</v>
      </c>
      <c r="O107" s="81" t="s">
        <v>317</v>
      </c>
      <c r="P107" s="167" t="s">
        <v>318</v>
      </c>
    </row>
    <row r="108" spans="1:16" ht="39.65" customHeight="1" x14ac:dyDescent="0.25">
      <c r="A108" s="165" t="str">
        <f ca="1">HYPERLINK(MID(CELL("filename",A1),FIND("[",CELL("filename",A1)),FIND("]",CELL("filename",A1)) - FIND("[",CELL("filename",A1)) + 1) &amp; "'x-816'!TABLE_CLIENT_1","x-816 1")</f>
        <v>x-816 1</v>
      </c>
      <c r="B108" s="81" t="s">
        <v>310</v>
      </c>
      <c r="C108" s="81" t="s">
        <v>75</v>
      </c>
      <c r="D108" s="81" t="s">
        <v>632</v>
      </c>
      <c r="E108" s="81" t="s">
        <v>633</v>
      </c>
      <c r="F108" s="81" t="s">
        <v>359</v>
      </c>
      <c r="G108" s="81" t="s">
        <v>634</v>
      </c>
      <c r="H108" s="81">
        <v>1</v>
      </c>
      <c r="I108" s="69">
        <v>816</v>
      </c>
      <c r="J108" t="s">
        <v>635</v>
      </c>
      <c r="K108" s="166" t="s">
        <v>636</v>
      </c>
      <c r="L108" s="166"/>
      <c r="M108" s="167">
        <v>45135</v>
      </c>
      <c r="N108" s="167">
        <v>45200</v>
      </c>
      <c r="O108" s="81" t="s">
        <v>317</v>
      </c>
      <c r="P108" s="167" t="s">
        <v>318</v>
      </c>
    </row>
    <row r="109" spans="1:16" ht="39.65" customHeight="1" x14ac:dyDescent="0.25">
      <c r="A109" s="165" t="str">
        <f ca="1">HYPERLINK(MID(CELL("filename",A1),FIND("[",CELL("filename",A1)),FIND("]",CELL("filename",A1)) - FIND("[",CELL("filename",A1)) + 1) &amp; "'x-817'!TABLE_CLIENT_1","x-817 1")</f>
        <v>x-817 1</v>
      </c>
      <c r="B109" s="81" t="s">
        <v>310</v>
      </c>
      <c r="C109" s="81" t="s">
        <v>75</v>
      </c>
      <c r="D109" s="81" t="s">
        <v>632</v>
      </c>
      <c r="E109" s="81" t="s">
        <v>637</v>
      </c>
      <c r="F109" s="81" t="s">
        <v>359</v>
      </c>
      <c r="G109" s="81" t="s">
        <v>634</v>
      </c>
      <c r="H109" s="81">
        <v>1</v>
      </c>
      <c r="I109" s="69">
        <v>817</v>
      </c>
      <c r="J109" t="s">
        <v>638</v>
      </c>
      <c r="K109" s="166" t="s">
        <v>639</v>
      </c>
      <c r="L109" s="166"/>
      <c r="M109" s="167">
        <v>45135</v>
      </c>
      <c r="N109" s="167">
        <v>45200</v>
      </c>
      <c r="O109" s="81" t="s">
        <v>317</v>
      </c>
      <c r="P109" s="167" t="s">
        <v>318</v>
      </c>
    </row>
    <row r="110" spans="1:16" ht="39.65" customHeight="1" x14ac:dyDescent="0.25">
      <c r="A110" s="165" t="str">
        <f ca="1">HYPERLINK(MID(CELL("filename",A1),FIND("[",CELL("filename",A1)),FIND("]",CELL("filename",A1)) - FIND("[",CELL("filename",A1)) + 1) &amp; "'x-818'!TABLE_CLIENT_1","x-818 1")</f>
        <v>x-818 1</v>
      </c>
      <c r="B110" s="81" t="s">
        <v>310</v>
      </c>
      <c r="C110" s="81" t="s">
        <v>75</v>
      </c>
      <c r="D110" s="81" t="s">
        <v>632</v>
      </c>
      <c r="E110" s="81" t="s">
        <v>640</v>
      </c>
      <c r="F110" s="81" t="s">
        <v>359</v>
      </c>
      <c r="G110" s="81" t="s">
        <v>634</v>
      </c>
      <c r="H110" s="81">
        <v>1</v>
      </c>
      <c r="I110" s="69">
        <v>818</v>
      </c>
      <c r="J110" t="s">
        <v>641</v>
      </c>
      <c r="K110" s="166" t="s">
        <v>642</v>
      </c>
      <c r="L110" s="166"/>
      <c r="M110" s="167">
        <v>45135</v>
      </c>
      <c r="N110" s="167">
        <v>45200</v>
      </c>
      <c r="O110" s="81" t="s">
        <v>317</v>
      </c>
      <c r="P110" s="167" t="s">
        <v>318</v>
      </c>
    </row>
    <row r="111" spans="1:16" ht="39.65" customHeight="1" x14ac:dyDescent="0.25">
      <c r="A111" s="165" t="str">
        <f ca="1">HYPERLINK(MID(CELL("filename",A1),FIND("[",CELL("filename",A1)),FIND("]",CELL("filename",A1)) - FIND("[",CELL("filename",A1)) + 1) &amp; "'x-819'!TABLE_CLIENT_1","x-819 1")</f>
        <v>x-819 1</v>
      </c>
      <c r="B111" s="81" t="s">
        <v>310</v>
      </c>
      <c r="C111" s="81" t="s">
        <v>75</v>
      </c>
      <c r="D111" s="81" t="s">
        <v>632</v>
      </c>
      <c r="E111" s="81" t="s">
        <v>643</v>
      </c>
      <c r="F111" s="81" t="s">
        <v>359</v>
      </c>
      <c r="G111" s="81" t="s">
        <v>634</v>
      </c>
      <c r="H111" s="81">
        <v>1</v>
      </c>
      <c r="I111" s="69">
        <v>819</v>
      </c>
      <c r="J111" t="s">
        <v>644</v>
      </c>
      <c r="K111" s="166" t="s">
        <v>645</v>
      </c>
      <c r="L111" s="166"/>
      <c r="M111" s="167">
        <v>45135</v>
      </c>
      <c r="N111" s="167">
        <v>45200</v>
      </c>
      <c r="O111" s="81" t="s">
        <v>317</v>
      </c>
      <c r="P111" s="167" t="s">
        <v>318</v>
      </c>
    </row>
    <row r="112" spans="1:16" ht="39.65" customHeight="1" x14ac:dyDescent="0.25">
      <c r="A112" s="165" t="str">
        <f ca="1">HYPERLINK(MID(CELL("filename",A1),FIND("[",CELL("filename",A1)),FIND("]",CELL("filename",A1)) - FIND("[",CELL("filename",A1)) + 1) &amp; "'x-820'!TABLE_CLIENT_1","x-820 1")</f>
        <v>x-820 1</v>
      </c>
      <c r="B112" s="81" t="s">
        <v>310</v>
      </c>
      <c r="C112" s="81" t="s">
        <v>75</v>
      </c>
      <c r="D112" s="81" t="s">
        <v>632</v>
      </c>
      <c r="E112" s="81" t="s">
        <v>646</v>
      </c>
      <c r="F112" s="81" t="s">
        <v>359</v>
      </c>
      <c r="G112" s="81" t="s">
        <v>634</v>
      </c>
      <c r="H112" s="81">
        <v>1</v>
      </c>
      <c r="I112" s="69">
        <v>820</v>
      </c>
      <c r="J112" t="s">
        <v>647</v>
      </c>
      <c r="K112" s="166" t="s">
        <v>648</v>
      </c>
      <c r="L112" s="166"/>
      <c r="M112" s="167">
        <v>45135</v>
      </c>
      <c r="N112" s="167">
        <v>45200</v>
      </c>
      <c r="O112" s="81" t="s">
        <v>317</v>
      </c>
      <c r="P112" s="167" t="s">
        <v>318</v>
      </c>
    </row>
    <row r="113" spans="1:16" ht="39.65" customHeight="1" x14ac:dyDescent="0.25">
      <c r="A113" s="165" t="str">
        <f ca="1">HYPERLINK(MID(CELL("filename",A1),FIND("[",CELL("filename",A1)),FIND("]",CELL("filename",A1)) - FIND("[",CELL("filename",A1)) + 1) &amp; "'x-821'!TABLE_CLIENT_1","x-821 1")</f>
        <v>x-821 1</v>
      </c>
      <c r="B113" s="81" t="s">
        <v>310</v>
      </c>
      <c r="C113" s="81" t="s">
        <v>75</v>
      </c>
      <c r="D113" s="81" t="s">
        <v>632</v>
      </c>
      <c r="E113" s="81" t="s">
        <v>649</v>
      </c>
      <c r="F113" s="81" t="s">
        <v>359</v>
      </c>
      <c r="G113" s="81" t="s">
        <v>634</v>
      </c>
      <c r="H113" s="81">
        <v>1</v>
      </c>
      <c r="I113" s="69">
        <v>821</v>
      </c>
      <c r="J113" t="s">
        <v>650</v>
      </c>
      <c r="K113" s="166" t="s">
        <v>651</v>
      </c>
      <c r="L113" s="166"/>
      <c r="M113" s="167">
        <v>45135</v>
      </c>
      <c r="N113" s="167">
        <v>45200</v>
      </c>
      <c r="O113" s="81" t="s">
        <v>317</v>
      </c>
      <c r="P113" s="167" t="s">
        <v>318</v>
      </c>
    </row>
    <row r="114" spans="1:16" ht="39.65" customHeight="1" x14ac:dyDescent="0.25">
      <c r="A114" s="165" t="str">
        <f ca="1">HYPERLINK(MID(CELL("filename",A1),FIND("[",CELL("filename",A1)),FIND("]",CELL("filename",A1)) - FIND("[",CELL("filename",A1)) + 1) &amp; "'x-822'!TABLE_CLIENT_1","x-822 1")</f>
        <v>x-822 1</v>
      </c>
      <c r="B114" s="81" t="s">
        <v>310</v>
      </c>
      <c r="C114" s="81" t="s">
        <v>74</v>
      </c>
      <c r="D114" s="81" t="s">
        <v>632</v>
      </c>
      <c r="E114" s="81" t="s">
        <v>652</v>
      </c>
      <c r="F114" s="81" t="s">
        <v>359</v>
      </c>
      <c r="G114" s="81" t="s">
        <v>473</v>
      </c>
      <c r="H114" s="81">
        <v>0</v>
      </c>
      <c r="I114" s="69">
        <v>822</v>
      </c>
      <c r="J114" t="s">
        <v>653</v>
      </c>
      <c r="K114" s="166" t="s">
        <v>636</v>
      </c>
      <c r="L114" s="166"/>
      <c r="M114" s="167">
        <v>45135</v>
      </c>
      <c r="N114" s="167">
        <v>45200</v>
      </c>
      <c r="O114" s="81" t="s">
        <v>317</v>
      </c>
      <c r="P114" s="167" t="s">
        <v>318</v>
      </c>
    </row>
    <row r="115" spans="1:16" ht="39.65" customHeight="1" x14ac:dyDescent="0.25">
      <c r="A115" s="165" t="str">
        <f ca="1">HYPERLINK(MID(CELL("filename",A1),FIND("[",CELL("filename",A1)),FIND("]",CELL("filename",A1)) - FIND("[",CELL("filename",A1)) + 1) &amp; "'x-823'!TABLE_CLIENT_1","x-823 1")</f>
        <v>x-823 1</v>
      </c>
      <c r="B115" s="81" t="s">
        <v>310</v>
      </c>
      <c r="C115" s="81" t="s">
        <v>75</v>
      </c>
      <c r="D115" s="81" t="s">
        <v>632</v>
      </c>
      <c r="E115" s="81" t="s">
        <v>654</v>
      </c>
      <c r="F115" s="81" t="s">
        <v>359</v>
      </c>
      <c r="G115" s="81" t="s">
        <v>634</v>
      </c>
      <c r="H115" s="81">
        <v>1</v>
      </c>
      <c r="I115" s="69">
        <v>823</v>
      </c>
      <c r="J115" t="s">
        <v>655</v>
      </c>
      <c r="K115" s="166" t="s">
        <v>656</v>
      </c>
      <c r="L115" s="166"/>
      <c r="M115" s="167">
        <v>45135</v>
      </c>
      <c r="N115" s="167">
        <v>45170</v>
      </c>
      <c r="O115" s="81" t="s">
        <v>317</v>
      </c>
      <c r="P115" s="167" t="s">
        <v>318</v>
      </c>
    </row>
    <row r="116" spans="1:16" ht="39.65" customHeight="1" x14ac:dyDescent="0.25">
      <c r="M116"/>
      <c r="N116"/>
    </row>
    <row r="117" spans="1:16" ht="39.65" customHeight="1" x14ac:dyDescent="0.25">
      <c r="M117"/>
      <c r="N117"/>
    </row>
    <row r="118" spans="1:16" ht="39.65" customHeight="1" x14ac:dyDescent="0.25">
      <c r="M118"/>
      <c r="N118"/>
    </row>
    <row r="119" spans="1:16" ht="39.65" customHeight="1" x14ac:dyDescent="0.25">
      <c r="M119"/>
      <c r="N119"/>
    </row>
    <row r="120" spans="1:16" x14ac:dyDescent="0.25">
      <c r="M120"/>
      <c r="N120"/>
    </row>
    <row r="121" spans="1:16" x14ac:dyDescent="0.25">
      <c r="M121"/>
      <c r="N121"/>
    </row>
    <row r="122" spans="1:16" x14ac:dyDescent="0.25">
      <c r="M122"/>
      <c r="N122"/>
    </row>
    <row r="123" spans="1:16" x14ac:dyDescent="0.25">
      <c r="M123"/>
      <c r="N123"/>
    </row>
    <row r="124" spans="1:16" x14ac:dyDescent="0.25">
      <c r="M124"/>
      <c r="N124"/>
    </row>
    <row r="125" spans="1:16" x14ac:dyDescent="0.25">
      <c r="M125"/>
      <c r="N125"/>
    </row>
    <row r="126" spans="1:16" x14ac:dyDescent="0.25">
      <c r="M126"/>
      <c r="N126"/>
    </row>
    <row r="127" spans="1:16" x14ac:dyDescent="0.25">
      <c r="M127"/>
      <c r="N127"/>
    </row>
    <row r="128" spans="1:16" x14ac:dyDescent="0.25">
      <c r="M128"/>
      <c r="N128"/>
    </row>
    <row r="129" spans="13:14" x14ac:dyDescent="0.25">
      <c r="M129"/>
      <c r="N129"/>
    </row>
    <row r="130" spans="13:14" x14ac:dyDescent="0.25">
      <c r="M130"/>
      <c r="N130"/>
    </row>
    <row r="131" spans="13:14" x14ac:dyDescent="0.25">
      <c r="M131"/>
      <c r="N131"/>
    </row>
    <row r="132" spans="13:14" x14ac:dyDescent="0.25">
      <c r="M132"/>
      <c r="N132"/>
    </row>
    <row r="133" spans="13:14" x14ac:dyDescent="0.25">
      <c r="M133"/>
      <c r="N133"/>
    </row>
    <row r="134" spans="13:14" x14ac:dyDescent="0.25">
      <c r="M134"/>
      <c r="N134"/>
    </row>
    <row r="135" spans="13:14" x14ac:dyDescent="0.25">
      <c r="M135"/>
      <c r="N135"/>
    </row>
    <row r="136" spans="13:14" x14ac:dyDescent="0.25">
      <c r="M136"/>
      <c r="N136"/>
    </row>
    <row r="137" spans="13:14" x14ac:dyDescent="0.25">
      <c r="M137"/>
      <c r="N137"/>
    </row>
    <row r="138" spans="13:14" x14ac:dyDescent="0.25">
      <c r="M138"/>
      <c r="N138"/>
    </row>
    <row r="139" spans="13:14" x14ac:dyDescent="0.25">
      <c r="M139"/>
      <c r="N139"/>
    </row>
    <row r="140" spans="13:14" x14ac:dyDescent="0.25">
      <c r="M140"/>
      <c r="N140"/>
    </row>
    <row r="141" spans="13:14" x14ac:dyDescent="0.25">
      <c r="M141"/>
      <c r="N141"/>
    </row>
    <row r="142" spans="13:14" x14ac:dyDescent="0.25">
      <c r="M142"/>
      <c r="N142"/>
    </row>
    <row r="143" spans="13:14" x14ac:dyDescent="0.25">
      <c r="M143"/>
      <c r="N143"/>
    </row>
    <row r="144" spans="13:14" x14ac:dyDescent="0.25">
      <c r="M144"/>
      <c r="N144"/>
    </row>
    <row r="145" spans="13:14" x14ac:dyDescent="0.25">
      <c r="M145"/>
      <c r="N145"/>
    </row>
    <row r="146" spans="13:14" x14ac:dyDescent="0.25">
      <c r="M146"/>
      <c r="N146"/>
    </row>
    <row r="147" spans="13:14" x14ac:dyDescent="0.25">
      <c r="M147"/>
      <c r="N147"/>
    </row>
    <row r="148" spans="13:14" x14ac:dyDescent="0.25">
      <c r="M148"/>
      <c r="N148"/>
    </row>
    <row r="149" spans="13:14" x14ac:dyDescent="0.25">
      <c r="M149"/>
      <c r="N149"/>
    </row>
    <row r="150" spans="13:14" x14ac:dyDescent="0.25">
      <c r="M150"/>
      <c r="N150"/>
    </row>
    <row r="151" spans="13:14" x14ac:dyDescent="0.25">
      <c r="M151"/>
      <c r="N151"/>
    </row>
    <row r="152" spans="13:14" x14ac:dyDescent="0.25">
      <c r="M152"/>
      <c r="N152"/>
    </row>
    <row r="153" spans="13:14" x14ac:dyDescent="0.25">
      <c r="M153"/>
      <c r="N153"/>
    </row>
    <row r="154" spans="13:14" x14ac:dyDescent="0.25">
      <c r="M154"/>
      <c r="N154"/>
    </row>
    <row r="155" spans="13:14" x14ac:dyDescent="0.25">
      <c r="M155"/>
      <c r="N155"/>
    </row>
    <row r="156" spans="13:14" x14ac:dyDescent="0.25">
      <c r="M156"/>
      <c r="N156"/>
    </row>
    <row r="157" spans="13:14" x14ac:dyDescent="0.25">
      <c r="M157"/>
      <c r="N157"/>
    </row>
    <row r="158" spans="13:14" x14ac:dyDescent="0.25">
      <c r="M158"/>
      <c r="N158"/>
    </row>
    <row r="159" spans="13:14" x14ac:dyDescent="0.25">
      <c r="M159"/>
      <c r="N159"/>
    </row>
    <row r="160" spans="13:14" x14ac:dyDescent="0.25">
      <c r="M160"/>
      <c r="N160"/>
    </row>
    <row r="161" spans="13:14" x14ac:dyDescent="0.25">
      <c r="M161"/>
      <c r="N161"/>
    </row>
    <row r="162" spans="13:14" x14ac:dyDescent="0.25">
      <c r="M162"/>
      <c r="N162"/>
    </row>
    <row r="163" spans="13:14" x14ac:dyDescent="0.25">
      <c r="M163"/>
      <c r="N163"/>
    </row>
    <row r="164" spans="13:14" x14ac:dyDescent="0.25">
      <c r="M164"/>
      <c r="N164"/>
    </row>
    <row r="165" spans="13:14" x14ac:dyDescent="0.25">
      <c r="M165"/>
      <c r="N165"/>
    </row>
    <row r="166" spans="13:14" x14ac:dyDescent="0.25">
      <c r="M166"/>
      <c r="N166"/>
    </row>
    <row r="167" spans="13:14" x14ac:dyDescent="0.25">
      <c r="M167"/>
      <c r="N167"/>
    </row>
    <row r="168" spans="13:14" x14ac:dyDescent="0.25">
      <c r="M168"/>
      <c r="N168"/>
    </row>
    <row r="169" spans="13:14" x14ac:dyDescent="0.25">
      <c r="M169"/>
      <c r="N169"/>
    </row>
    <row r="170" spans="13:14" x14ac:dyDescent="0.25">
      <c r="M170"/>
      <c r="N170"/>
    </row>
    <row r="171" spans="13:14" x14ac:dyDescent="0.25">
      <c r="M171"/>
      <c r="N171"/>
    </row>
    <row r="172" spans="13:14" x14ac:dyDescent="0.25">
      <c r="M172"/>
      <c r="N172"/>
    </row>
    <row r="173" spans="13:14" x14ac:dyDescent="0.25">
      <c r="M173"/>
      <c r="N173"/>
    </row>
    <row r="174" spans="13:14" x14ac:dyDescent="0.25">
      <c r="M174"/>
      <c r="N174"/>
    </row>
    <row r="175" spans="13:14" x14ac:dyDescent="0.25">
      <c r="M175"/>
      <c r="N175"/>
    </row>
    <row r="176" spans="13:14" x14ac:dyDescent="0.25">
      <c r="M176"/>
      <c r="N176"/>
    </row>
    <row r="177" spans="13:14" x14ac:dyDescent="0.25">
      <c r="M177"/>
      <c r="N177"/>
    </row>
    <row r="178" spans="13:14" x14ac:dyDescent="0.25">
      <c r="M178"/>
      <c r="N178"/>
    </row>
    <row r="179" spans="13:14" x14ac:dyDescent="0.25">
      <c r="M179"/>
      <c r="N179"/>
    </row>
    <row r="180" spans="13:14" x14ac:dyDescent="0.25">
      <c r="M180"/>
      <c r="N180"/>
    </row>
    <row r="181" spans="13:14" x14ac:dyDescent="0.25">
      <c r="M181"/>
      <c r="N181"/>
    </row>
    <row r="182" spans="13:14" x14ac:dyDescent="0.25">
      <c r="M182"/>
      <c r="N182"/>
    </row>
    <row r="183" spans="13:14" x14ac:dyDescent="0.25">
      <c r="M183"/>
      <c r="N183"/>
    </row>
    <row r="184" spans="13:14" x14ac:dyDescent="0.25">
      <c r="M184"/>
      <c r="N184"/>
    </row>
    <row r="185" spans="13:14" x14ac:dyDescent="0.25">
      <c r="M185"/>
      <c r="N185"/>
    </row>
    <row r="186" spans="13:14" x14ac:dyDescent="0.25">
      <c r="M186"/>
      <c r="N186"/>
    </row>
    <row r="187" spans="13:14" x14ac:dyDescent="0.25">
      <c r="M187"/>
      <c r="N187"/>
    </row>
    <row r="188" spans="13:14" x14ac:dyDescent="0.25">
      <c r="M188"/>
      <c r="N188"/>
    </row>
    <row r="189" spans="13:14" x14ac:dyDescent="0.25">
      <c r="M189"/>
      <c r="N189"/>
    </row>
    <row r="190" spans="13:14" x14ac:dyDescent="0.25">
      <c r="M190"/>
      <c r="N190"/>
    </row>
    <row r="191" spans="13:14" x14ac:dyDescent="0.25">
      <c r="M191"/>
      <c r="N191"/>
    </row>
    <row r="192" spans="13:14" x14ac:dyDescent="0.25">
      <c r="M192"/>
      <c r="N192"/>
    </row>
    <row r="193" spans="13:14" x14ac:dyDescent="0.25">
      <c r="M193"/>
      <c r="N193"/>
    </row>
    <row r="194" spans="13:14" x14ac:dyDescent="0.25">
      <c r="M194"/>
      <c r="N194"/>
    </row>
    <row r="195" spans="13:14" x14ac:dyDescent="0.25">
      <c r="M195"/>
      <c r="N195"/>
    </row>
    <row r="196" spans="13:14" x14ac:dyDescent="0.25">
      <c r="M196"/>
      <c r="N196"/>
    </row>
    <row r="197" spans="13:14" x14ac:dyDescent="0.25">
      <c r="M197"/>
      <c r="N197"/>
    </row>
    <row r="198" spans="13:14" x14ac:dyDescent="0.25">
      <c r="M198"/>
      <c r="N198"/>
    </row>
    <row r="199" spans="13:14" x14ac:dyDescent="0.25">
      <c r="M199"/>
      <c r="N199"/>
    </row>
    <row r="200" spans="13:14" x14ac:dyDescent="0.25">
      <c r="M200"/>
      <c r="N200"/>
    </row>
    <row r="201" spans="13:14" x14ac:dyDescent="0.25">
      <c r="M201"/>
      <c r="N201"/>
    </row>
    <row r="202" spans="13:14" x14ac:dyDescent="0.25">
      <c r="M202"/>
      <c r="N202"/>
    </row>
    <row r="203" spans="13:14" x14ac:dyDescent="0.25">
      <c r="M203"/>
      <c r="N203"/>
    </row>
    <row r="204" spans="13:14" x14ac:dyDescent="0.25">
      <c r="M204"/>
      <c r="N204"/>
    </row>
    <row r="205" spans="13:14" x14ac:dyDescent="0.25">
      <c r="M205"/>
      <c r="N205"/>
    </row>
    <row r="206" spans="13:14" x14ac:dyDescent="0.25">
      <c r="M206"/>
      <c r="N206"/>
    </row>
    <row r="207" spans="13:14" x14ac:dyDescent="0.25">
      <c r="M207"/>
      <c r="N207"/>
    </row>
    <row r="208" spans="13:14" x14ac:dyDescent="0.25">
      <c r="M208"/>
      <c r="N208"/>
    </row>
    <row r="209" spans="13:14" x14ac:dyDescent="0.25">
      <c r="M209"/>
      <c r="N209"/>
    </row>
    <row r="210" spans="13:14" x14ac:dyDescent="0.25">
      <c r="M210"/>
      <c r="N210"/>
    </row>
    <row r="211" spans="13:14" x14ac:dyDescent="0.25">
      <c r="M211"/>
      <c r="N211"/>
    </row>
    <row r="212" spans="13:14" x14ac:dyDescent="0.25">
      <c r="M212"/>
      <c r="N212"/>
    </row>
    <row r="213" spans="13:14" x14ac:dyDescent="0.25">
      <c r="M213"/>
      <c r="N213"/>
    </row>
    <row r="214" spans="13:14" x14ac:dyDescent="0.25">
      <c r="M214"/>
      <c r="N214"/>
    </row>
    <row r="215" spans="13:14" x14ac:dyDescent="0.25">
      <c r="M215"/>
      <c r="N215"/>
    </row>
    <row r="216" spans="13:14" x14ac:dyDescent="0.25">
      <c r="M216"/>
      <c r="N216"/>
    </row>
    <row r="217" spans="13:14" x14ac:dyDescent="0.25">
      <c r="M217"/>
      <c r="N217"/>
    </row>
    <row r="218" spans="13:14" x14ac:dyDescent="0.25">
      <c r="M218"/>
      <c r="N218"/>
    </row>
    <row r="219" spans="13:14" x14ac:dyDescent="0.25">
      <c r="M219"/>
      <c r="N219"/>
    </row>
    <row r="220" spans="13:14" x14ac:dyDescent="0.25">
      <c r="M220"/>
      <c r="N220"/>
    </row>
    <row r="221" spans="13:14" x14ac:dyDescent="0.25">
      <c r="M221"/>
      <c r="N221"/>
    </row>
    <row r="222" spans="13:14" x14ac:dyDescent="0.25">
      <c r="M222"/>
      <c r="N222"/>
    </row>
    <row r="223" spans="13:14" x14ac:dyDescent="0.25">
      <c r="M223"/>
      <c r="N223"/>
    </row>
    <row r="224" spans="13:14" x14ac:dyDescent="0.25">
      <c r="M224"/>
      <c r="N224"/>
    </row>
    <row r="225" spans="13:14" x14ac:dyDescent="0.25">
      <c r="M225"/>
      <c r="N225"/>
    </row>
    <row r="226" spans="13:14" x14ac:dyDescent="0.25">
      <c r="M226"/>
      <c r="N226"/>
    </row>
    <row r="227" spans="13:14" x14ac:dyDescent="0.25">
      <c r="M227"/>
      <c r="N227"/>
    </row>
    <row r="228" spans="13:14" x14ac:dyDescent="0.25">
      <c r="M228"/>
      <c r="N228"/>
    </row>
    <row r="229" spans="13:14" x14ac:dyDescent="0.25">
      <c r="M229"/>
      <c r="N229"/>
    </row>
    <row r="230" spans="13:14" x14ac:dyDescent="0.25">
      <c r="M230"/>
      <c r="N230"/>
    </row>
    <row r="231" spans="13:14" x14ac:dyDescent="0.25">
      <c r="M231"/>
      <c r="N231"/>
    </row>
    <row r="232" spans="13:14" x14ac:dyDescent="0.25">
      <c r="M232"/>
      <c r="N232"/>
    </row>
    <row r="233" spans="13:14" x14ac:dyDescent="0.25">
      <c r="M233"/>
      <c r="N233"/>
    </row>
    <row r="234" spans="13:14" x14ac:dyDescent="0.25">
      <c r="M234"/>
      <c r="N234"/>
    </row>
    <row r="235" spans="13:14" x14ac:dyDescent="0.25">
      <c r="M235"/>
      <c r="N235"/>
    </row>
    <row r="236" spans="13:14" x14ac:dyDescent="0.25">
      <c r="M236"/>
      <c r="N236"/>
    </row>
    <row r="237" spans="13:14" x14ac:dyDescent="0.25">
      <c r="M237"/>
      <c r="N237"/>
    </row>
    <row r="238" spans="13:14" x14ac:dyDescent="0.25">
      <c r="M238"/>
      <c r="N238"/>
    </row>
    <row r="239" spans="13:14" x14ac:dyDescent="0.25">
      <c r="M239"/>
      <c r="N239"/>
    </row>
    <row r="240" spans="13:14" x14ac:dyDescent="0.25">
      <c r="M240"/>
      <c r="N240"/>
    </row>
    <row r="241" spans="13:14" x14ac:dyDescent="0.25">
      <c r="M241"/>
      <c r="N241"/>
    </row>
    <row r="242" spans="13:14" x14ac:dyDescent="0.25">
      <c r="M242"/>
      <c r="N242"/>
    </row>
    <row r="243" spans="13:14" x14ac:dyDescent="0.25">
      <c r="M243"/>
      <c r="N243"/>
    </row>
    <row r="244" spans="13:14" x14ac:dyDescent="0.25">
      <c r="M244"/>
      <c r="N244"/>
    </row>
    <row r="245" spans="13:14" x14ac:dyDescent="0.25">
      <c r="M245"/>
      <c r="N245"/>
    </row>
    <row r="246" spans="13:14" x14ac:dyDescent="0.25">
      <c r="M246"/>
      <c r="N246"/>
    </row>
    <row r="247" spans="13:14" x14ac:dyDescent="0.25">
      <c r="M247"/>
      <c r="N247"/>
    </row>
    <row r="248" spans="13:14" x14ac:dyDescent="0.25">
      <c r="M248"/>
      <c r="N248"/>
    </row>
    <row r="249" spans="13:14" x14ac:dyDescent="0.25">
      <c r="M249"/>
      <c r="N249"/>
    </row>
    <row r="250" spans="13:14" x14ac:dyDescent="0.25">
      <c r="M250"/>
      <c r="N250"/>
    </row>
    <row r="251" spans="13:14" x14ac:dyDescent="0.25">
      <c r="M251"/>
      <c r="N251"/>
    </row>
    <row r="252" spans="13:14" x14ac:dyDescent="0.25">
      <c r="M252"/>
      <c r="N252"/>
    </row>
    <row r="253" spans="13:14" x14ac:dyDescent="0.25">
      <c r="M253"/>
      <c r="N253"/>
    </row>
    <row r="254" spans="13:14" x14ac:dyDescent="0.25">
      <c r="M254"/>
      <c r="N254"/>
    </row>
    <row r="255" spans="13:14" x14ac:dyDescent="0.25">
      <c r="M255"/>
      <c r="N255"/>
    </row>
    <row r="256" spans="13:14" x14ac:dyDescent="0.25">
      <c r="M256"/>
      <c r="N256"/>
    </row>
    <row r="257" spans="13:14" x14ac:dyDescent="0.25">
      <c r="M257"/>
      <c r="N257"/>
    </row>
    <row r="258" spans="13:14" x14ac:dyDescent="0.25">
      <c r="M258"/>
      <c r="N258"/>
    </row>
    <row r="259" spans="13:14" x14ac:dyDescent="0.25">
      <c r="M259"/>
      <c r="N259"/>
    </row>
    <row r="260" spans="13:14" x14ac:dyDescent="0.25">
      <c r="M260"/>
      <c r="N260"/>
    </row>
    <row r="261" spans="13:14" x14ac:dyDescent="0.25">
      <c r="M261"/>
      <c r="N261"/>
    </row>
    <row r="262" spans="13:14" x14ac:dyDescent="0.25">
      <c r="M262"/>
      <c r="N262"/>
    </row>
    <row r="263" spans="13:14" x14ac:dyDescent="0.25">
      <c r="M263"/>
      <c r="N263"/>
    </row>
    <row r="264" spans="13:14" x14ac:dyDescent="0.25">
      <c r="M264"/>
      <c r="N264"/>
    </row>
    <row r="265" spans="13:14" x14ac:dyDescent="0.25">
      <c r="M265"/>
      <c r="N265"/>
    </row>
    <row r="266" spans="13:14" x14ac:dyDescent="0.25">
      <c r="M266"/>
      <c r="N266"/>
    </row>
    <row r="267" spans="13:14" x14ac:dyDescent="0.25">
      <c r="M267"/>
      <c r="N267"/>
    </row>
    <row r="268" spans="13:14" x14ac:dyDescent="0.25">
      <c r="M268"/>
      <c r="N268"/>
    </row>
    <row r="269" spans="13:14" x14ac:dyDescent="0.25">
      <c r="M269"/>
      <c r="N269"/>
    </row>
    <row r="270" spans="13:14" x14ac:dyDescent="0.25">
      <c r="M270"/>
      <c r="N270"/>
    </row>
    <row r="271" spans="13:14" x14ac:dyDescent="0.25">
      <c r="M271"/>
      <c r="N271"/>
    </row>
    <row r="272" spans="13:14" x14ac:dyDescent="0.25">
      <c r="M272"/>
      <c r="N272"/>
    </row>
    <row r="273" spans="13:14" x14ac:dyDescent="0.25">
      <c r="M273"/>
      <c r="N273"/>
    </row>
    <row r="274" spans="13:14" x14ac:dyDescent="0.25">
      <c r="M274"/>
      <c r="N274"/>
    </row>
    <row r="275" spans="13:14" x14ac:dyDescent="0.25">
      <c r="M275"/>
      <c r="N275"/>
    </row>
    <row r="276" spans="13:14" x14ac:dyDescent="0.25">
      <c r="M276"/>
      <c r="N276"/>
    </row>
    <row r="277" spans="13:14" x14ac:dyDescent="0.25">
      <c r="M277"/>
      <c r="N277"/>
    </row>
    <row r="278" spans="13:14" x14ac:dyDescent="0.25">
      <c r="M278"/>
      <c r="N278"/>
    </row>
    <row r="279" spans="13:14" x14ac:dyDescent="0.25">
      <c r="M279"/>
      <c r="N279"/>
    </row>
    <row r="280" spans="13:14" x14ac:dyDescent="0.25">
      <c r="M280"/>
      <c r="N280"/>
    </row>
    <row r="281" spans="13:14" x14ac:dyDescent="0.25">
      <c r="M281"/>
      <c r="N281"/>
    </row>
    <row r="282" spans="13:14" x14ac:dyDescent="0.25">
      <c r="M282"/>
      <c r="N282"/>
    </row>
    <row r="283" spans="13:14" x14ac:dyDescent="0.25">
      <c r="M283"/>
      <c r="N283"/>
    </row>
    <row r="284" spans="13:14" x14ac:dyDescent="0.25">
      <c r="M284"/>
      <c r="N284"/>
    </row>
    <row r="285" spans="13:14" x14ac:dyDescent="0.25">
      <c r="M285"/>
      <c r="N285"/>
    </row>
    <row r="286" spans="13:14" x14ac:dyDescent="0.25">
      <c r="M286"/>
      <c r="N286"/>
    </row>
    <row r="287" spans="13:14" x14ac:dyDescent="0.25">
      <c r="M287"/>
      <c r="N287"/>
    </row>
    <row r="288" spans="13:14" x14ac:dyDescent="0.25">
      <c r="M288"/>
      <c r="N288"/>
    </row>
    <row r="289" spans="13:14" x14ac:dyDescent="0.25">
      <c r="M289"/>
      <c r="N289"/>
    </row>
    <row r="290" spans="13:14" x14ac:dyDescent="0.25">
      <c r="M290"/>
      <c r="N290"/>
    </row>
    <row r="291" spans="13:14" x14ac:dyDescent="0.25">
      <c r="M291"/>
      <c r="N291"/>
    </row>
    <row r="292" spans="13:14" x14ac:dyDescent="0.25">
      <c r="M292"/>
      <c r="N292"/>
    </row>
    <row r="293" spans="13:14" x14ac:dyDescent="0.25">
      <c r="M293"/>
      <c r="N293"/>
    </row>
    <row r="294" spans="13:14" x14ac:dyDescent="0.25">
      <c r="M294"/>
      <c r="N294"/>
    </row>
    <row r="295" spans="13:14" x14ac:dyDescent="0.25">
      <c r="M295"/>
      <c r="N295"/>
    </row>
    <row r="296" spans="13:14" x14ac:dyDescent="0.25">
      <c r="M296"/>
      <c r="N296"/>
    </row>
    <row r="297" spans="13:14" x14ac:dyDescent="0.25">
      <c r="M297"/>
      <c r="N297"/>
    </row>
    <row r="298" spans="13:14" x14ac:dyDescent="0.25">
      <c r="M298"/>
      <c r="N298"/>
    </row>
    <row r="299" spans="13:14" x14ac:dyDescent="0.25">
      <c r="M299"/>
      <c r="N299"/>
    </row>
    <row r="300" spans="13:14" x14ac:dyDescent="0.25">
      <c r="M300"/>
      <c r="N300"/>
    </row>
    <row r="301" spans="13:14" x14ac:dyDescent="0.25">
      <c r="M301"/>
      <c r="N301"/>
    </row>
    <row r="302" spans="13:14" x14ac:dyDescent="0.25">
      <c r="M302"/>
      <c r="N302"/>
    </row>
    <row r="303" spans="13:14" x14ac:dyDescent="0.25">
      <c r="M303"/>
      <c r="N303"/>
    </row>
    <row r="304" spans="13:14" x14ac:dyDescent="0.25">
      <c r="M304"/>
      <c r="N304"/>
    </row>
    <row r="305" spans="13:14" x14ac:dyDescent="0.25">
      <c r="M305"/>
      <c r="N305"/>
    </row>
    <row r="306" spans="13:14" x14ac:dyDescent="0.25">
      <c r="M306"/>
      <c r="N306"/>
    </row>
    <row r="307" spans="13:14" x14ac:dyDescent="0.25">
      <c r="M307"/>
      <c r="N307"/>
    </row>
    <row r="308" spans="13:14" x14ac:dyDescent="0.25">
      <c r="M308"/>
      <c r="N308"/>
    </row>
    <row r="309" spans="13:14" x14ac:dyDescent="0.25">
      <c r="M309"/>
      <c r="N309"/>
    </row>
    <row r="310" spans="13:14" x14ac:dyDescent="0.25">
      <c r="M310"/>
      <c r="N310"/>
    </row>
    <row r="311" spans="13:14" x14ac:dyDescent="0.25">
      <c r="M311"/>
      <c r="N311"/>
    </row>
    <row r="312" spans="13:14" x14ac:dyDescent="0.25">
      <c r="M312"/>
      <c r="N312"/>
    </row>
    <row r="313" spans="13:14" x14ac:dyDescent="0.25">
      <c r="M313"/>
      <c r="N313"/>
    </row>
    <row r="314" spans="13:14" x14ac:dyDescent="0.25">
      <c r="M314"/>
      <c r="N314"/>
    </row>
    <row r="315" spans="13:14" x14ac:dyDescent="0.25">
      <c r="M315"/>
      <c r="N315"/>
    </row>
    <row r="316" spans="13:14" x14ac:dyDescent="0.25">
      <c r="M316"/>
      <c r="N316"/>
    </row>
    <row r="317" spans="13:14" x14ac:dyDescent="0.25">
      <c r="M317"/>
      <c r="N317"/>
    </row>
    <row r="318" spans="13:14" x14ac:dyDescent="0.25">
      <c r="M318"/>
      <c r="N318"/>
    </row>
    <row r="319" spans="13:14" x14ac:dyDescent="0.25">
      <c r="M319"/>
      <c r="N319"/>
    </row>
    <row r="320" spans="13:14" x14ac:dyDescent="0.25">
      <c r="M320"/>
      <c r="N320"/>
    </row>
    <row r="321" spans="13:14" x14ac:dyDescent="0.25">
      <c r="M321"/>
      <c r="N321"/>
    </row>
    <row r="322" spans="13:14" x14ac:dyDescent="0.25">
      <c r="M322"/>
      <c r="N322"/>
    </row>
    <row r="323" spans="13:14" x14ac:dyDescent="0.25">
      <c r="M323"/>
      <c r="N323"/>
    </row>
    <row r="324" spans="13:14" x14ac:dyDescent="0.25">
      <c r="M324"/>
      <c r="N324"/>
    </row>
    <row r="325" spans="13:14" x14ac:dyDescent="0.25">
      <c r="M325"/>
      <c r="N325"/>
    </row>
    <row r="326" spans="13:14" x14ac:dyDescent="0.25">
      <c r="M326"/>
      <c r="N326"/>
    </row>
    <row r="327" spans="13:14" x14ac:dyDescent="0.25">
      <c r="M327"/>
      <c r="N327"/>
    </row>
    <row r="328" spans="13:14" x14ac:dyDescent="0.25">
      <c r="M328"/>
      <c r="N328"/>
    </row>
    <row r="329" spans="13:14" x14ac:dyDescent="0.25">
      <c r="M329"/>
      <c r="N329"/>
    </row>
    <row r="330" spans="13:14" x14ac:dyDescent="0.25">
      <c r="M330"/>
      <c r="N330"/>
    </row>
    <row r="331" spans="13:14" x14ac:dyDescent="0.25">
      <c r="M331"/>
      <c r="N331"/>
    </row>
    <row r="332" spans="13:14" x14ac:dyDescent="0.25">
      <c r="M332"/>
      <c r="N332"/>
    </row>
    <row r="333" spans="13:14" x14ac:dyDescent="0.25">
      <c r="M333"/>
      <c r="N333"/>
    </row>
    <row r="334" spans="13:14" x14ac:dyDescent="0.25">
      <c r="M334"/>
      <c r="N334"/>
    </row>
    <row r="335" spans="13:14" x14ac:dyDescent="0.25">
      <c r="M335"/>
      <c r="N335"/>
    </row>
    <row r="336" spans="13:14" x14ac:dyDescent="0.25">
      <c r="M336"/>
      <c r="N336"/>
    </row>
    <row r="337" spans="13:14" x14ac:dyDescent="0.25">
      <c r="M337"/>
      <c r="N337"/>
    </row>
    <row r="338" spans="13:14" x14ac:dyDescent="0.25">
      <c r="M338"/>
      <c r="N338"/>
    </row>
    <row r="339" spans="13:14" x14ac:dyDescent="0.25">
      <c r="M339"/>
      <c r="N339"/>
    </row>
    <row r="340" spans="13:14" x14ac:dyDescent="0.25">
      <c r="M340"/>
      <c r="N340"/>
    </row>
    <row r="341" spans="13:14" x14ac:dyDescent="0.25">
      <c r="M341"/>
      <c r="N341"/>
    </row>
    <row r="342" spans="13:14" x14ac:dyDescent="0.25">
      <c r="M342"/>
      <c r="N342"/>
    </row>
    <row r="343" spans="13:14" x14ac:dyDescent="0.25">
      <c r="M343"/>
      <c r="N343"/>
    </row>
    <row r="344" spans="13:14" x14ac:dyDescent="0.25">
      <c r="M344"/>
      <c r="N344"/>
    </row>
    <row r="345" spans="13:14" x14ac:dyDescent="0.25">
      <c r="M345"/>
      <c r="N345"/>
    </row>
    <row r="346" spans="13:14" x14ac:dyDescent="0.25">
      <c r="M346"/>
      <c r="N346"/>
    </row>
    <row r="347" spans="13:14" x14ac:dyDescent="0.25">
      <c r="M347"/>
      <c r="N347"/>
    </row>
    <row r="348" spans="13:14" x14ac:dyDescent="0.25">
      <c r="M348"/>
      <c r="N348"/>
    </row>
    <row r="349" spans="13:14" x14ac:dyDescent="0.25">
      <c r="M349"/>
      <c r="N349"/>
    </row>
    <row r="350" spans="13:14" x14ac:dyDescent="0.25">
      <c r="M350"/>
      <c r="N350"/>
    </row>
    <row r="351" spans="13:14" x14ac:dyDescent="0.25">
      <c r="M351"/>
      <c r="N351"/>
    </row>
    <row r="352" spans="13:14" x14ac:dyDescent="0.25">
      <c r="M352"/>
      <c r="N352"/>
    </row>
    <row r="353" spans="13:14" x14ac:dyDescent="0.25">
      <c r="M353"/>
      <c r="N353"/>
    </row>
    <row r="354" spans="13:14" x14ac:dyDescent="0.25">
      <c r="M354"/>
      <c r="N354"/>
    </row>
    <row r="355" spans="13:14" x14ac:dyDescent="0.25">
      <c r="M355"/>
      <c r="N355"/>
    </row>
    <row r="356" spans="13:14" x14ac:dyDescent="0.25">
      <c r="M356"/>
      <c r="N356"/>
    </row>
    <row r="357" spans="13:14" x14ac:dyDescent="0.25">
      <c r="M357"/>
      <c r="N357"/>
    </row>
    <row r="358" spans="13:14" x14ac:dyDescent="0.25">
      <c r="M358"/>
      <c r="N358"/>
    </row>
    <row r="359" spans="13:14" x14ac:dyDescent="0.25">
      <c r="M359"/>
      <c r="N359"/>
    </row>
    <row r="360" spans="13:14" x14ac:dyDescent="0.25">
      <c r="M360"/>
      <c r="N360"/>
    </row>
    <row r="361" spans="13:14" x14ac:dyDescent="0.25">
      <c r="M361"/>
      <c r="N361"/>
    </row>
    <row r="362" spans="13:14" x14ac:dyDescent="0.25">
      <c r="M362"/>
      <c r="N362"/>
    </row>
    <row r="363" spans="13:14" x14ac:dyDescent="0.25">
      <c r="M363"/>
      <c r="N363"/>
    </row>
    <row r="364" spans="13:14" x14ac:dyDescent="0.25">
      <c r="M364"/>
      <c r="N364"/>
    </row>
    <row r="365" spans="13:14" x14ac:dyDescent="0.25">
      <c r="M365"/>
      <c r="N365"/>
    </row>
    <row r="366" spans="13:14" x14ac:dyDescent="0.25">
      <c r="M366"/>
      <c r="N366"/>
    </row>
    <row r="367" spans="13:14" x14ac:dyDescent="0.25">
      <c r="M367"/>
      <c r="N367"/>
    </row>
    <row r="368" spans="13:14" x14ac:dyDescent="0.25">
      <c r="M368"/>
      <c r="N368"/>
    </row>
    <row r="369" spans="13:14" x14ac:dyDescent="0.25">
      <c r="M369"/>
      <c r="N369"/>
    </row>
    <row r="370" spans="13:14" x14ac:dyDescent="0.25">
      <c r="M370"/>
      <c r="N370"/>
    </row>
    <row r="371" spans="13:14" x14ac:dyDescent="0.25">
      <c r="M371"/>
      <c r="N371"/>
    </row>
    <row r="372" spans="13:14" x14ac:dyDescent="0.25">
      <c r="M372"/>
      <c r="N372"/>
    </row>
    <row r="373" spans="13:14" x14ac:dyDescent="0.25">
      <c r="M373"/>
      <c r="N373"/>
    </row>
    <row r="374" spans="13:14" x14ac:dyDescent="0.25">
      <c r="M374"/>
      <c r="N374"/>
    </row>
    <row r="375" spans="13:14" x14ac:dyDescent="0.25">
      <c r="M375"/>
      <c r="N375"/>
    </row>
    <row r="376" spans="13:14" x14ac:dyDescent="0.25">
      <c r="M376"/>
      <c r="N376"/>
    </row>
    <row r="377" spans="13:14" x14ac:dyDescent="0.25">
      <c r="M377"/>
      <c r="N377"/>
    </row>
    <row r="378" spans="13:14" x14ac:dyDescent="0.25">
      <c r="M378"/>
      <c r="N378"/>
    </row>
    <row r="379" spans="13:14" x14ac:dyDescent="0.25">
      <c r="M379"/>
      <c r="N379"/>
    </row>
    <row r="380" spans="13:14" x14ac:dyDescent="0.25">
      <c r="M380"/>
      <c r="N380"/>
    </row>
    <row r="381" spans="13:14" x14ac:dyDescent="0.25">
      <c r="M381"/>
      <c r="N381"/>
    </row>
    <row r="382" spans="13:14" x14ac:dyDescent="0.25">
      <c r="M382"/>
      <c r="N382"/>
    </row>
    <row r="383" spans="13:14" x14ac:dyDescent="0.25">
      <c r="M383"/>
      <c r="N383"/>
    </row>
    <row r="384" spans="13:14" x14ac:dyDescent="0.25">
      <c r="M384"/>
      <c r="N384"/>
    </row>
    <row r="385" spans="13:14" x14ac:dyDescent="0.25">
      <c r="M385"/>
      <c r="N385"/>
    </row>
    <row r="386" spans="13:14" x14ac:dyDescent="0.25">
      <c r="M386"/>
      <c r="N386"/>
    </row>
    <row r="387" spans="13:14" x14ac:dyDescent="0.25">
      <c r="M387"/>
      <c r="N387"/>
    </row>
    <row r="388" spans="13:14" x14ac:dyDescent="0.25">
      <c r="M388"/>
      <c r="N388"/>
    </row>
    <row r="389" spans="13:14" x14ac:dyDescent="0.25">
      <c r="M389"/>
      <c r="N389"/>
    </row>
    <row r="390" spans="13:14" x14ac:dyDescent="0.25">
      <c r="M390"/>
      <c r="N390"/>
    </row>
    <row r="391" spans="13:14" x14ac:dyDescent="0.25">
      <c r="M391"/>
      <c r="N391"/>
    </row>
    <row r="392" spans="13:14" x14ac:dyDescent="0.25">
      <c r="M392"/>
      <c r="N392"/>
    </row>
    <row r="393" spans="13:14" x14ac:dyDescent="0.25">
      <c r="M393"/>
      <c r="N393"/>
    </row>
    <row r="394" spans="13:14" x14ac:dyDescent="0.25">
      <c r="M394"/>
      <c r="N394"/>
    </row>
    <row r="395" spans="13:14" x14ac:dyDescent="0.25">
      <c r="M395"/>
      <c r="N395"/>
    </row>
    <row r="396" spans="13:14" x14ac:dyDescent="0.25">
      <c r="M396"/>
      <c r="N396"/>
    </row>
    <row r="397" spans="13:14" x14ac:dyDescent="0.25">
      <c r="M397"/>
      <c r="N397"/>
    </row>
    <row r="398" spans="13:14" x14ac:dyDescent="0.25">
      <c r="M398"/>
      <c r="N398"/>
    </row>
    <row r="399" spans="13:14" x14ac:dyDescent="0.25">
      <c r="M399"/>
      <c r="N399"/>
    </row>
    <row r="400" spans="13:14" x14ac:dyDescent="0.25">
      <c r="M400"/>
      <c r="N400"/>
    </row>
    <row r="401" spans="13:14" x14ac:dyDescent="0.25">
      <c r="M401"/>
      <c r="N401"/>
    </row>
    <row r="402" spans="13:14" x14ac:dyDescent="0.25">
      <c r="M402"/>
      <c r="N402"/>
    </row>
    <row r="403" spans="13:14" x14ac:dyDescent="0.25">
      <c r="M403"/>
      <c r="N403"/>
    </row>
    <row r="404" spans="13:14" x14ac:dyDescent="0.25">
      <c r="M404"/>
      <c r="N404"/>
    </row>
    <row r="405" spans="13:14" x14ac:dyDescent="0.25">
      <c r="M405"/>
      <c r="N405"/>
    </row>
    <row r="406" spans="13:14" x14ac:dyDescent="0.25">
      <c r="M406"/>
      <c r="N406"/>
    </row>
    <row r="407" spans="13:14" x14ac:dyDescent="0.25">
      <c r="M407"/>
      <c r="N407"/>
    </row>
    <row r="408" spans="13:14" x14ac:dyDescent="0.25">
      <c r="M408"/>
      <c r="N408"/>
    </row>
    <row r="409" spans="13:14" x14ac:dyDescent="0.25">
      <c r="M409"/>
      <c r="N409"/>
    </row>
    <row r="410" spans="13:14" x14ac:dyDescent="0.25">
      <c r="M410"/>
      <c r="N410"/>
    </row>
    <row r="411" spans="13:14" x14ac:dyDescent="0.25">
      <c r="M411"/>
      <c r="N411"/>
    </row>
    <row r="412" spans="13:14" x14ac:dyDescent="0.25">
      <c r="M412"/>
      <c r="N412"/>
    </row>
    <row r="413" spans="13:14" x14ac:dyDescent="0.25">
      <c r="M413"/>
      <c r="N413"/>
    </row>
    <row r="414" spans="13:14" x14ac:dyDescent="0.25">
      <c r="M414"/>
      <c r="N414"/>
    </row>
    <row r="415" spans="13:14" x14ac:dyDescent="0.25">
      <c r="M415"/>
      <c r="N415"/>
    </row>
    <row r="416" spans="13:14" x14ac:dyDescent="0.25">
      <c r="M416"/>
      <c r="N416"/>
    </row>
    <row r="417" spans="13:14" x14ac:dyDescent="0.25">
      <c r="M417"/>
      <c r="N417"/>
    </row>
    <row r="418" spans="13:14" x14ac:dyDescent="0.25">
      <c r="M418"/>
      <c r="N418"/>
    </row>
    <row r="419" spans="13:14" x14ac:dyDescent="0.25">
      <c r="M419"/>
      <c r="N419"/>
    </row>
    <row r="420" spans="13:14" x14ac:dyDescent="0.25">
      <c r="M420"/>
      <c r="N420"/>
    </row>
    <row r="421" spans="13:14" x14ac:dyDescent="0.25">
      <c r="M421"/>
      <c r="N421"/>
    </row>
    <row r="422" spans="13:14" x14ac:dyDescent="0.25">
      <c r="M422"/>
      <c r="N422"/>
    </row>
    <row r="423" spans="13:14" x14ac:dyDescent="0.25">
      <c r="M423"/>
      <c r="N423"/>
    </row>
    <row r="424" spans="13:14" x14ac:dyDescent="0.25">
      <c r="M424"/>
      <c r="N424"/>
    </row>
    <row r="425" spans="13:14" x14ac:dyDescent="0.25">
      <c r="M425"/>
      <c r="N425"/>
    </row>
    <row r="426" spans="13:14" x14ac:dyDescent="0.25">
      <c r="M426"/>
      <c r="N426"/>
    </row>
    <row r="427" spans="13:14" x14ac:dyDescent="0.25">
      <c r="M427"/>
      <c r="N427"/>
    </row>
    <row r="428" spans="13:14" x14ac:dyDescent="0.25">
      <c r="M428"/>
      <c r="N428"/>
    </row>
    <row r="429" spans="13:14" x14ac:dyDescent="0.25">
      <c r="M429"/>
      <c r="N429"/>
    </row>
    <row r="430" spans="13:14" x14ac:dyDescent="0.25">
      <c r="M430"/>
      <c r="N430"/>
    </row>
    <row r="431" spans="13:14" x14ac:dyDescent="0.25">
      <c r="M431"/>
      <c r="N431"/>
    </row>
    <row r="432" spans="13:14" x14ac:dyDescent="0.25">
      <c r="M432"/>
      <c r="N432"/>
    </row>
    <row r="433" spans="13:14" x14ac:dyDescent="0.25">
      <c r="M433"/>
      <c r="N433"/>
    </row>
    <row r="434" spans="13:14" x14ac:dyDescent="0.25">
      <c r="M434"/>
      <c r="N434"/>
    </row>
    <row r="435" spans="13:14" x14ac:dyDescent="0.25">
      <c r="M435"/>
      <c r="N435"/>
    </row>
    <row r="436" spans="13:14" x14ac:dyDescent="0.25">
      <c r="M436"/>
      <c r="N436"/>
    </row>
    <row r="437" spans="13:14" x14ac:dyDescent="0.25">
      <c r="M437"/>
      <c r="N437"/>
    </row>
    <row r="438" spans="13:14" x14ac:dyDescent="0.25">
      <c r="M438"/>
      <c r="N438"/>
    </row>
    <row r="439" spans="13:14" x14ac:dyDescent="0.25">
      <c r="M439"/>
      <c r="N439"/>
    </row>
    <row r="440" spans="13:14" x14ac:dyDescent="0.25">
      <c r="M440"/>
      <c r="N440"/>
    </row>
    <row r="441" spans="13:14" x14ac:dyDescent="0.25">
      <c r="M441"/>
      <c r="N441"/>
    </row>
    <row r="442" spans="13:14" x14ac:dyDescent="0.25">
      <c r="M442"/>
      <c r="N442"/>
    </row>
    <row r="443" spans="13:14" x14ac:dyDescent="0.25">
      <c r="M443"/>
      <c r="N443"/>
    </row>
    <row r="444" spans="13:14" x14ac:dyDescent="0.25">
      <c r="M444"/>
      <c r="N444"/>
    </row>
    <row r="445" spans="13:14" x14ac:dyDescent="0.25">
      <c r="M445"/>
      <c r="N445"/>
    </row>
    <row r="446" spans="13:14" x14ac:dyDescent="0.25">
      <c r="M446"/>
      <c r="N446"/>
    </row>
    <row r="447" spans="13:14" x14ac:dyDescent="0.25">
      <c r="M447"/>
      <c r="N447"/>
    </row>
    <row r="448" spans="13:14" x14ac:dyDescent="0.25">
      <c r="M448"/>
      <c r="N448"/>
    </row>
    <row r="449" spans="13:14" x14ac:dyDescent="0.25">
      <c r="M449"/>
      <c r="N449"/>
    </row>
    <row r="450" spans="13:14" x14ac:dyDescent="0.25">
      <c r="M450"/>
      <c r="N450"/>
    </row>
    <row r="451" spans="13:14" x14ac:dyDescent="0.25">
      <c r="M451"/>
      <c r="N451"/>
    </row>
    <row r="452" spans="13:14" x14ac:dyDescent="0.25">
      <c r="M452"/>
      <c r="N452"/>
    </row>
    <row r="453" spans="13:14" x14ac:dyDescent="0.25">
      <c r="M453"/>
      <c r="N453"/>
    </row>
    <row r="454" spans="13:14" x14ac:dyDescent="0.25">
      <c r="M454"/>
      <c r="N454"/>
    </row>
    <row r="455" spans="13:14" x14ac:dyDescent="0.25">
      <c r="M455"/>
      <c r="N455"/>
    </row>
    <row r="456" spans="13:14" x14ac:dyDescent="0.25">
      <c r="M456"/>
      <c r="N456"/>
    </row>
    <row r="457" spans="13:14" x14ac:dyDescent="0.25">
      <c r="M457"/>
      <c r="N457"/>
    </row>
    <row r="458" spans="13:14" x14ac:dyDescent="0.25">
      <c r="M458"/>
      <c r="N458"/>
    </row>
    <row r="459" spans="13:14" x14ac:dyDescent="0.25">
      <c r="M459"/>
      <c r="N459"/>
    </row>
    <row r="460" spans="13:14" x14ac:dyDescent="0.25">
      <c r="M460"/>
      <c r="N460"/>
    </row>
    <row r="461" spans="13:14" x14ac:dyDescent="0.25">
      <c r="M461"/>
      <c r="N461"/>
    </row>
    <row r="462" spans="13:14" x14ac:dyDescent="0.25">
      <c r="M462"/>
      <c r="N462"/>
    </row>
    <row r="463" spans="13:14" x14ac:dyDescent="0.25">
      <c r="M463"/>
      <c r="N463"/>
    </row>
    <row r="464" spans="13:14" x14ac:dyDescent="0.25">
      <c r="M464"/>
      <c r="N464"/>
    </row>
    <row r="465" spans="13:14" x14ac:dyDescent="0.25">
      <c r="M465"/>
      <c r="N465"/>
    </row>
    <row r="466" spans="13:14" x14ac:dyDescent="0.25">
      <c r="M466"/>
      <c r="N466"/>
    </row>
    <row r="467" spans="13:14" x14ac:dyDescent="0.25">
      <c r="M467"/>
      <c r="N467"/>
    </row>
    <row r="468" spans="13:14" x14ac:dyDescent="0.25">
      <c r="M468"/>
      <c r="N468"/>
    </row>
    <row r="469" spans="13:14" x14ac:dyDescent="0.25">
      <c r="M469"/>
      <c r="N469"/>
    </row>
    <row r="470" spans="13:14" x14ac:dyDescent="0.25">
      <c r="M470"/>
      <c r="N470"/>
    </row>
    <row r="471" spans="13:14" x14ac:dyDescent="0.25">
      <c r="M471"/>
      <c r="N471"/>
    </row>
    <row r="472" spans="13:14" x14ac:dyDescent="0.25">
      <c r="M472"/>
      <c r="N472"/>
    </row>
    <row r="473" spans="13:14" x14ac:dyDescent="0.25">
      <c r="M473"/>
      <c r="N473"/>
    </row>
    <row r="474" spans="13:14" x14ac:dyDescent="0.25">
      <c r="M474"/>
      <c r="N474"/>
    </row>
    <row r="475" spans="13:14" x14ac:dyDescent="0.25">
      <c r="M475"/>
      <c r="N475"/>
    </row>
    <row r="476" spans="13:14" x14ac:dyDescent="0.25">
      <c r="M476"/>
      <c r="N476"/>
    </row>
    <row r="477" spans="13:14" x14ac:dyDescent="0.25">
      <c r="M477"/>
      <c r="N477"/>
    </row>
    <row r="478" spans="13:14" x14ac:dyDescent="0.25">
      <c r="M478"/>
      <c r="N478"/>
    </row>
    <row r="479" spans="13:14" x14ac:dyDescent="0.25">
      <c r="M479"/>
      <c r="N479"/>
    </row>
    <row r="480" spans="13:14" x14ac:dyDescent="0.25">
      <c r="M480"/>
      <c r="N480"/>
    </row>
    <row r="481" spans="13:14" x14ac:dyDescent="0.25">
      <c r="M481"/>
      <c r="N481"/>
    </row>
    <row r="482" spans="13:14" x14ac:dyDescent="0.25">
      <c r="M482"/>
      <c r="N482"/>
    </row>
    <row r="483" spans="13:14" x14ac:dyDescent="0.25">
      <c r="M483"/>
      <c r="N483"/>
    </row>
    <row r="484" spans="13:14" x14ac:dyDescent="0.25">
      <c r="M484"/>
      <c r="N484"/>
    </row>
    <row r="485" spans="13:14" x14ac:dyDescent="0.25">
      <c r="M485"/>
      <c r="N485"/>
    </row>
    <row r="486" spans="13:14" x14ac:dyDescent="0.25">
      <c r="M486"/>
      <c r="N486"/>
    </row>
    <row r="487" spans="13:14" x14ac:dyDescent="0.25">
      <c r="M487"/>
      <c r="N487"/>
    </row>
    <row r="488" spans="13:14" x14ac:dyDescent="0.25">
      <c r="M488"/>
      <c r="N488"/>
    </row>
    <row r="489" spans="13:14" x14ac:dyDescent="0.25">
      <c r="M489"/>
      <c r="N489"/>
    </row>
    <row r="490" spans="13:14" x14ac:dyDescent="0.25">
      <c r="M490"/>
      <c r="N490"/>
    </row>
    <row r="491" spans="13:14" x14ac:dyDescent="0.25">
      <c r="M491"/>
      <c r="N491"/>
    </row>
    <row r="492" spans="13:14" x14ac:dyDescent="0.25">
      <c r="M492"/>
      <c r="N492"/>
    </row>
    <row r="493" spans="13:14" x14ac:dyDescent="0.25">
      <c r="M493"/>
      <c r="N493"/>
    </row>
    <row r="494" spans="13:14" x14ac:dyDescent="0.25">
      <c r="M494"/>
      <c r="N494"/>
    </row>
    <row r="495" spans="13:14" x14ac:dyDescent="0.25">
      <c r="M495"/>
      <c r="N495"/>
    </row>
    <row r="496" spans="13:14" x14ac:dyDescent="0.25">
      <c r="M496"/>
      <c r="N496"/>
    </row>
    <row r="497" spans="13:14" x14ac:dyDescent="0.25">
      <c r="M497"/>
      <c r="N497"/>
    </row>
    <row r="498" spans="13:14" x14ac:dyDescent="0.25">
      <c r="M498"/>
      <c r="N498"/>
    </row>
    <row r="499" spans="13:14" x14ac:dyDescent="0.25">
      <c r="M499"/>
      <c r="N499"/>
    </row>
    <row r="500" spans="13:14" x14ac:dyDescent="0.25">
      <c r="M500"/>
      <c r="N500"/>
    </row>
    <row r="501" spans="13:14" x14ac:dyDescent="0.25">
      <c r="M501"/>
      <c r="N501"/>
    </row>
    <row r="502" spans="13:14" x14ac:dyDescent="0.25">
      <c r="M502"/>
      <c r="N502"/>
    </row>
    <row r="503" spans="13:14" x14ac:dyDescent="0.25">
      <c r="M503"/>
      <c r="N503"/>
    </row>
    <row r="504" spans="13:14" x14ac:dyDescent="0.25">
      <c r="M504"/>
      <c r="N504"/>
    </row>
    <row r="505" spans="13:14" x14ac:dyDescent="0.25">
      <c r="M505"/>
      <c r="N505"/>
    </row>
    <row r="506" spans="13:14" x14ac:dyDescent="0.25">
      <c r="M506"/>
      <c r="N506"/>
    </row>
    <row r="507" spans="13:14" x14ac:dyDescent="0.25">
      <c r="M507"/>
      <c r="N507"/>
    </row>
    <row r="508" spans="13:14" x14ac:dyDescent="0.25">
      <c r="M508"/>
      <c r="N508"/>
    </row>
    <row r="509" spans="13:14" x14ac:dyDescent="0.25">
      <c r="M509"/>
      <c r="N509"/>
    </row>
    <row r="510" spans="13:14" x14ac:dyDescent="0.25">
      <c r="M510"/>
      <c r="N510"/>
    </row>
    <row r="511" spans="13:14" x14ac:dyDescent="0.25">
      <c r="M511"/>
      <c r="N511"/>
    </row>
    <row r="512" spans="13:14" x14ac:dyDescent="0.25">
      <c r="M512"/>
      <c r="N512"/>
    </row>
    <row r="513" spans="13:14" x14ac:dyDescent="0.25">
      <c r="M513"/>
      <c r="N513"/>
    </row>
    <row r="514" spans="13:14" x14ac:dyDescent="0.25">
      <c r="M514"/>
      <c r="N514"/>
    </row>
    <row r="515" spans="13:14" x14ac:dyDescent="0.25">
      <c r="M515"/>
      <c r="N515"/>
    </row>
    <row r="516" spans="13:14" x14ac:dyDescent="0.25">
      <c r="M516"/>
      <c r="N516"/>
    </row>
    <row r="517" spans="13:14" x14ac:dyDescent="0.25">
      <c r="M517"/>
      <c r="N517"/>
    </row>
    <row r="518" spans="13:14" x14ac:dyDescent="0.25">
      <c r="M518"/>
      <c r="N518"/>
    </row>
    <row r="519" spans="13:14" x14ac:dyDescent="0.25">
      <c r="M519"/>
      <c r="N519"/>
    </row>
    <row r="520" spans="13:14" x14ac:dyDescent="0.25">
      <c r="M520"/>
      <c r="N520"/>
    </row>
    <row r="521" spans="13:14" x14ac:dyDescent="0.25">
      <c r="M521"/>
      <c r="N521"/>
    </row>
    <row r="522" spans="13:14" x14ac:dyDescent="0.25">
      <c r="M522"/>
      <c r="N522"/>
    </row>
    <row r="523" spans="13:14" x14ac:dyDescent="0.25">
      <c r="M523"/>
      <c r="N523"/>
    </row>
    <row r="524" spans="13:14" x14ac:dyDescent="0.25">
      <c r="M524"/>
      <c r="N524"/>
    </row>
    <row r="525" spans="13:14" x14ac:dyDescent="0.25">
      <c r="M525"/>
      <c r="N525"/>
    </row>
    <row r="526" spans="13:14" x14ac:dyDescent="0.25">
      <c r="M526"/>
      <c r="N526"/>
    </row>
    <row r="527" spans="13:14" x14ac:dyDescent="0.25">
      <c r="M527"/>
      <c r="N527"/>
    </row>
    <row r="528" spans="13:14" x14ac:dyDescent="0.25">
      <c r="M528"/>
      <c r="N528"/>
    </row>
    <row r="529" spans="13:14" x14ac:dyDescent="0.25">
      <c r="M529"/>
      <c r="N529"/>
    </row>
    <row r="530" spans="13:14" x14ac:dyDescent="0.25">
      <c r="M530"/>
      <c r="N530"/>
    </row>
    <row r="531" spans="13:14" x14ac:dyDescent="0.25">
      <c r="M531"/>
      <c r="N531"/>
    </row>
    <row r="532" spans="13:14" x14ac:dyDescent="0.25">
      <c r="M532"/>
      <c r="N532"/>
    </row>
    <row r="533" spans="13:14" x14ac:dyDescent="0.25">
      <c r="M533"/>
      <c r="N533"/>
    </row>
    <row r="534" spans="13:14" x14ac:dyDescent="0.25">
      <c r="M534"/>
      <c r="N534"/>
    </row>
    <row r="535" spans="13:14" x14ac:dyDescent="0.25">
      <c r="M535"/>
      <c r="N535"/>
    </row>
    <row r="536" spans="13:14" x14ac:dyDescent="0.25">
      <c r="M536"/>
      <c r="N536"/>
    </row>
    <row r="537" spans="13:14" x14ac:dyDescent="0.25">
      <c r="M537"/>
      <c r="N537"/>
    </row>
    <row r="538" spans="13:14" x14ac:dyDescent="0.25">
      <c r="M538"/>
      <c r="N538"/>
    </row>
    <row r="539" spans="13:14" x14ac:dyDescent="0.25">
      <c r="M539"/>
      <c r="N539"/>
    </row>
    <row r="540" spans="13:14" x14ac:dyDescent="0.25">
      <c r="M540"/>
      <c r="N540"/>
    </row>
    <row r="541" spans="13:14" x14ac:dyDescent="0.25">
      <c r="M541"/>
      <c r="N541"/>
    </row>
    <row r="542" spans="13:14" x14ac:dyDescent="0.25">
      <c r="M542"/>
      <c r="N542"/>
    </row>
    <row r="543" spans="13:14" x14ac:dyDescent="0.25">
      <c r="M543"/>
      <c r="N543"/>
    </row>
    <row r="544" spans="13:14" x14ac:dyDescent="0.25">
      <c r="M544"/>
      <c r="N544"/>
    </row>
    <row r="545" spans="13:14" x14ac:dyDescent="0.25">
      <c r="M545"/>
      <c r="N545"/>
    </row>
    <row r="546" spans="13:14" x14ac:dyDescent="0.25">
      <c r="M546"/>
      <c r="N546"/>
    </row>
    <row r="547" spans="13:14" x14ac:dyDescent="0.25">
      <c r="M547"/>
      <c r="N547"/>
    </row>
    <row r="548" spans="13:14" x14ac:dyDescent="0.25">
      <c r="M548"/>
      <c r="N548"/>
    </row>
    <row r="549" spans="13:14" x14ac:dyDescent="0.25">
      <c r="M549"/>
      <c r="N549"/>
    </row>
    <row r="550" spans="13:14" x14ac:dyDescent="0.25">
      <c r="M550"/>
      <c r="N550"/>
    </row>
    <row r="551" spans="13:14" x14ac:dyDescent="0.25">
      <c r="M551"/>
      <c r="N551"/>
    </row>
    <row r="552" spans="13:14" x14ac:dyDescent="0.25">
      <c r="M552"/>
      <c r="N552"/>
    </row>
    <row r="553" spans="13:14" x14ac:dyDescent="0.25">
      <c r="M553"/>
      <c r="N553"/>
    </row>
    <row r="554" spans="13:14" x14ac:dyDescent="0.25">
      <c r="M554"/>
      <c r="N554"/>
    </row>
    <row r="555" spans="13:14" x14ac:dyDescent="0.25">
      <c r="M555"/>
      <c r="N555"/>
    </row>
    <row r="556" spans="13:14" x14ac:dyDescent="0.25">
      <c r="M556"/>
      <c r="N556"/>
    </row>
    <row r="557" spans="13:14" x14ac:dyDescent="0.25">
      <c r="M557"/>
      <c r="N557"/>
    </row>
    <row r="558" spans="13:14" x14ac:dyDescent="0.25">
      <c r="M558"/>
      <c r="N558"/>
    </row>
    <row r="559" spans="13:14" x14ac:dyDescent="0.25">
      <c r="M559"/>
      <c r="N559"/>
    </row>
    <row r="560" spans="13:14" x14ac:dyDescent="0.25">
      <c r="M560"/>
      <c r="N560"/>
    </row>
    <row r="561" spans="13:14" x14ac:dyDescent="0.25">
      <c r="M561"/>
      <c r="N561"/>
    </row>
    <row r="562" spans="13:14" x14ac:dyDescent="0.25">
      <c r="M562"/>
      <c r="N562"/>
    </row>
    <row r="563" spans="13:14" x14ac:dyDescent="0.25">
      <c r="M563"/>
      <c r="N563"/>
    </row>
    <row r="564" spans="13:14" x14ac:dyDescent="0.25">
      <c r="M564"/>
      <c r="N564"/>
    </row>
    <row r="565" spans="13:14" x14ac:dyDescent="0.25">
      <c r="M565"/>
      <c r="N565"/>
    </row>
    <row r="566" spans="13:14" x14ac:dyDescent="0.25">
      <c r="M566"/>
      <c r="N566"/>
    </row>
    <row r="567" spans="13:14" x14ac:dyDescent="0.25">
      <c r="M567"/>
      <c r="N567"/>
    </row>
    <row r="568" spans="13:14" x14ac:dyDescent="0.25">
      <c r="M568"/>
      <c r="N568"/>
    </row>
    <row r="569" spans="13:14" x14ac:dyDescent="0.25">
      <c r="M569"/>
      <c r="N569"/>
    </row>
    <row r="570" spans="13:14" x14ac:dyDescent="0.25">
      <c r="M570"/>
      <c r="N570"/>
    </row>
    <row r="571" spans="13:14" x14ac:dyDescent="0.25">
      <c r="M571"/>
      <c r="N571"/>
    </row>
    <row r="572" spans="13:14" x14ac:dyDescent="0.25">
      <c r="M572"/>
      <c r="N572"/>
    </row>
    <row r="573" spans="13:14" x14ac:dyDescent="0.25">
      <c r="M573"/>
      <c r="N573"/>
    </row>
    <row r="574" spans="13:14" x14ac:dyDescent="0.25">
      <c r="M574"/>
      <c r="N574"/>
    </row>
    <row r="575" spans="13:14" x14ac:dyDescent="0.25">
      <c r="M575"/>
      <c r="N575"/>
    </row>
    <row r="576" spans="13:14" x14ac:dyDescent="0.25">
      <c r="M576"/>
      <c r="N576"/>
    </row>
    <row r="577" spans="13:14" x14ac:dyDescent="0.25">
      <c r="M577"/>
      <c r="N577"/>
    </row>
    <row r="578" spans="13:14" x14ac:dyDescent="0.25">
      <c r="M578"/>
      <c r="N578"/>
    </row>
    <row r="579" spans="13:14" x14ac:dyDescent="0.25">
      <c r="M579"/>
      <c r="N579"/>
    </row>
    <row r="580" spans="13:14" x14ac:dyDescent="0.25">
      <c r="M580"/>
      <c r="N580"/>
    </row>
    <row r="581" spans="13:14" x14ac:dyDescent="0.25">
      <c r="M581"/>
      <c r="N581"/>
    </row>
    <row r="582" spans="13:14" x14ac:dyDescent="0.25">
      <c r="M582"/>
      <c r="N582"/>
    </row>
    <row r="583" spans="13:14" x14ac:dyDescent="0.25">
      <c r="M583"/>
      <c r="N583"/>
    </row>
    <row r="584" spans="13:14" x14ac:dyDescent="0.25">
      <c r="M584"/>
      <c r="N584"/>
    </row>
    <row r="585" spans="13:14" x14ac:dyDescent="0.25">
      <c r="M585"/>
      <c r="N585"/>
    </row>
    <row r="586" spans="13:14" x14ac:dyDescent="0.25">
      <c r="M586"/>
      <c r="N586"/>
    </row>
    <row r="587" spans="13:14" x14ac:dyDescent="0.25">
      <c r="M587"/>
      <c r="N587"/>
    </row>
    <row r="588" spans="13:14" x14ac:dyDescent="0.25">
      <c r="M588"/>
      <c r="N588"/>
    </row>
    <row r="589" spans="13:14" x14ac:dyDescent="0.25">
      <c r="M589"/>
      <c r="N589"/>
    </row>
    <row r="590" spans="13:14" x14ac:dyDescent="0.25">
      <c r="M590"/>
      <c r="N590"/>
    </row>
    <row r="591" spans="13:14" x14ac:dyDescent="0.25">
      <c r="M591"/>
      <c r="N591"/>
    </row>
    <row r="592" spans="13:14" x14ac:dyDescent="0.25">
      <c r="M592"/>
      <c r="N592"/>
    </row>
    <row r="593" spans="13:14" x14ac:dyDescent="0.25">
      <c r="M593"/>
      <c r="N593"/>
    </row>
    <row r="594" spans="13:14" x14ac:dyDescent="0.25">
      <c r="M594"/>
      <c r="N594"/>
    </row>
    <row r="595" spans="13:14" x14ac:dyDescent="0.25">
      <c r="M595"/>
      <c r="N595"/>
    </row>
    <row r="596" spans="13:14" x14ac:dyDescent="0.25">
      <c r="M596"/>
      <c r="N596"/>
    </row>
    <row r="597" spans="13:14" x14ac:dyDescent="0.25">
      <c r="M597"/>
      <c r="N597"/>
    </row>
    <row r="598" spans="13:14" x14ac:dyDescent="0.25">
      <c r="M598"/>
      <c r="N598"/>
    </row>
    <row r="599" spans="13:14" x14ac:dyDescent="0.25">
      <c r="M599"/>
      <c r="N599"/>
    </row>
    <row r="600" spans="13:14" x14ac:dyDescent="0.25">
      <c r="M600"/>
      <c r="N600"/>
    </row>
    <row r="601" spans="13:14" x14ac:dyDescent="0.25">
      <c r="M601"/>
      <c r="N601"/>
    </row>
    <row r="602" spans="13:14" x14ac:dyDescent="0.25">
      <c r="M602"/>
      <c r="N602"/>
    </row>
    <row r="603" spans="13:14" x14ac:dyDescent="0.25">
      <c r="M603"/>
      <c r="N603"/>
    </row>
    <row r="604" spans="13:14" x14ac:dyDescent="0.25">
      <c r="M604"/>
      <c r="N604"/>
    </row>
    <row r="605" spans="13:14" x14ac:dyDescent="0.25">
      <c r="M605"/>
      <c r="N605"/>
    </row>
    <row r="606" spans="13:14" x14ac:dyDescent="0.25">
      <c r="M606"/>
      <c r="N606"/>
    </row>
    <row r="607" spans="13:14" x14ac:dyDescent="0.25">
      <c r="M607"/>
      <c r="N607"/>
    </row>
    <row r="608" spans="13:14" x14ac:dyDescent="0.25">
      <c r="M608"/>
      <c r="N608"/>
    </row>
    <row r="609" spans="13:14" x14ac:dyDescent="0.25">
      <c r="M609"/>
      <c r="N609"/>
    </row>
    <row r="610" spans="13:14" x14ac:dyDescent="0.25">
      <c r="M610"/>
      <c r="N610"/>
    </row>
    <row r="611" spans="13:14" x14ac:dyDescent="0.25">
      <c r="M611"/>
      <c r="N611"/>
    </row>
    <row r="612" spans="13:14" x14ac:dyDescent="0.25">
      <c r="M612"/>
      <c r="N612"/>
    </row>
    <row r="613" spans="13:14" x14ac:dyDescent="0.25">
      <c r="M613"/>
      <c r="N613"/>
    </row>
    <row r="614" spans="13:14" x14ac:dyDescent="0.25">
      <c r="M614"/>
      <c r="N614"/>
    </row>
    <row r="615" spans="13:14" x14ac:dyDescent="0.25">
      <c r="M615"/>
      <c r="N615"/>
    </row>
    <row r="616" spans="13:14" x14ac:dyDescent="0.25">
      <c r="M616"/>
      <c r="N616"/>
    </row>
    <row r="617" spans="13:14" x14ac:dyDescent="0.25">
      <c r="M617"/>
      <c r="N617"/>
    </row>
    <row r="618" spans="13:14" x14ac:dyDescent="0.25">
      <c r="M618"/>
      <c r="N618"/>
    </row>
    <row r="619" spans="13:14" x14ac:dyDescent="0.25">
      <c r="M619"/>
      <c r="N619"/>
    </row>
    <row r="620" spans="13:14" x14ac:dyDescent="0.25">
      <c r="M620"/>
      <c r="N620"/>
    </row>
    <row r="621" spans="13:14" x14ac:dyDescent="0.25">
      <c r="M621"/>
      <c r="N621"/>
    </row>
    <row r="622" spans="13:14" x14ac:dyDescent="0.25">
      <c r="M622"/>
      <c r="N622"/>
    </row>
    <row r="623" spans="13:14" x14ac:dyDescent="0.25">
      <c r="M623"/>
      <c r="N623"/>
    </row>
    <row r="624" spans="13:14" x14ac:dyDescent="0.25">
      <c r="M624"/>
      <c r="N624"/>
    </row>
    <row r="625" spans="13:14" x14ac:dyDescent="0.25">
      <c r="M625"/>
      <c r="N625"/>
    </row>
    <row r="626" spans="13:14" x14ac:dyDescent="0.25">
      <c r="M626"/>
      <c r="N626"/>
    </row>
    <row r="627" spans="13:14" x14ac:dyDescent="0.25">
      <c r="M627"/>
      <c r="N627"/>
    </row>
    <row r="628" spans="13:14" x14ac:dyDescent="0.25">
      <c r="M628"/>
      <c r="N628"/>
    </row>
    <row r="629" spans="13:14" x14ac:dyDescent="0.25">
      <c r="M629"/>
      <c r="N629"/>
    </row>
    <row r="630" spans="13:14" x14ac:dyDescent="0.25">
      <c r="M630"/>
      <c r="N630"/>
    </row>
    <row r="631" spans="13:14" x14ac:dyDescent="0.25">
      <c r="M631"/>
      <c r="N631"/>
    </row>
    <row r="632" spans="13:14" x14ac:dyDescent="0.25">
      <c r="M632"/>
      <c r="N632"/>
    </row>
    <row r="633" spans="13:14" x14ac:dyDescent="0.25">
      <c r="M633"/>
      <c r="N633"/>
    </row>
    <row r="634" spans="13:14" x14ac:dyDescent="0.25">
      <c r="M634"/>
      <c r="N634"/>
    </row>
    <row r="635" spans="13:14" x14ac:dyDescent="0.25">
      <c r="M635"/>
      <c r="N635"/>
    </row>
    <row r="636" spans="13:14" x14ac:dyDescent="0.25">
      <c r="M636"/>
      <c r="N636"/>
    </row>
    <row r="637" spans="13:14" x14ac:dyDescent="0.25">
      <c r="M637"/>
      <c r="N637"/>
    </row>
    <row r="638" spans="13:14" x14ac:dyDescent="0.25">
      <c r="M638"/>
      <c r="N638"/>
    </row>
    <row r="639" spans="13:14" x14ac:dyDescent="0.25">
      <c r="M639"/>
      <c r="N639"/>
    </row>
    <row r="640" spans="13:14" x14ac:dyDescent="0.25">
      <c r="M640"/>
      <c r="N640"/>
    </row>
    <row r="641" spans="13:14" x14ac:dyDescent="0.25">
      <c r="M641"/>
      <c r="N641"/>
    </row>
    <row r="642" spans="13:14" x14ac:dyDescent="0.25">
      <c r="M642"/>
      <c r="N642"/>
    </row>
    <row r="643" spans="13:14" x14ac:dyDescent="0.25">
      <c r="M643"/>
      <c r="N643"/>
    </row>
    <row r="644" spans="13:14" x14ac:dyDescent="0.25">
      <c r="M644"/>
      <c r="N644"/>
    </row>
    <row r="645" spans="13:14" x14ac:dyDescent="0.25">
      <c r="M645"/>
      <c r="N645"/>
    </row>
    <row r="646" spans="13:14" x14ac:dyDescent="0.25">
      <c r="M646"/>
      <c r="N646"/>
    </row>
    <row r="647" spans="13:14" x14ac:dyDescent="0.25">
      <c r="M647"/>
      <c r="N647"/>
    </row>
    <row r="648" spans="13:14" x14ac:dyDescent="0.25">
      <c r="M648"/>
      <c r="N648"/>
    </row>
    <row r="649" spans="13:14" x14ac:dyDescent="0.25">
      <c r="M649"/>
      <c r="N649"/>
    </row>
    <row r="650" spans="13:14" x14ac:dyDescent="0.25">
      <c r="M650"/>
      <c r="N650"/>
    </row>
    <row r="651" spans="13:14" x14ac:dyDescent="0.25">
      <c r="M651"/>
      <c r="N651"/>
    </row>
    <row r="652" spans="13:14" x14ac:dyDescent="0.25">
      <c r="M652"/>
      <c r="N652"/>
    </row>
    <row r="653" spans="13:14" x14ac:dyDescent="0.25">
      <c r="M653"/>
      <c r="N653"/>
    </row>
    <row r="654" spans="13:14" x14ac:dyDescent="0.25">
      <c r="M654"/>
      <c r="N654"/>
    </row>
    <row r="655" spans="13:14" x14ac:dyDescent="0.25">
      <c r="M655"/>
      <c r="N655"/>
    </row>
    <row r="656" spans="13:14" x14ac:dyDescent="0.25">
      <c r="M656"/>
      <c r="N656"/>
    </row>
    <row r="657" spans="13:14" x14ac:dyDescent="0.25">
      <c r="M657"/>
      <c r="N657"/>
    </row>
    <row r="658" spans="13:14" x14ac:dyDescent="0.25">
      <c r="M658"/>
      <c r="N658"/>
    </row>
    <row r="659" spans="13:14" x14ac:dyDescent="0.25">
      <c r="M659"/>
      <c r="N659"/>
    </row>
    <row r="660" spans="13:14" x14ac:dyDescent="0.25">
      <c r="M660"/>
      <c r="N660"/>
    </row>
    <row r="661" spans="13:14" x14ac:dyDescent="0.25">
      <c r="M661"/>
      <c r="N661"/>
    </row>
    <row r="662" spans="13:14" x14ac:dyDescent="0.25">
      <c r="M662"/>
      <c r="N662"/>
    </row>
    <row r="663" spans="13:14" x14ac:dyDescent="0.25">
      <c r="M663"/>
      <c r="N663"/>
    </row>
    <row r="664" spans="13:14" x14ac:dyDescent="0.25">
      <c r="M664"/>
      <c r="N664"/>
    </row>
    <row r="665" spans="13:14" x14ac:dyDescent="0.25">
      <c r="M665"/>
      <c r="N665"/>
    </row>
    <row r="666" spans="13:14" x14ac:dyDescent="0.25">
      <c r="M666"/>
      <c r="N666"/>
    </row>
    <row r="667" spans="13:14" x14ac:dyDescent="0.25">
      <c r="M667"/>
      <c r="N667"/>
    </row>
    <row r="668" spans="13:14" x14ac:dyDescent="0.25">
      <c r="M668"/>
      <c r="N668"/>
    </row>
    <row r="669" spans="13:14" x14ac:dyDescent="0.25">
      <c r="M669"/>
      <c r="N669"/>
    </row>
    <row r="670" spans="13:14" x14ac:dyDescent="0.25">
      <c r="M670"/>
      <c r="N670"/>
    </row>
    <row r="671" spans="13:14" x14ac:dyDescent="0.25">
      <c r="M671"/>
      <c r="N671"/>
    </row>
    <row r="672" spans="13:14" x14ac:dyDescent="0.25">
      <c r="M672"/>
      <c r="N672"/>
    </row>
    <row r="673" spans="13:14" x14ac:dyDescent="0.25">
      <c r="M673"/>
      <c r="N673"/>
    </row>
    <row r="674" spans="13:14" x14ac:dyDescent="0.25">
      <c r="M674"/>
      <c r="N674"/>
    </row>
    <row r="675" spans="13:14" x14ac:dyDescent="0.25">
      <c r="M675"/>
      <c r="N675"/>
    </row>
    <row r="676" spans="13:14" x14ac:dyDescent="0.25">
      <c r="M676"/>
      <c r="N676"/>
    </row>
    <row r="677" spans="13:14" x14ac:dyDescent="0.25">
      <c r="M677"/>
      <c r="N677"/>
    </row>
    <row r="678" spans="13:14" x14ac:dyDescent="0.25">
      <c r="M678"/>
      <c r="N678"/>
    </row>
    <row r="679" spans="13:14" x14ac:dyDescent="0.25">
      <c r="M679"/>
      <c r="N679"/>
    </row>
    <row r="680" spans="13:14" x14ac:dyDescent="0.25">
      <c r="M680"/>
      <c r="N680"/>
    </row>
    <row r="681" spans="13:14" x14ac:dyDescent="0.25">
      <c r="M681"/>
      <c r="N681"/>
    </row>
    <row r="682" spans="13:14" x14ac:dyDescent="0.25">
      <c r="M682"/>
      <c r="N682"/>
    </row>
    <row r="683" spans="13:14" x14ac:dyDescent="0.25">
      <c r="M683"/>
      <c r="N683"/>
    </row>
    <row r="684" spans="13:14" x14ac:dyDescent="0.25">
      <c r="M684"/>
      <c r="N684"/>
    </row>
    <row r="685" spans="13:14" x14ac:dyDescent="0.25">
      <c r="M685"/>
      <c r="N685"/>
    </row>
    <row r="686" spans="13:14" x14ac:dyDescent="0.25">
      <c r="M686"/>
      <c r="N686"/>
    </row>
    <row r="687" spans="13:14" x14ac:dyDescent="0.25">
      <c r="M687"/>
      <c r="N687"/>
    </row>
    <row r="688" spans="13:14" x14ac:dyDescent="0.25">
      <c r="M688"/>
      <c r="N688"/>
    </row>
    <row r="689" spans="13:14" x14ac:dyDescent="0.25">
      <c r="M689"/>
      <c r="N689"/>
    </row>
    <row r="690" spans="13:14" x14ac:dyDescent="0.25">
      <c r="M690"/>
      <c r="N690"/>
    </row>
    <row r="691" spans="13:14" x14ac:dyDescent="0.25">
      <c r="M691"/>
      <c r="N691"/>
    </row>
    <row r="692" spans="13:14" x14ac:dyDescent="0.25">
      <c r="M692"/>
      <c r="N692"/>
    </row>
    <row r="693" spans="13:14" x14ac:dyDescent="0.25">
      <c r="M693"/>
      <c r="N693"/>
    </row>
    <row r="694" spans="13:14" x14ac:dyDescent="0.25">
      <c r="M694"/>
      <c r="N694"/>
    </row>
    <row r="695" spans="13:14" x14ac:dyDescent="0.25">
      <c r="M695"/>
      <c r="N695"/>
    </row>
    <row r="696" spans="13:14" x14ac:dyDescent="0.25">
      <c r="M696"/>
      <c r="N696"/>
    </row>
    <row r="697" spans="13:14" x14ac:dyDescent="0.25">
      <c r="M697"/>
      <c r="N697"/>
    </row>
    <row r="698" spans="13:14" x14ac:dyDescent="0.25">
      <c r="M698"/>
      <c r="N698"/>
    </row>
    <row r="699" spans="13:14" x14ac:dyDescent="0.25">
      <c r="M699"/>
      <c r="N699"/>
    </row>
    <row r="700" spans="13:14" x14ac:dyDescent="0.25">
      <c r="M700"/>
      <c r="N700"/>
    </row>
    <row r="701" spans="13:14" x14ac:dyDescent="0.25">
      <c r="M701"/>
      <c r="N701"/>
    </row>
    <row r="702" spans="13:14" x14ac:dyDescent="0.25">
      <c r="M702"/>
      <c r="N702"/>
    </row>
    <row r="703" spans="13:14" x14ac:dyDescent="0.25">
      <c r="M703"/>
      <c r="N703"/>
    </row>
    <row r="704" spans="13:14" x14ac:dyDescent="0.25">
      <c r="M704"/>
      <c r="N704"/>
    </row>
    <row r="705" spans="13:14" x14ac:dyDescent="0.25">
      <c r="M705"/>
      <c r="N705"/>
    </row>
    <row r="706" spans="13:14" x14ac:dyDescent="0.25">
      <c r="M706"/>
      <c r="N706"/>
    </row>
    <row r="707" spans="13:14" x14ac:dyDescent="0.25">
      <c r="M707"/>
      <c r="N707"/>
    </row>
    <row r="708" spans="13:14" x14ac:dyDescent="0.25">
      <c r="M708"/>
      <c r="N708"/>
    </row>
    <row r="709" spans="13:14" x14ac:dyDescent="0.25">
      <c r="M709"/>
      <c r="N709"/>
    </row>
    <row r="710" spans="13:14" x14ac:dyDescent="0.25">
      <c r="M710"/>
      <c r="N710"/>
    </row>
    <row r="711" spans="13:14" x14ac:dyDescent="0.25">
      <c r="M711"/>
      <c r="N711"/>
    </row>
    <row r="712" spans="13:14" x14ac:dyDescent="0.25">
      <c r="M712"/>
      <c r="N712"/>
    </row>
    <row r="713" spans="13:14" x14ac:dyDescent="0.25">
      <c r="M713"/>
      <c r="N713"/>
    </row>
    <row r="714" spans="13:14" x14ac:dyDescent="0.25">
      <c r="M714"/>
      <c r="N714"/>
    </row>
    <row r="715" spans="13:14" x14ac:dyDescent="0.25">
      <c r="M715"/>
      <c r="N715"/>
    </row>
    <row r="716" spans="13:14" x14ac:dyDescent="0.25">
      <c r="M716"/>
      <c r="N716"/>
    </row>
    <row r="717" spans="13:14" x14ac:dyDescent="0.25">
      <c r="M717"/>
      <c r="N717"/>
    </row>
    <row r="718" spans="13:14" x14ac:dyDescent="0.25">
      <c r="M718"/>
      <c r="N718"/>
    </row>
    <row r="719" spans="13:14" x14ac:dyDescent="0.25">
      <c r="M719"/>
      <c r="N719"/>
    </row>
    <row r="720" spans="13:14" x14ac:dyDescent="0.25">
      <c r="M720"/>
      <c r="N720"/>
    </row>
    <row r="721" spans="13:14" x14ac:dyDescent="0.25">
      <c r="M721"/>
      <c r="N721"/>
    </row>
    <row r="722" spans="13:14" x14ac:dyDescent="0.25">
      <c r="M722"/>
      <c r="N722"/>
    </row>
    <row r="723" spans="13:14" x14ac:dyDescent="0.25">
      <c r="M723"/>
      <c r="N723"/>
    </row>
    <row r="724" spans="13:14" x14ac:dyDescent="0.25">
      <c r="M724"/>
      <c r="N724"/>
    </row>
    <row r="725" spans="13:14" x14ac:dyDescent="0.25">
      <c r="M725"/>
      <c r="N725"/>
    </row>
    <row r="726" spans="13:14" x14ac:dyDescent="0.25">
      <c r="M726"/>
      <c r="N726"/>
    </row>
    <row r="727" spans="13:14" x14ac:dyDescent="0.25">
      <c r="M727"/>
      <c r="N727"/>
    </row>
    <row r="728" spans="13:14" x14ac:dyDescent="0.25">
      <c r="M728"/>
      <c r="N728"/>
    </row>
    <row r="729" spans="13:14" x14ac:dyDescent="0.25">
      <c r="M729"/>
      <c r="N729"/>
    </row>
    <row r="730" spans="13:14" x14ac:dyDescent="0.25">
      <c r="M730"/>
      <c r="N730"/>
    </row>
    <row r="731" spans="13:14" x14ac:dyDescent="0.25">
      <c r="M731"/>
      <c r="N731"/>
    </row>
    <row r="732" spans="13:14" x14ac:dyDescent="0.25">
      <c r="M732"/>
      <c r="N732"/>
    </row>
    <row r="733" spans="13:14" x14ac:dyDescent="0.25">
      <c r="M733"/>
      <c r="N733"/>
    </row>
    <row r="734" spans="13:14" x14ac:dyDescent="0.25">
      <c r="M734"/>
      <c r="N734"/>
    </row>
    <row r="735" spans="13:14" x14ac:dyDescent="0.25">
      <c r="M735"/>
      <c r="N735"/>
    </row>
    <row r="736" spans="13:14" x14ac:dyDescent="0.25">
      <c r="M736"/>
      <c r="N736"/>
    </row>
    <row r="737" spans="13:14" x14ac:dyDescent="0.25">
      <c r="M737"/>
      <c r="N737"/>
    </row>
    <row r="738" spans="13:14" x14ac:dyDescent="0.25">
      <c r="M738"/>
      <c r="N738"/>
    </row>
    <row r="739" spans="13:14" x14ac:dyDescent="0.25">
      <c r="M739"/>
      <c r="N739"/>
    </row>
    <row r="740" spans="13:14" x14ac:dyDescent="0.25">
      <c r="M740"/>
      <c r="N740"/>
    </row>
    <row r="741" spans="13:14" x14ac:dyDescent="0.25">
      <c r="M741"/>
      <c r="N741"/>
    </row>
    <row r="742" spans="13:14" x14ac:dyDescent="0.25">
      <c r="M742"/>
      <c r="N742"/>
    </row>
    <row r="743" spans="13:14" x14ac:dyDescent="0.25">
      <c r="M743"/>
      <c r="N743"/>
    </row>
    <row r="744" spans="13:14" x14ac:dyDescent="0.25">
      <c r="M744"/>
      <c r="N744"/>
    </row>
    <row r="745" spans="13:14" x14ac:dyDescent="0.25">
      <c r="M745"/>
      <c r="N745"/>
    </row>
    <row r="746" spans="13:14" x14ac:dyDescent="0.25">
      <c r="M746"/>
      <c r="N746"/>
    </row>
    <row r="747" spans="13:14" x14ac:dyDescent="0.25">
      <c r="M747"/>
      <c r="N747"/>
    </row>
    <row r="748" spans="13:14" x14ac:dyDescent="0.25">
      <c r="M748"/>
      <c r="N748"/>
    </row>
    <row r="749" spans="13:14" x14ac:dyDescent="0.25">
      <c r="M749"/>
      <c r="N749"/>
    </row>
    <row r="750" spans="13:14" x14ac:dyDescent="0.25">
      <c r="M750"/>
      <c r="N750"/>
    </row>
    <row r="751" spans="13:14" x14ac:dyDescent="0.25">
      <c r="M751"/>
      <c r="N751"/>
    </row>
    <row r="752" spans="13:14" x14ac:dyDescent="0.25">
      <c r="M752"/>
      <c r="N752"/>
    </row>
    <row r="753" spans="13:14" x14ac:dyDescent="0.25">
      <c r="M753"/>
      <c r="N753"/>
    </row>
    <row r="754" spans="13:14" x14ac:dyDescent="0.25">
      <c r="M754"/>
      <c r="N754"/>
    </row>
    <row r="755" spans="13:14" x14ac:dyDescent="0.25">
      <c r="M755"/>
      <c r="N755"/>
    </row>
    <row r="756" spans="13:14" x14ac:dyDescent="0.25">
      <c r="M756"/>
      <c r="N756"/>
    </row>
    <row r="757" spans="13:14" x14ac:dyDescent="0.25">
      <c r="M757"/>
      <c r="N757"/>
    </row>
    <row r="758" spans="13:14" x14ac:dyDescent="0.25">
      <c r="M758"/>
      <c r="N758"/>
    </row>
    <row r="759" spans="13:14" x14ac:dyDescent="0.25">
      <c r="M759"/>
      <c r="N759"/>
    </row>
    <row r="760" spans="13:14" x14ac:dyDescent="0.25">
      <c r="M760"/>
      <c r="N760"/>
    </row>
    <row r="761" spans="13:14" x14ac:dyDescent="0.25">
      <c r="M761"/>
      <c r="N761"/>
    </row>
    <row r="762" spans="13:14" x14ac:dyDescent="0.25">
      <c r="M762"/>
      <c r="N762"/>
    </row>
    <row r="763" spans="13:14" x14ac:dyDescent="0.25">
      <c r="M763"/>
      <c r="N763"/>
    </row>
    <row r="764" spans="13:14" x14ac:dyDescent="0.25">
      <c r="M764"/>
      <c r="N764"/>
    </row>
    <row r="765" spans="13:14" x14ac:dyDescent="0.25">
      <c r="M765"/>
      <c r="N765"/>
    </row>
    <row r="766" spans="13:14" x14ac:dyDescent="0.25">
      <c r="M766"/>
      <c r="N766"/>
    </row>
    <row r="767" spans="13:14" x14ac:dyDescent="0.25">
      <c r="M767"/>
      <c r="N767"/>
    </row>
    <row r="768" spans="13:14" x14ac:dyDescent="0.25">
      <c r="M768"/>
      <c r="N768"/>
    </row>
    <row r="769" spans="13:14" x14ac:dyDescent="0.25">
      <c r="M769"/>
      <c r="N769"/>
    </row>
    <row r="770" spans="13:14" x14ac:dyDescent="0.25">
      <c r="M770"/>
      <c r="N770"/>
    </row>
    <row r="771" spans="13:14" x14ac:dyDescent="0.25">
      <c r="M771"/>
      <c r="N771"/>
    </row>
    <row r="772" spans="13:14" x14ac:dyDescent="0.25">
      <c r="M772"/>
      <c r="N772"/>
    </row>
    <row r="773" spans="13:14" x14ac:dyDescent="0.25">
      <c r="M773"/>
      <c r="N773"/>
    </row>
    <row r="774" spans="13:14" x14ac:dyDescent="0.25">
      <c r="M774"/>
      <c r="N774"/>
    </row>
    <row r="775" spans="13:14" x14ac:dyDescent="0.25">
      <c r="M775"/>
      <c r="N775"/>
    </row>
    <row r="776" spans="13:14" x14ac:dyDescent="0.25">
      <c r="M776"/>
      <c r="N776"/>
    </row>
    <row r="777" spans="13:14" x14ac:dyDescent="0.25">
      <c r="M777"/>
      <c r="N777"/>
    </row>
    <row r="778" spans="13:14" x14ac:dyDescent="0.25">
      <c r="M778"/>
      <c r="N778"/>
    </row>
    <row r="779" spans="13:14" x14ac:dyDescent="0.25">
      <c r="M779"/>
      <c r="N779"/>
    </row>
    <row r="780" spans="13:14" x14ac:dyDescent="0.25">
      <c r="M780"/>
      <c r="N780"/>
    </row>
    <row r="781" spans="13:14" x14ac:dyDescent="0.25">
      <c r="M781"/>
      <c r="N781"/>
    </row>
    <row r="782" spans="13:14" x14ac:dyDescent="0.25">
      <c r="M782"/>
      <c r="N782"/>
    </row>
    <row r="783" spans="13:14" x14ac:dyDescent="0.25">
      <c r="M783"/>
      <c r="N783"/>
    </row>
    <row r="784" spans="13:14" x14ac:dyDescent="0.25">
      <c r="M784"/>
      <c r="N784"/>
    </row>
    <row r="785" spans="13:14" x14ac:dyDescent="0.25">
      <c r="M785"/>
      <c r="N785"/>
    </row>
    <row r="786" spans="13:14" x14ac:dyDescent="0.25">
      <c r="M786"/>
      <c r="N786"/>
    </row>
    <row r="787" spans="13:14" x14ac:dyDescent="0.25">
      <c r="M787"/>
      <c r="N787"/>
    </row>
    <row r="788" spans="13:14" x14ac:dyDescent="0.25">
      <c r="M788"/>
      <c r="N788"/>
    </row>
    <row r="789" spans="13:14" x14ac:dyDescent="0.25">
      <c r="M789"/>
      <c r="N789"/>
    </row>
    <row r="790" spans="13:14" x14ac:dyDescent="0.25">
      <c r="M790"/>
      <c r="N790"/>
    </row>
    <row r="791" spans="13:14" x14ac:dyDescent="0.25">
      <c r="M791"/>
      <c r="N791"/>
    </row>
    <row r="792" spans="13:14" x14ac:dyDescent="0.25">
      <c r="M792"/>
      <c r="N792"/>
    </row>
    <row r="793" spans="13:14" x14ac:dyDescent="0.25">
      <c r="M793"/>
      <c r="N793"/>
    </row>
    <row r="794" spans="13:14" x14ac:dyDescent="0.25">
      <c r="M794"/>
      <c r="N794"/>
    </row>
    <row r="795" spans="13:14" x14ac:dyDescent="0.25">
      <c r="M795"/>
      <c r="N795"/>
    </row>
    <row r="796" spans="13:14" x14ac:dyDescent="0.25">
      <c r="M796"/>
      <c r="N796"/>
    </row>
    <row r="797" spans="13:14" x14ac:dyDescent="0.25">
      <c r="M797"/>
      <c r="N797"/>
    </row>
    <row r="798" spans="13:14" x14ac:dyDescent="0.25">
      <c r="M798"/>
      <c r="N798"/>
    </row>
    <row r="799" spans="13:14" x14ac:dyDescent="0.25">
      <c r="M799"/>
      <c r="N799"/>
    </row>
    <row r="800" spans="13:14" x14ac:dyDescent="0.25">
      <c r="M800"/>
      <c r="N800"/>
    </row>
    <row r="801" spans="13:14" x14ac:dyDescent="0.25">
      <c r="M801"/>
      <c r="N801"/>
    </row>
    <row r="802" spans="13:14" x14ac:dyDescent="0.25">
      <c r="M802"/>
      <c r="N802"/>
    </row>
    <row r="803" spans="13:14" x14ac:dyDescent="0.25">
      <c r="M803"/>
      <c r="N803"/>
    </row>
    <row r="804" spans="13:14" x14ac:dyDescent="0.25">
      <c r="M804"/>
      <c r="N804"/>
    </row>
    <row r="805" spans="13:14" x14ac:dyDescent="0.25">
      <c r="M805"/>
      <c r="N805"/>
    </row>
    <row r="806" spans="13:14" x14ac:dyDescent="0.25">
      <c r="M806"/>
      <c r="N806"/>
    </row>
    <row r="807" spans="13:14" x14ac:dyDescent="0.25">
      <c r="M807"/>
      <c r="N807"/>
    </row>
    <row r="808" spans="13:14" x14ac:dyDescent="0.25">
      <c r="M808"/>
      <c r="N808"/>
    </row>
    <row r="809" spans="13:14" x14ac:dyDescent="0.25">
      <c r="M809"/>
      <c r="N809"/>
    </row>
    <row r="810" spans="13:14" x14ac:dyDescent="0.25">
      <c r="M810"/>
      <c r="N810"/>
    </row>
    <row r="811" spans="13:14" x14ac:dyDescent="0.25">
      <c r="M811"/>
      <c r="N811"/>
    </row>
    <row r="812" spans="13:14" x14ac:dyDescent="0.25">
      <c r="M812"/>
      <c r="N812"/>
    </row>
    <row r="813" spans="13:14" x14ac:dyDescent="0.25">
      <c r="M813"/>
      <c r="N813"/>
    </row>
    <row r="814" spans="13:14" x14ac:dyDescent="0.25">
      <c r="M814"/>
      <c r="N814"/>
    </row>
    <row r="815" spans="13:14" x14ac:dyDescent="0.25">
      <c r="M815"/>
      <c r="N815"/>
    </row>
    <row r="816" spans="13:14" x14ac:dyDescent="0.25">
      <c r="M816"/>
      <c r="N816"/>
    </row>
    <row r="817" spans="13:14" x14ac:dyDescent="0.25">
      <c r="M817"/>
      <c r="N817"/>
    </row>
    <row r="818" spans="13:14" x14ac:dyDescent="0.25">
      <c r="M818"/>
      <c r="N818"/>
    </row>
    <row r="819" spans="13:14" x14ac:dyDescent="0.25">
      <c r="M819"/>
      <c r="N819"/>
    </row>
    <row r="820" spans="13:14" x14ac:dyDescent="0.25">
      <c r="M820"/>
      <c r="N820"/>
    </row>
    <row r="821" spans="13:14" x14ac:dyDescent="0.25">
      <c r="M821"/>
      <c r="N821"/>
    </row>
    <row r="822" spans="13:14" x14ac:dyDescent="0.25">
      <c r="M822"/>
      <c r="N822"/>
    </row>
    <row r="823" spans="13:14" x14ac:dyDescent="0.25">
      <c r="M823"/>
      <c r="N823"/>
    </row>
    <row r="824" spans="13:14" x14ac:dyDescent="0.25">
      <c r="M824"/>
      <c r="N824"/>
    </row>
    <row r="825" spans="13:14" x14ac:dyDescent="0.25">
      <c r="M825"/>
      <c r="N825"/>
    </row>
    <row r="826" spans="13:14" x14ac:dyDescent="0.25">
      <c r="M826"/>
      <c r="N826"/>
    </row>
    <row r="827" spans="13:14" x14ac:dyDescent="0.25">
      <c r="M827"/>
      <c r="N827"/>
    </row>
    <row r="828" spans="13:14" x14ac:dyDescent="0.25">
      <c r="M828"/>
      <c r="N828"/>
    </row>
    <row r="829" spans="13:14" x14ac:dyDescent="0.25">
      <c r="M829"/>
      <c r="N829"/>
    </row>
    <row r="830" spans="13:14" x14ac:dyDescent="0.25">
      <c r="M830"/>
      <c r="N830"/>
    </row>
    <row r="831" spans="13:14" x14ac:dyDescent="0.25">
      <c r="M831"/>
      <c r="N831"/>
    </row>
    <row r="832" spans="13:14" x14ac:dyDescent="0.25">
      <c r="M832"/>
      <c r="N832"/>
    </row>
    <row r="833" spans="13:14" x14ac:dyDescent="0.25">
      <c r="M833"/>
      <c r="N833"/>
    </row>
    <row r="834" spans="13:14" x14ac:dyDescent="0.25">
      <c r="M834"/>
      <c r="N834"/>
    </row>
    <row r="835" spans="13:14" x14ac:dyDescent="0.25">
      <c r="M835"/>
      <c r="N835"/>
    </row>
    <row r="836" spans="13:14" x14ac:dyDescent="0.25">
      <c r="M836"/>
      <c r="N836"/>
    </row>
    <row r="837" spans="13:14" x14ac:dyDescent="0.25">
      <c r="M837"/>
      <c r="N837"/>
    </row>
    <row r="838" spans="13:14" x14ac:dyDescent="0.25">
      <c r="M838"/>
      <c r="N838"/>
    </row>
    <row r="839" spans="13:14" x14ac:dyDescent="0.25">
      <c r="M839"/>
      <c r="N839"/>
    </row>
    <row r="840" spans="13:14" x14ac:dyDescent="0.25">
      <c r="M840"/>
      <c r="N840"/>
    </row>
    <row r="841" spans="13:14" x14ac:dyDescent="0.25">
      <c r="M841"/>
      <c r="N841"/>
    </row>
    <row r="842" spans="13:14" x14ac:dyDescent="0.25">
      <c r="M842"/>
      <c r="N842"/>
    </row>
    <row r="843" spans="13:14" x14ac:dyDescent="0.25">
      <c r="M843"/>
      <c r="N843"/>
    </row>
    <row r="844" spans="13:14" x14ac:dyDescent="0.25">
      <c r="M844"/>
      <c r="N844"/>
    </row>
    <row r="845" spans="13:14" x14ac:dyDescent="0.25">
      <c r="M845"/>
      <c r="N845"/>
    </row>
    <row r="846" spans="13:14" x14ac:dyDescent="0.25">
      <c r="M846"/>
      <c r="N846"/>
    </row>
    <row r="847" spans="13:14" x14ac:dyDescent="0.25">
      <c r="M847"/>
      <c r="N847"/>
    </row>
    <row r="848" spans="13:14" x14ac:dyDescent="0.25">
      <c r="M848"/>
      <c r="N848"/>
    </row>
    <row r="849" spans="13:14" x14ac:dyDescent="0.25">
      <c r="M849"/>
      <c r="N849"/>
    </row>
    <row r="850" spans="13:14" x14ac:dyDescent="0.25">
      <c r="M850"/>
      <c r="N850"/>
    </row>
    <row r="851" spans="13:14" x14ac:dyDescent="0.25">
      <c r="M851"/>
      <c r="N851"/>
    </row>
    <row r="852" spans="13:14" x14ac:dyDescent="0.25">
      <c r="M852"/>
      <c r="N852"/>
    </row>
    <row r="853" spans="13:14" x14ac:dyDescent="0.25">
      <c r="M853"/>
      <c r="N853"/>
    </row>
    <row r="854" spans="13:14" x14ac:dyDescent="0.25">
      <c r="M854"/>
      <c r="N854"/>
    </row>
    <row r="855" spans="13:14" x14ac:dyDescent="0.25">
      <c r="M855"/>
      <c r="N855"/>
    </row>
    <row r="856" spans="13:14" x14ac:dyDescent="0.25">
      <c r="M856"/>
      <c r="N856"/>
    </row>
    <row r="857" spans="13:14" x14ac:dyDescent="0.25">
      <c r="M857"/>
      <c r="N857"/>
    </row>
    <row r="858" spans="13:14" x14ac:dyDescent="0.25">
      <c r="M858"/>
      <c r="N858"/>
    </row>
    <row r="859" spans="13:14" x14ac:dyDescent="0.25">
      <c r="M859"/>
      <c r="N859"/>
    </row>
    <row r="860" spans="13:14" x14ac:dyDescent="0.25">
      <c r="M860"/>
      <c r="N860"/>
    </row>
    <row r="861" spans="13:14" x14ac:dyDescent="0.25">
      <c r="M861"/>
      <c r="N861"/>
    </row>
    <row r="862" spans="13:14" x14ac:dyDescent="0.25">
      <c r="M862"/>
      <c r="N862"/>
    </row>
    <row r="863" spans="13:14" x14ac:dyDescent="0.25">
      <c r="M863"/>
      <c r="N863"/>
    </row>
    <row r="864" spans="13:14" x14ac:dyDescent="0.25">
      <c r="M864"/>
      <c r="N864"/>
    </row>
    <row r="865" spans="13:14" x14ac:dyDescent="0.25">
      <c r="M865"/>
      <c r="N865"/>
    </row>
    <row r="866" spans="13:14" x14ac:dyDescent="0.25">
      <c r="M866"/>
      <c r="N866"/>
    </row>
    <row r="867" spans="13:14" x14ac:dyDescent="0.25">
      <c r="M867"/>
      <c r="N867"/>
    </row>
    <row r="868" spans="13:14" x14ac:dyDescent="0.25">
      <c r="M868"/>
      <c r="N868"/>
    </row>
    <row r="869" spans="13:14" x14ac:dyDescent="0.25">
      <c r="M869"/>
      <c r="N869"/>
    </row>
    <row r="870" spans="13:14" x14ac:dyDescent="0.25">
      <c r="M870"/>
      <c r="N870"/>
    </row>
    <row r="871" spans="13:14" x14ac:dyDescent="0.25">
      <c r="M871"/>
      <c r="N871"/>
    </row>
    <row r="872" spans="13:14" x14ac:dyDescent="0.25">
      <c r="M872"/>
      <c r="N872"/>
    </row>
    <row r="873" spans="13:14" x14ac:dyDescent="0.25">
      <c r="M873"/>
      <c r="N873"/>
    </row>
    <row r="874" spans="13:14" x14ac:dyDescent="0.25">
      <c r="M874"/>
      <c r="N874"/>
    </row>
    <row r="875" spans="13:14" x14ac:dyDescent="0.25">
      <c r="M875"/>
      <c r="N875"/>
    </row>
    <row r="876" spans="13:14" x14ac:dyDescent="0.25">
      <c r="M876"/>
      <c r="N876"/>
    </row>
    <row r="877" spans="13:14" x14ac:dyDescent="0.25">
      <c r="M877"/>
      <c r="N877"/>
    </row>
    <row r="878" spans="13:14" x14ac:dyDescent="0.25">
      <c r="M878"/>
      <c r="N878"/>
    </row>
    <row r="879" spans="13:14" x14ac:dyDescent="0.25">
      <c r="M879"/>
      <c r="N879"/>
    </row>
    <row r="880" spans="13:14" x14ac:dyDescent="0.25">
      <c r="M880"/>
      <c r="N880"/>
    </row>
    <row r="881" spans="13:14" x14ac:dyDescent="0.25">
      <c r="M881"/>
      <c r="N881"/>
    </row>
    <row r="882" spans="13:14" x14ac:dyDescent="0.25">
      <c r="M882"/>
      <c r="N882"/>
    </row>
    <row r="883" spans="13:14" x14ac:dyDescent="0.25">
      <c r="M883"/>
      <c r="N883"/>
    </row>
    <row r="884" spans="13:14" x14ac:dyDescent="0.25">
      <c r="M884"/>
      <c r="N884"/>
    </row>
    <row r="885" spans="13:14" x14ac:dyDescent="0.25">
      <c r="M885"/>
      <c r="N885"/>
    </row>
    <row r="886" spans="13:14" x14ac:dyDescent="0.25">
      <c r="M886"/>
      <c r="N886"/>
    </row>
    <row r="887" spans="13:14" x14ac:dyDescent="0.25">
      <c r="M887"/>
      <c r="N887"/>
    </row>
    <row r="888" spans="13:14" x14ac:dyDescent="0.25">
      <c r="M888"/>
      <c r="N888"/>
    </row>
    <row r="889" spans="13:14" x14ac:dyDescent="0.25">
      <c r="M889"/>
      <c r="N889"/>
    </row>
    <row r="890" spans="13:14" x14ac:dyDescent="0.25">
      <c r="M890"/>
      <c r="N890"/>
    </row>
    <row r="891" spans="13:14" x14ac:dyDescent="0.25">
      <c r="M891"/>
      <c r="N891"/>
    </row>
    <row r="892" spans="13:14" x14ac:dyDescent="0.25">
      <c r="M892"/>
      <c r="N892"/>
    </row>
    <row r="893" spans="13:14" x14ac:dyDescent="0.25">
      <c r="M893"/>
      <c r="N893"/>
    </row>
    <row r="894" spans="13:14" x14ac:dyDescent="0.25">
      <c r="M894"/>
      <c r="N894"/>
    </row>
    <row r="895" spans="13:14" x14ac:dyDescent="0.25">
      <c r="M895"/>
      <c r="N895"/>
    </row>
    <row r="896" spans="13:14" x14ac:dyDescent="0.25">
      <c r="M896"/>
      <c r="N896"/>
    </row>
    <row r="897" spans="13:14" x14ac:dyDescent="0.25">
      <c r="M897"/>
      <c r="N897"/>
    </row>
    <row r="898" spans="13:14" x14ac:dyDescent="0.25">
      <c r="M898"/>
      <c r="N898"/>
    </row>
    <row r="899" spans="13:14" x14ac:dyDescent="0.25">
      <c r="M899"/>
      <c r="N899"/>
    </row>
    <row r="900" spans="13:14" x14ac:dyDescent="0.25">
      <c r="M900"/>
      <c r="N900"/>
    </row>
    <row r="901" spans="13:14" x14ac:dyDescent="0.25">
      <c r="M901"/>
      <c r="N901"/>
    </row>
    <row r="902" spans="13:14" x14ac:dyDescent="0.25">
      <c r="M902"/>
      <c r="N902"/>
    </row>
    <row r="903" spans="13:14" x14ac:dyDescent="0.25">
      <c r="M903"/>
      <c r="N903"/>
    </row>
    <row r="904" spans="13:14" x14ac:dyDescent="0.25">
      <c r="M904"/>
      <c r="N904"/>
    </row>
    <row r="905" spans="13:14" x14ac:dyDescent="0.25">
      <c r="M905"/>
      <c r="N905"/>
    </row>
    <row r="906" spans="13:14" x14ac:dyDescent="0.25">
      <c r="M906"/>
      <c r="N906"/>
    </row>
    <row r="907" spans="13:14" x14ac:dyDescent="0.25">
      <c r="M907"/>
      <c r="N907"/>
    </row>
    <row r="908" spans="13:14" x14ac:dyDescent="0.25">
      <c r="M908"/>
      <c r="N908"/>
    </row>
    <row r="909" spans="13:14" x14ac:dyDescent="0.25">
      <c r="M909"/>
      <c r="N909"/>
    </row>
    <row r="910" spans="13:14" x14ac:dyDescent="0.25">
      <c r="M910"/>
      <c r="N910"/>
    </row>
    <row r="911" spans="13:14" x14ac:dyDescent="0.25">
      <c r="M911"/>
      <c r="N911"/>
    </row>
    <row r="912" spans="13:14" x14ac:dyDescent="0.25">
      <c r="M912"/>
      <c r="N912"/>
    </row>
    <row r="913" spans="13:14" x14ac:dyDescent="0.25">
      <c r="M913"/>
      <c r="N913"/>
    </row>
    <row r="914" spans="13:14" x14ac:dyDescent="0.25">
      <c r="M914"/>
      <c r="N914"/>
    </row>
    <row r="915" spans="13:14" x14ac:dyDescent="0.25">
      <c r="M915"/>
      <c r="N915"/>
    </row>
    <row r="916" spans="13:14" x14ac:dyDescent="0.25">
      <c r="M916"/>
      <c r="N916"/>
    </row>
    <row r="917" spans="13:14" x14ac:dyDescent="0.25">
      <c r="M917"/>
      <c r="N917"/>
    </row>
    <row r="918" spans="13:14" x14ac:dyDescent="0.25">
      <c r="M918"/>
      <c r="N918"/>
    </row>
    <row r="919" spans="13:14" x14ac:dyDescent="0.25">
      <c r="M919"/>
      <c r="N919"/>
    </row>
    <row r="920" spans="13:14" x14ac:dyDescent="0.25">
      <c r="M920"/>
      <c r="N920"/>
    </row>
    <row r="921" spans="13:14" x14ac:dyDescent="0.25">
      <c r="M921"/>
      <c r="N921"/>
    </row>
    <row r="922" spans="13:14" x14ac:dyDescent="0.25">
      <c r="M922"/>
      <c r="N922"/>
    </row>
    <row r="923" spans="13:14" x14ac:dyDescent="0.25">
      <c r="M923"/>
      <c r="N923"/>
    </row>
    <row r="924" spans="13:14" x14ac:dyDescent="0.25">
      <c r="M924"/>
      <c r="N924"/>
    </row>
    <row r="925" spans="13:14" x14ac:dyDescent="0.25">
      <c r="M925"/>
      <c r="N925"/>
    </row>
    <row r="926" spans="13:14" x14ac:dyDescent="0.25">
      <c r="M926"/>
      <c r="N926"/>
    </row>
    <row r="927" spans="13:14" x14ac:dyDescent="0.25">
      <c r="M927"/>
      <c r="N927"/>
    </row>
    <row r="928" spans="13:14" x14ac:dyDescent="0.25">
      <c r="M928"/>
      <c r="N928"/>
    </row>
    <row r="929" spans="13:14" x14ac:dyDescent="0.25">
      <c r="M929"/>
      <c r="N929"/>
    </row>
    <row r="930" spans="13:14" x14ac:dyDescent="0.25">
      <c r="M930"/>
      <c r="N930"/>
    </row>
    <row r="931" spans="13:14" x14ac:dyDescent="0.25">
      <c r="M931"/>
      <c r="N931"/>
    </row>
    <row r="932" spans="13:14" x14ac:dyDescent="0.25">
      <c r="M932"/>
      <c r="N932"/>
    </row>
    <row r="933" spans="13:14" x14ac:dyDescent="0.25">
      <c r="M933"/>
      <c r="N933"/>
    </row>
    <row r="934" spans="13:14" x14ac:dyDescent="0.25">
      <c r="M934"/>
      <c r="N934"/>
    </row>
    <row r="935" spans="13:14" x14ac:dyDescent="0.25">
      <c r="M935"/>
      <c r="N935"/>
    </row>
    <row r="936" spans="13:14" x14ac:dyDescent="0.25">
      <c r="M936"/>
      <c r="N936"/>
    </row>
    <row r="937" spans="13:14" x14ac:dyDescent="0.25">
      <c r="M937"/>
      <c r="N937"/>
    </row>
    <row r="938" spans="13:14" x14ac:dyDescent="0.25">
      <c r="M938"/>
      <c r="N938"/>
    </row>
    <row r="939" spans="13:14" x14ac:dyDescent="0.25">
      <c r="M939"/>
      <c r="N939"/>
    </row>
    <row r="940" spans="13:14" x14ac:dyDescent="0.25">
      <c r="M940"/>
      <c r="N940"/>
    </row>
    <row r="941" spans="13:14" x14ac:dyDescent="0.25">
      <c r="M941"/>
      <c r="N941"/>
    </row>
    <row r="942" spans="13:14" x14ac:dyDescent="0.25">
      <c r="M942"/>
      <c r="N942"/>
    </row>
    <row r="943" spans="13:14" x14ac:dyDescent="0.25">
      <c r="M943"/>
      <c r="N943"/>
    </row>
    <row r="944" spans="13:14" x14ac:dyDescent="0.25">
      <c r="M944"/>
      <c r="N944"/>
    </row>
    <row r="945" spans="13:14" x14ac:dyDescent="0.25">
      <c r="M945"/>
      <c r="N945"/>
    </row>
    <row r="946" spans="13:14" x14ac:dyDescent="0.25">
      <c r="M946"/>
      <c r="N946"/>
    </row>
    <row r="947" spans="13:14" x14ac:dyDescent="0.25">
      <c r="M947"/>
      <c r="N947"/>
    </row>
    <row r="948" spans="13:14" x14ac:dyDescent="0.25">
      <c r="M948"/>
      <c r="N948"/>
    </row>
    <row r="949" spans="13:14" x14ac:dyDescent="0.25">
      <c r="M949"/>
      <c r="N949"/>
    </row>
    <row r="950" spans="13:14" x14ac:dyDescent="0.25">
      <c r="M950"/>
      <c r="N950"/>
    </row>
    <row r="951" spans="13:14" x14ac:dyDescent="0.25">
      <c r="M951"/>
      <c r="N951"/>
    </row>
    <row r="952" spans="13:14" x14ac:dyDescent="0.25">
      <c r="M952"/>
      <c r="N952"/>
    </row>
    <row r="953" spans="13:14" x14ac:dyDescent="0.25">
      <c r="M953"/>
      <c r="N953"/>
    </row>
    <row r="954" spans="13:14" x14ac:dyDescent="0.25">
      <c r="M954"/>
      <c r="N954"/>
    </row>
    <row r="955" spans="13:14" x14ac:dyDescent="0.25">
      <c r="M955"/>
      <c r="N955"/>
    </row>
    <row r="956" spans="13:14" x14ac:dyDescent="0.25">
      <c r="M956"/>
      <c r="N956"/>
    </row>
    <row r="957" spans="13:14" x14ac:dyDescent="0.25">
      <c r="M957"/>
      <c r="N957"/>
    </row>
    <row r="958" spans="13:14" x14ac:dyDescent="0.25">
      <c r="M958"/>
      <c r="N958"/>
    </row>
    <row r="959" spans="13:14" x14ac:dyDescent="0.25">
      <c r="M959"/>
      <c r="N959"/>
    </row>
    <row r="960" spans="13:14" x14ac:dyDescent="0.25">
      <c r="M960"/>
      <c r="N960"/>
    </row>
    <row r="961" spans="13:14" x14ac:dyDescent="0.25">
      <c r="M961"/>
      <c r="N961"/>
    </row>
    <row r="962" spans="13:14" x14ac:dyDescent="0.25">
      <c r="M962"/>
      <c r="N962"/>
    </row>
    <row r="963" spans="13:14" x14ac:dyDescent="0.25">
      <c r="M963"/>
      <c r="N963"/>
    </row>
    <row r="964" spans="13:14" x14ac:dyDescent="0.25">
      <c r="M964"/>
      <c r="N964"/>
    </row>
    <row r="965" spans="13:14" x14ac:dyDescent="0.25">
      <c r="M965"/>
      <c r="N965"/>
    </row>
    <row r="966" spans="13:14" x14ac:dyDescent="0.25">
      <c r="M966"/>
      <c r="N966"/>
    </row>
    <row r="967" spans="13:14" x14ac:dyDescent="0.25">
      <c r="M967"/>
      <c r="N967"/>
    </row>
    <row r="968" spans="13:14" x14ac:dyDescent="0.25">
      <c r="M968"/>
      <c r="N968"/>
    </row>
    <row r="969" spans="13:14" x14ac:dyDescent="0.25">
      <c r="M969"/>
      <c r="N969"/>
    </row>
    <row r="970" spans="13:14" x14ac:dyDescent="0.25">
      <c r="M970"/>
      <c r="N970"/>
    </row>
    <row r="971" spans="13:14" x14ac:dyDescent="0.25">
      <c r="M971"/>
      <c r="N971"/>
    </row>
    <row r="972" spans="13:14" x14ac:dyDescent="0.25">
      <c r="M972"/>
      <c r="N972"/>
    </row>
    <row r="973" spans="13:14" x14ac:dyDescent="0.25">
      <c r="M973"/>
      <c r="N973"/>
    </row>
    <row r="974" spans="13:14" x14ac:dyDescent="0.25">
      <c r="M974"/>
      <c r="N974"/>
    </row>
    <row r="975" spans="13:14" x14ac:dyDescent="0.25">
      <c r="M975"/>
      <c r="N975"/>
    </row>
    <row r="976" spans="13:14" x14ac:dyDescent="0.25">
      <c r="M976"/>
      <c r="N976"/>
    </row>
    <row r="977" spans="13:14" x14ac:dyDescent="0.25">
      <c r="M977"/>
      <c r="N977"/>
    </row>
    <row r="978" spans="13:14" x14ac:dyDescent="0.25">
      <c r="M978"/>
      <c r="N978"/>
    </row>
    <row r="979" spans="13:14" x14ac:dyDescent="0.25">
      <c r="M979"/>
      <c r="N979"/>
    </row>
    <row r="980" spans="13:14" x14ac:dyDescent="0.25">
      <c r="M980"/>
      <c r="N980"/>
    </row>
    <row r="981" spans="13:14" x14ac:dyDescent="0.25">
      <c r="M981"/>
      <c r="N981"/>
    </row>
    <row r="982" spans="13:14" x14ac:dyDescent="0.25">
      <c r="M982"/>
      <c r="N982"/>
    </row>
    <row r="983" spans="13:14" x14ac:dyDescent="0.25">
      <c r="M983"/>
      <c r="N983"/>
    </row>
    <row r="984" spans="13:14" x14ac:dyDescent="0.25">
      <c r="M984"/>
      <c r="N984"/>
    </row>
    <row r="985" spans="13:14" x14ac:dyDescent="0.25">
      <c r="M985"/>
      <c r="N985"/>
    </row>
    <row r="986" spans="13:14" x14ac:dyDescent="0.25">
      <c r="M986"/>
      <c r="N986"/>
    </row>
    <row r="987" spans="13:14" x14ac:dyDescent="0.25">
      <c r="M987"/>
      <c r="N987"/>
    </row>
    <row r="988" spans="13:14" x14ac:dyDescent="0.25">
      <c r="M988"/>
      <c r="N988"/>
    </row>
    <row r="989" spans="13:14" x14ac:dyDescent="0.25">
      <c r="M989"/>
      <c r="N989"/>
    </row>
    <row r="990" spans="13:14" x14ac:dyDescent="0.25">
      <c r="M990"/>
      <c r="N990"/>
    </row>
    <row r="991" spans="13:14" x14ac:dyDescent="0.25">
      <c r="M991"/>
      <c r="N991"/>
    </row>
    <row r="992" spans="13:14" x14ac:dyDescent="0.25">
      <c r="M992"/>
      <c r="N992"/>
    </row>
    <row r="993" spans="13:14" x14ac:dyDescent="0.25">
      <c r="M993"/>
      <c r="N993"/>
    </row>
    <row r="994" spans="13:14" x14ac:dyDescent="0.25">
      <c r="M994"/>
      <c r="N994"/>
    </row>
    <row r="995" spans="13:14" x14ac:dyDescent="0.25">
      <c r="M995"/>
      <c r="N995"/>
    </row>
    <row r="996" spans="13:14" x14ac:dyDescent="0.25">
      <c r="M996"/>
      <c r="N996"/>
    </row>
    <row r="997" spans="13:14" x14ac:dyDescent="0.25">
      <c r="M997"/>
      <c r="N997"/>
    </row>
    <row r="998" spans="13:14" x14ac:dyDescent="0.25">
      <c r="M998"/>
      <c r="N998"/>
    </row>
    <row r="999" spans="13:14" x14ac:dyDescent="0.25">
      <c r="M999"/>
      <c r="N999"/>
    </row>
  </sheetData>
  <sortState xmlns:xlrd2="http://schemas.microsoft.com/office/spreadsheetml/2017/richdata2" ref="B12:P21">
    <sortCondition ref="I12:I21"/>
    <sortCondition ref="H12:H21"/>
    <sortCondition ref="J12:J21"/>
    <sortCondition ref="F12:F21"/>
  </sortState>
  <phoneticPr fontId="3" type="noConversion"/>
  <conditionalFormatting sqref="A8:P115">
    <cfRule type="expression" dxfId="1136" priority="1" stopIfTrue="1">
      <formula>MOD(ROW(),2)=0</formula>
    </cfRule>
    <cfRule type="expression" dxfId="1135" priority="2" stopIfTrue="1">
      <formula>MOD(ROW(),2)&lt;&gt;0</formula>
    </cfRule>
    <cfRule type="expression" priority="3" stopIfTrue="1">
      <formula>MOD(ROW(),2)=0</formula>
    </cfRule>
    <cfRule type="expression" priority="4" stopIfTrue="1">
      <formula>MOD(ROW(),2)&lt;&gt;0</formula>
    </cfRule>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onditionalFormatting>
  <conditionalFormatting sqref="J9:J115">
    <cfRule type="expression" dxfId="1134" priority="9" stopIfTrue="1">
      <formula>COUNTIF($J$8:$J$115,J9) &gt; 1</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92"/>
  <dimension ref="A1:U74"/>
  <sheetViews>
    <sheetView showGridLines="0" zoomScale="85" zoomScaleNormal="85" workbookViewId="0">
      <selection activeCell="A4" sqref="A4"/>
    </sheetView>
  </sheetViews>
  <sheetFormatPr defaultColWidth="10" defaultRowHeight="12.5" x14ac:dyDescent="0.25"/>
  <cols>
    <col min="1" max="1" width="31.90625" style="25" customWidth="1"/>
    <col min="2" max="21" width="22.90625" style="25" customWidth="1"/>
    <col min="22" max="16384" width="10" style="25"/>
  </cols>
  <sheetData>
    <row r="1" spans="1:21" ht="20" x14ac:dyDescent="0.4">
      <c r="A1" s="36" t="s">
        <v>0</v>
      </c>
      <c r="B1" s="37"/>
      <c r="C1" s="37"/>
      <c r="D1" s="37"/>
      <c r="E1" s="37"/>
      <c r="F1" s="37"/>
      <c r="G1" s="37"/>
      <c r="H1" s="37"/>
      <c r="I1" s="37"/>
    </row>
    <row r="2" spans="1:21" ht="15.5" x14ac:dyDescent="0.35">
      <c r="A2" s="38" t="str">
        <f>IF(title="&gt; Enter workbook title here","Enter workbook title in Cover sheet",title)</f>
        <v>NHSPS_NI - Consolidated Factor Spreadsheet</v>
      </c>
      <c r="B2" s="39"/>
      <c r="C2" s="39"/>
      <c r="D2" s="39"/>
      <c r="E2" s="39"/>
      <c r="F2" s="39"/>
      <c r="G2" s="39"/>
      <c r="H2" s="39"/>
      <c r="I2" s="39"/>
    </row>
    <row r="3" spans="1:21" ht="15.5" x14ac:dyDescent="0.35">
      <c r="A3" s="40" t="str">
        <f>TABLE_FACTOR_TYPE_1&amp;" - x-"&amp;TABLE_SERIES_NUMBER_1</f>
        <v>Added pension - x-706</v>
      </c>
      <c r="B3" s="39"/>
      <c r="C3" s="39"/>
      <c r="D3" s="39"/>
      <c r="E3" s="39"/>
      <c r="F3" s="39"/>
      <c r="G3" s="39"/>
      <c r="H3" s="39"/>
      <c r="I3" s="39"/>
    </row>
    <row r="4" spans="1:21" x14ac:dyDescent="0.25">
      <c r="A4" s="41"/>
    </row>
    <row r="6" spans="1:21" ht="13" x14ac:dyDescent="0.3">
      <c r="A6" s="163" t="s">
        <v>276</v>
      </c>
      <c r="B6" s="107" t="s">
        <v>277</v>
      </c>
      <c r="C6" s="107"/>
      <c r="D6" s="107"/>
      <c r="E6" s="107"/>
      <c r="F6" s="107"/>
      <c r="G6" s="107"/>
      <c r="H6" s="107"/>
      <c r="I6" s="107"/>
      <c r="J6" s="107"/>
      <c r="K6" s="107"/>
      <c r="L6" s="107"/>
      <c r="M6" s="107"/>
      <c r="N6" s="107"/>
      <c r="O6" s="107"/>
      <c r="P6" s="107"/>
      <c r="Q6" s="107"/>
      <c r="R6" s="107"/>
      <c r="S6" s="107"/>
      <c r="T6" s="107"/>
      <c r="U6" s="107"/>
    </row>
    <row r="7" spans="1:21" x14ac:dyDescent="0.25">
      <c r="A7" s="69" t="s">
        <v>278</v>
      </c>
      <c r="B7" s="107" t="s">
        <v>310</v>
      </c>
      <c r="C7" s="107"/>
      <c r="D7" s="107"/>
      <c r="E7" s="107"/>
      <c r="F7" s="107"/>
      <c r="G7" s="107"/>
      <c r="H7" s="107"/>
      <c r="I7" s="107"/>
      <c r="J7" s="107"/>
      <c r="K7" s="107"/>
      <c r="L7" s="107"/>
      <c r="M7" s="107"/>
      <c r="N7" s="107"/>
      <c r="O7" s="107"/>
      <c r="P7" s="107"/>
      <c r="Q7" s="107"/>
      <c r="R7" s="107"/>
      <c r="S7" s="107"/>
      <c r="T7" s="107"/>
      <c r="U7" s="107"/>
    </row>
    <row r="8" spans="1:21" x14ac:dyDescent="0.25">
      <c r="A8" s="69" t="s">
        <v>280</v>
      </c>
      <c r="B8" s="107" t="s">
        <v>363</v>
      </c>
      <c r="C8" s="107"/>
      <c r="D8" s="107"/>
      <c r="E8" s="107"/>
      <c r="F8" s="107"/>
      <c r="G8" s="107"/>
      <c r="H8" s="107"/>
      <c r="I8" s="107"/>
      <c r="J8" s="107"/>
      <c r="K8" s="107"/>
      <c r="L8" s="107"/>
      <c r="M8" s="107"/>
      <c r="N8" s="107"/>
      <c r="O8" s="107"/>
      <c r="P8" s="107"/>
      <c r="Q8" s="107"/>
      <c r="R8" s="107"/>
      <c r="S8" s="107"/>
      <c r="T8" s="107"/>
      <c r="U8" s="107"/>
    </row>
    <row r="9" spans="1:21" x14ac:dyDescent="0.25">
      <c r="A9" s="69" t="s">
        <v>282</v>
      </c>
      <c r="B9" s="107" t="s">
        <v>514</v>
      </c>
      <c r="C9" s="107"/>
      <c r="D9" s="107"/>
      <c r="E9" s="107"/>
      <c r="F9" s="107"/>
      <c r="G9" s="107"/>
      <c r="H9" s="107"/>
      <c r="I9" s="107"/>
      <c r="J9" s="107"/>
      <c r="K9" s="107"/>
      <c r="L9" s="107"/>
      <c r="M9" s="107"/>
      <c r="N9" s="107"/>
      <c r="O9" s="107"/>
      <c r="P9" s="107"/>
      <c r="Q9" s="107"/>
      <c r="R9" s="107"/>
      <c r="S9" s="107"/>
      <c r="T9" s="107"/>
      <c r="U9" s="107"/>
    </row>
    <row r="10" spans="1:21" x14ac:dyDescent="0.25">
      <c r="A10" s="69" t="s">
        <v>6</v>
      </c>
      <c r="B10" s="107" t="s">
        <v>526</v>
      </c>
      <c r="C10" s="107"/>
      <c r="D10" s="107"/>
      <c r="E10" s="107"/>
      <c r="F10" s="107"/>
      <c r="G10" s="107"/>
      <c r="H10" s="107"/>
      <c r="I10" s="107"/>
      <c r="J10" s="107"/>
      <c r="K10" s="107"/>
      <c r="L10" s="107"/>
      <c r="M10" s="107"/>
      <c r="N10" s="107"/>
      <c r="O10" s="107"/>
      <c r="P10" s="107"/>
      <c r="Q10" s="107"/>
      <c r="R10" s="107"/>
      <c r="S10" s="107"/>
      <c r="T10" s="107"/>
      <c r="U10" s="107"/>
    </row>
    <row r="11" spans="1:21" x14ac:dyDescent="0.25">
      <c r="A11" s="69" t="s">
        <v>285</v>
      </c>
      <c r="B11" s="107" t="s">
        <v>359</v>
      </c>
      <c r="C11" s="107"/>
      <c r="D11" s="107"/>
      <c r="E11" s="107"/>
      <c r="F11" s="107"/>
      <c r="G11" s="107"/>
      <c r="H11" s="107"/>
      <c r="I11" s="107"/>
      <c r="J11" s="107"/>
      <c r="K11" s="107"/>
      <c r="L11" s="107"/>
      <c r="M11" s="107"/>
      <c r="N11" s="107"/>
      <c r="O11" s="107"/>
      <c r="P11" s="107"/>
      <c r="Q11" s="107"/>
      <c r="R11" s="107"/>
      <c r="S11" s="107"/>
      <c r="T11" s="107"/>
      <c r="U11" s="107"/>
    </row>
    <row r="12" spans="1:21" x14ac:dyDescent="0.25">
      <c r="A12" s="69" t="s">
        <v>287</v>
      </c>
      <c r="B12" s="107" t="s">
        <v>520</v>
      </c>
      <c r="C12" s="107"/>
      <c r="D12" s="107"/>
      <c r="E12" s="107"/>
      <c r="F12" s="107"/>
      <c r="G12" s="107"/>
      <c r="H12" s="107"/>
      <c r="I12" s="107"/>
      <c r="J12" s="107"/>
      <c r="K12" s="107"/>
      <c r="L12" s="107"/>
      <c r="M12" s="107"/>
      <c r="N12" s="107"/>
      <c r="O12" s="107"/>
      <c r="P12" s="107"/>
      <c r="Q12" s="107"/>
      <c r="R12" s="107"/>
      <c r="S12" s="107"/>
      <c r="T12" s="107"/>
      <c r="U12" s="107"/>
    </row>
    <row r="13" spans="1:21" x14ac:dyDescent="0.25">
      <c r="A13" s="69" t="s">
        <v>289</v>
      </c>
      <c r="B13" s="107">
        <v>2</v>
      </c>
      <c r="C13" s="107"/>
      <c r="D13" s="107"/>
      <c r="E13" s="107"/>
      <c r="F13" s="107"/>
      <c r="G13" s="107"/>
      <c r="H13" s="107"/>
      <c r="I13" s="107"/>
      <c r="J13" s="107"/>
      <c r="K13" s="107"/>
      <c r="L13" s="107"/>
      <c r="M13" s="107"/>
      <c r="N13" s="107"/>
      <c r="O13" s="107"/>
      <c r="P13" s="107"/>
      <c r="Q13" s="107"/>
      <c r="R13" s="107"/>
      <c r="S13" s="107"/>
      <c r="T13" s="107"/>
      <c r="U13" s="107"/>
    </row>
    <row r="14" spans="1:21" x14ac:dyDescent="0.25">
      <c r="A14" s="69" t="s">
        <v>291</v>
      </c>
      <c r="B14" s="107">
        <v>706</v>
      </c>
      <c r="C14" s="107"/>
      <c r="D14" s="107"/>
      <c r="E14" s="107"/>
      <c r="F14" s="107"/>
      <c r="G14" s="107"/>
      <c r="H14" s="107"/>
      <c r="I14" s="107"/>
      <c r="J14" s="107"/>
      <c r="K14" s="107"/>
      <c r="L14" s="107"/>
      <c r="M14" s="107"/>
      <c r="N14" s="107"/>
      <c r="O14" s="107"/>
      <c r="P14" s="107"/>
      <c r="Q14" s="107"/>
      <c r="R14" s="107"/>
      <c r="S14" s="107"/>
      <c r="T14" s="107"/>
      <c r="U14" s="107"/>
    </row>
    <row r="15" spans="1:21" x14ac:dyDescent="0.25">
      <c r="A15" s="69" t="s">
        <v>293</v>
      </c>
      <c r="B15" s="107" t="s">
        <v>527</v>
      </c>
      <c r="C15" s="107"/>
      <c r="D15" s="107"/>
      <c r="E15" s="107"/>
      <c r="F15" s="107"/>
      <c r="G15" s="107"/>
      <c r="H15" s="107"/>
      <c r="I15" s="107"/>
      <c r="J15" s="107"/>
      <c r="K15" s="107"/>
      <c r="L15" s="107"/>
      <c r="M15" s="107"/>
      <c r="N15" s="107"/>
      <c r="O15" s="107"/>
      <c r="P15" s="107"/>
      <c r="Q15" s="107"/>
      <c r="R15" s="107"/>
      <c r="S15" s="107"/>
      <c r="T15" s="107"/>
      <c r="U15" s="107"/>
    </row>
    <row r="16" spans="1:21" x14ac:dyDescent="0.25">
      <c r="A16" s="69" t="s">
        <v>295</v>
      </c>
      <c r="B16" s="107" t="s">
        <v>528</v>
      </c>
      <c r="C16" s="107"/>
      <c r="D16" s="107"/>
      <c r="E16" s="107"/>
      <c r="F16" s="107"/>
      <c r="G16" s="107"/>
      <c r="H16" s="107"/>
      <c r="I16" s="107"/>
      <c r="J16" s="107"/>
      <c r="K16" s="107"/>
      <c r="L16" s="107"/>
      <c r="M16" s="107"/>
      <c r="N16" s="107"/>
      <c r="O16" s="107"/>
      <c r="P16" s="107"/>
      <c r="Q16" s="107"/>
      <c r="R16" s="107"/>
      <c r="S16" s="107"/>
      <c r="T16" s="107"/>
      <c r="U16" s="107"/>
    </row>
    <row r="17" spans="1:21" x14ac:dyDescent="0.25">
      <c r="A17" s="69" t="s">
        <v>725</v>
      </c>
      <c r="B17" s="107"/>
      <c r="C17" s="107"/>
      <c r="D17" s="107"/>
      <c r="E17" s="107"/>
      <c r="F17" s="107"/>
      <c r="G17" s="107"/>
      <c r="H17" s="107"/>
      <c r="I17" s="107"/>
      <c r="J17" s="107"/>
      <c r="K17" s="107"/>
      <c r="L17" s="107"/>
      <c r="M17" s="107"/>
      <c r="N17" s="107"/>
      <c r="O17" s="107"/>
      <c r="P17" s="107"/>
      <c r="Q17" s="107"/>
      <c r="R17" s="107"/>
      <c r="S17" s="107"/>
      <c r="T17" s="107"/>
      <c r="U17" s="107"/>
    </row>
    <row r="18" spans="1:21" x14ac:dyDescent="0.25">
      <c r="A18" s="85" t="s">
        <v>299</v>
      </c>
      <c r="B18" s="164">
        <v>45202</v>
      </c>
      <c r="C18" s="107"/>
      <c r="D18" s="107"/>
      <c r="E18" s="107"/>
      <c r="F18" s="107"/>
      <c r="G18" s="107"/>
      <c r="H18" s="107"/>
      <c r="I18" s="107"/>
      <c r="J18" s="107"/>
      <c r="K18" s="107"/>
      <c r="L18" s="107"/>
      <c r="M18" s="107"/>
      <c r="N18" s="107"/>
      <c r="O18" s="107"/>
      <c r="P18" s="107"/>
      <c r="Q18" s="107"/>
      <c r="R18" s="107"/>
      <c r="S18" s="107"/>
      <c r="T18" s="107"/>
      <c r="U18" s="107"/>
    </row>
    <row r="19" spans="1:21" x14ac:dyDescent="0.25">
      <c r="A19" s="85" t="s">
        <v>301</v>
      </c>
      <c r="B19" s="164">
        <v>45202</v>
      </c>
      <c r="C19" s="107"/>
      <c r="D19" s="107"/>
      <c r="E19" s="107"/>
      <c r="F19" s="107"/>
      <c r="G19" s="107"/>
      <c r="H19" s="107"/>
      <c r="I19" s="107"/>
      <c r="J19" s="107"/>
      <c r="K19" s="107"/>
      <c r="L19" s="107"/>
      <c r="M19" s="107"/>
      <c r="N19" s="107"/>
      <c r="O19" s="107"/>
      <c r="P19" s="107"/>
      <c r="Q19" s="107"/>
      <c r="R19" s="107"/>
      <c r="S19" s="107"/>
      <c r="T19" s="107"/>
      <c r="U19" s="107"/>
    </row>
    <row r="20" spans="1:21" x14ac:dyDescent="0.25">
      <c r="A20" s="85" t="s">
        <v>303</v>
      </c>
      <c r="B20" s="107" t="s">
        <v>317</v>
      </c>
      <c r="C20" s="107"/>
      <c r="D20" s="107"/>
      <c r="E20" s="107"/>
      <c r="F20" s="107"/>
      <c r="G20" s="107"/>
      <c r="H20" s="107"/>
      <c r="I20" s="107"/>
      <c r="J20" s="107"/>
      <c r="K20" s="107"/>
      <c r="L20" s="107"/>
      <c r="M20" s="107"/>
      <c r="N20" s="107"/>
      <c r="O20" s="107"/>
      <c r="P20" s="107"/>
      <c r="Q20" s="107"/>
      <c r="R20" s="107"/>
      <c r="S20" s="107"/>
      <c r="T20" s="107"/>
      <c r="U20" s="107"/>
    </row>
    <row r="21" spans="1:21" x14ac:dyDescent="0.25">
      <c r="A21" s="85" t="s">
        <v>309</v>
      </c>
      <c r="B21" s="107" t="s">
        <v>318</v>
      </c>
      <c r="C21" s="107"/>
      <c r="D21" s="107"/>
      <c r="E21" s="107"/>
      <c r="F21" s="107"/>
      <c r="G21" s="107"/>
      <c r="H21" s="107"/>
      <c r="I21" s="107"/>
      <c r="J21" s="107"/>
      <c r="K21" s="107"/>
      <c r="L21" s="107"/>
      <c r="M21" s="107"/>
      <c r="N21" s="107"/>
      <c r="O21" s="107"/>
      <c r="P21" s="107"/>
      <c r="Q21" s="107"/>
      <c r="R21" s="107"/>
      <c r="S21" s="107"/>
      <c r="T21" s="107"/>
      <c r="U21" s="107"/>
    </row>
    <row r="23" spans="1:21" x14ac:dyDescent="0.25">
      <c r="B23" s="103" t="str">
        <f>HYPERLINK("#'Factor List'!A1","Back to Factor List")</f>
        <v>Back to Factor List</v>
      </c>
    </row>
    <row r="24" spans="1:21" x14ac:dyDescent="0.25">
      <c r="B24" s="103" t="s">
        <v>15</v>
      </c>
    </row>
    <row r="26" spans="1:21" ht="13" x14ac:dyDescent="0.25">
      <c r="A26" s="98" t="s">
        <v>408</v>
      </c>
      <c r="B26" s="98" t="s">
        <v>778</v>
      </c>
      <c r="C26" s="98" t="s">
        <v>779</v>
      </c>
      <c r="D26" s="98" t="s">
        <v>780</v>
      </c>
      <c r="E26" s="98" t="s">
        <v>781</v>
      </c>
      <c r="F26" s="98" t="s">
        <v>782</v>
      </c>
      <c r="G26" s="98" t="s">
        <v>783</v>
      </c>
      <c r="H26" s="98" t="s">
        <v>784</v>
      </c>
      <c r="I26" s="98" t="s">
        <v>785</v>
      </c>
      <c r="J26" s="98" t="s">
        <v>786</v>
      </c>
      <c r="K26" s="98" t="s">
        <v>787</v>
      </c>
      <c r="L26" s="98" t="s">
        <v>788</v>
      </c>
      <c r="M26" s="98" t="s">
        <v>789</v>
      </c>
      <c r="N26" s="98" t="s">
        <v>790</v>
      </c>
      <c r="O26" s="98" t="s">
        <v>791</v>
      </c>
      <c r="P26" s="98" t="s">
        <v>792</v>
      </c>
      <c r="Q26" s="98" t="s">
        <v>793</v>
      </c>
      <c r="R26" s="98" t="s">
        <v>794</v>
      </c>
      <c r="S26" s="98" t="s">
        <v>795</v>
      </c>
      <c r="T26" s="98" t="s">
        <v>796</v>
      </c>
      <c r="U26" s="98" t="s">
        <v>797</v>
      </c>
    </row>
    <row r="27" spans="1:21" x14ac:dyDescent="0.25">
      <c r="A27" s="99">
        <v>16</v>
      </c>
      <c r="B27" s="100">
        <v>201.2</v>
      </c>
      <c r="C27" s="100">
        <v>102.4</v>
      </c>
      <c r="D27" s="100">
        <v>69.599999999999994</v>
      </c>
      <c r="E27" s="100">
        <v>53.1</v>
      </c>
      <c r="F27" s="100">
        <v>43.3</v>
      </c>
      <c r="G27" s="100">
        <v>36.700000000000003</v>
      </c>
      <c r="H27" s="100">
        <v>32</v>
      </c>
      <c r="I27" s="100">
        <v>28.5</v>
      </c>
      <c r="J27" s="100">
        <v>25.8</v>
      </c>
      <c r="K27" s="100">
        <v>23.6</v>
      </c>
      <c r="L27" s="100">
        <v>21.9</v>
      </c>
      <c r="M27" s="100">
        <v>20.399999999999999</v>
      </c>
      <c r="N27" s="100">
        <v>19.100000000000001</v>
      </c>
      <c r="O27" s="100">
        <v>18.100000000000001</v>
      </c>
      <c r="P27" s="100">
        <v>17.2</v>
      </c>
      <c r="Q27" s="100">
        <v>16.399999999999999</v>
      </c>
      <c r="R27" s="100">
        <v>15.7</v>
      </c>
      <c r="S27" s="100">
        <v>15</v>
      </c>
      <c r="T27" s="100">
        <v>14.5</v>
      </c>
      <c r="U27" s="100">
        <v>14</v>
      </c>
    </row>
    <row r="28" spans="1:21" x14ac:dyDescent="0.25">
      <c r="A28" s="99">
        <v>17</v>
      </c>
      <c r="B28" s="100">
        <v>204.1</v>
      </c>
      <c r="C28" s="100">
        <v>104</v>
      </c>
      <c r="D28" s="100">
        <v>70.599999999999994</v>
      </c>
      <c r="E28" s="100">
        <v>53.9</v>
      </c>
      <c r="F28" s="100">
        <v>43.9</v>
      </c>
      <c r="G28" s="100">
        <v>37.200000000000003</v>
      </c>
      <c r="H28" s="100">
        <v>32.5</v>
      </c>
      <c r="I28" s="100">
        <v>28.9</v>
      </c>
      <c r="J28" s="100">
        <v>26.2</v>
      </c>
      <c r="K28" s="100">
        <v>24</v>
      </c>
      <c r="L28" s="100">
        <v>22.2</v>
      </c>
      <c r="M28" s="100">
        <v>20.7</v>
      </c>
      <c r="N28" s="100">
        <v>19.399999999999999</v>
      </c>
      <c r="O28" s="100">
        <v>18.399999999999999</v>
      </c>
      <c r="P28" s="100">
        <v>17.399999999999999</v>
      </c>
      <c r="Q28" s="100">
        <v>16.600000000000001</v>
      </c>
      <c r="R28" s="100">
        <v>15.9</v>
      </c>
      <c r="S28" s="100">
        <v>15.3</v>
      </c>
      <c r="T28" s="100">
        <v>14.7</v>
      </c>
      <c r="U28" s="100">
        <v>14.2</v>
      </c>
    </row>
    <row r="29" spans="1:21" x14ac:dyDescent="0.25">
      <c r="A29" s="99">
        <v>18</v>
      </c>
      <c r="B29" s="100">
        <v>207.1</v>
      </c>
      <c r="C29" s="100">
        <v>105.5</v>
      </c>
      <c r="D29" s="100">
        <v>71.599999999999994</v>
      </c>
      <c r="E29" s="100">
        <v>54.7</v>
      </c>
      <c r="F29" s="100">
        <v>44.6</v>
      </c>
      <c r="G29" s="100">
        <v>37.799999999999997</v>
      </c>
      <c r="H29" s="100">
        <v>33</v>
      </c>
      <c r="I29" s="100">
        <v>29.4</v>
      </c>
      <c r="J29" s="100">
        <v>26.6</v>
      </c>
      <c r="K29" s="100">
        <v>24.3</v>
      </c>
      <c r="L29" s="100">
        <v>22.5</v>
      </c>
      <c r="M29" s="100">
        <v>21</v>
      </c>
      <c r="N29" s="100">
        <v>19.7</v>
      </c>
      <c r="O29" s="100">
        <v>18.600000000000001</v>
      </c>
      <c r="P29" s="100">
        <v>17.7</v>
      </c>
      <c r="Q29" s="100">
        <v>16.899999999999999</v>
      </c>
      <c r="R29" s="100">
        <v>16.100000000000001</v>
      </c>
      <c r="S29" s="100">
        <v>15.5</v>
      </c>
      <c r="T29" s="100">
        <v>14.9</v>
      </c>
      <c r="U29" s="100">
        <v>14.4</v>
      </c>
    </row>
    <row r="30" spans="1:21" x14ac:dyDescent="0.25">
      <c r="A30" s="99">
        <v>19</v>
      </c>
      <c r="B30" s="100">
        <v>210.1</v>
      </c>
      <c r="C30" s="100">
        <v>107</v>
      </c>
      <c r="D30" s="100">
        <v>72.7</v>
      </c>
      <c r="E30" s="100">
        <v>55.5</v>
      </c>
      <c r="F30" s="100">
        <v>45.2</v>
      </c>
      <c r="G30" s="100">
        <v>38.4</v>
      </c>
      <c r="H30" s="100">
        <v>33.5</v>
      </c>
      <c r="I30" s="100">
        <v>29.8</v>
      </c>
      <c r="J30" s="100">
        <v>27</v>
      </c>
      <c r="K30" s="100">
        <v>24.7</v>
      </c>
      <c r="L30" s="100">
        <v>22.8</v>
      </c>
      <c r="M30" s="100">
        <v>21.3</v>
      </c>
      <c r="N30" s="100">
        <v>20</v>
      </c>
      <c r="O30" s="100">
        <v>18.899999999999999</v>
      </c>
      <c r="P30" s="100">
        <v>17.899999999999999</v>
      </c>
      <c r="Q30" s="100">
        <v>17.100000000000001</v>
      </c>
      <c r="R30" s="100">
        <v>16.399999999999999</v>
      </c>
      <c r="S30" s="100">
        <v>15.7</v>
      </c>
      <c r="T30" s="100">
        <v>15.1</v>
      </c>
      <c r="U30" s="100">
        <v>14.6</v>
      </c>
    </row>
    <row r="31" spans="1:21" x14ac:dyDescent="0.25">
      <c r="A31" s="99">
        <v>20</v>
      </c>
      <c r="B31" s="100">
        <v>213.2</v>
      </c>
      <c r="C31" s="100">
        <v>108.6</v>
      </c>
      <c r="D31" s="100">
        <v>73.7</v>
      </c>
      <c r="E31" s="100">
        <v>56.3</v>
      </c>
      <c r="F31" s="100">
        <v>45.9</v>
      </c>
      <c r="G31" s="100">
        <v>38.9</v>
      </c>
      <c r="H31" s="100">
        <v>33.9</v>
      </c>
      <c r="I31" s="100">
        <v>30.2</v>
      </c>
      <c r="J31" s="100">
        <v>27.4</v>
      </c>
      <c r="K31" s="100">
        <v>25.1</v>
      </c>
      <c r="L31" s="100">
        <v>23.2</v>
      </c>
      <c r="M31" s="100">
        <v>21.6</v>
      </c>
      <c r="N31" s="100">
        <v>20.3</v>
      </c>
      <c r="O31" s="100">
        <v>19.2</v>
      </c>
      <c r="P31" s="100">
        <v>18.2</v>
      </c>
      <c r="Q31" s="100">
        <v>17.399999999999999</v>
      </c>
      <c r="R31" s="100">
        <v>16.600000000000001</v>
      </c>
      <c r="S31" s="100">
        <v>16</v>
      </c>
      <c r="T31" s="100">
        <v>15.4</v>
      </c>
      <c r="U31" s="100">
        <v>14.8</v>
      </c>
    </row>
    <row r="32" spans="1:21" x14ac:dyDescent="0.25">
      <c r="A32" s="99">
        <v>21</v>
      </c>
      <c r="B32" s="100">
        <v>216.2</v>
      </c>
      <c r="C32" s="100">
        <v>110.1</v>
      </c>
      <c r="D32" s="100">
        <v>74.8</v>
      </c>
      <c r="E32" s="100">
        <v>57.1</v>
      </c>
      <c r="F32" s="100">
        <v>46.5</v>
      </c>
      <c r="G32" s="100">
        <v>39.5</v>
      </c>
      <c r="H32" s="100">
        <v>34.4</v>
      </c>
      <c r="I32" s="100">
        <v>30.7</v>
      </c>
      <c r="J32" s="100">
        <v>27.7</v>
      </c>
      <c r="K32" s="100">
        <v>25.4</v>
      </c>
      <c r="L32" s="100">
        <v>23.5</v>
      </c>
      <c r="M32" s="100">
        <v>21.9</v>
      </c>
      <c r="N32" s="100">
        <v>20.6</v>
      </c>
      <c r="O32" s="100">
        <v>19.5</v>
      </c>
      <c r="P32" s="100">
        <v>18.5</v>
      </c>
      <c r="Q32" s="100">
        <v>17.600000000000001</v>
      </c>
      <c r="R32" s="100">
        <v>16.899999999999999</v>
      </c>
      <c r="S32" s="100">
        <v>16.2</v>
      </c>
      <c r="T32" s="100">
        <v>15.6</v>
      </c>
      <c r="U32" s="100">
        <v>15.1</v>
      </c>
    </row>
    <row r="33" spans="1:21" x14ac:dyDescent="0.25">
      <c r="A33" s="99">
        <v>22</v>
      </c>
      <c r="B33" s="100">
        <v>219.3</v>
      </c>
      <c r="C33" s="100">
        <v>111.7</v>
      </c>
      <c r="D33" s="100">
        <v>75.8</v>
      </c>
      <c r="E33" s="100">
        <v>57.9</v>
      </c>
      <c r="F33" s="100">
        <v>47.2</v>
      </c>
      <c r="G33" s="100">
        <v>40</v>
      </c>
      <c r="H33" s="100">
        <v>34.9</v>
      </c>
      <c r="I33" s="100">
        <v>31.1</v>
      </c>
      <c r="J33" s="100">
        <v>28.1</v>
      </c>
      <c r="K33" s="100">
        <v>25.8</v>
      </c>
      <c r="L33" s="100">
        <v>23.9</v>
      </c>
      <c r="M33" s="100">
        <v>22.2</v>
      </c>
      <c r="N33" s="100">
        <v>20.9</v>
      </c>
      <c r="O33" s="100">
        <v>19.7</v>
      </c>
      <c r="P33" s="100">
        <v>18.7</v>
      </c>
      <c r="Q33" s="100">
        <v>17.899999999999999</v>
      </c>
      <c r="R33" s="100">
        <v>17.100000000000001</v>
      </c>
      <c r="S33" s="100">
        <v>16.399999999999999</v>
      </c>
      <c r="T33" s="100">
        <v>15.8</v>
      </c>
      <c r="U33" s="100">
        <v>15.3</v>
      </c>
    </row>
    <row r="34" spans="1:21" x14ac:dyDescent="0.25">
      <c r="A34" s="99">
        <v>23</v>
      </c>
      <c r="B34" s="100">
        <v>222.5</v>
      </c>
      <c r="C34" s="100">
        <v>113.3</v>
      </c>
      <c r="D34" s="100">
        <v>76.900000000000006</v>
      </c>
      <c r="E34" s="100">
        <v>58.8</v>
      </c>
      <c r="F34" s="100">
        <v>47.9</v>
      </c>
      <c r="G34" s="100">
        <v>40.6</v>
      </c>
      <c r="H34" s="100">
        <v>35.4</v>
      </c>
      <c r="I34" s="100">
        <v>31.6</v>
      </c>
      <c r="J34" s="100">
        <v>28.6</v>
      </c>
      <c r="K34" s="100">
        <v>26.2</v>
      </c>
      <c r="L34" s="100">
        <v>24.2</v>
      </c>
      <c r="M34" s="100">
        <v>22.6</v>
      </c>
      <c r="N34" s="100">
        <v>21.2</v>
      </c>
      <c r="O34" s="100">
        <v>20</v>
      </c>
      <c r="P34" s="100">
        <v>19</v>
      </c>
      <c r="Q34" s="100">
        <v>18.100000000000001</v>
      </c>
      <c r="R34" s="100">
        <v>17.399999999999999</v>
      </c>
      <c r="S34" s="100">
        <v>16.7</v>
      </c>
      <c r="T34" s="100">
        <v>16.100000000000001</v>
      </c>
      <c r="U34" s="100">
        <v>15.5</v>
      </c>
    </row>
    <row r="35" spans="1:21" x14ac:dyDescent="0.25">
      <c r="A35" s="99">
        <v>24</v>
      </c>
      <c r="B35" s="100">
        <v>225.6</v>
      </c>
      <c r="C35" s="100">
        <v>114.9</v>
      </c>
      <c r="D35" s="100">
        <v>78</v>
      </c>
      <c r="E35" s="100">
        <v>59.6</v>
      </c>
      <c r="F35" s="100">
        <v>48.5</v>
      </c>
      <c r="G35" s="100">
        <v>41.2</v>
      </c>
      <c r="H35" s="100">
        <v>35.9</v>
      </c>
      <c r="I35" s="100">
        <v>32</v>
      </c>
      <c r="J35" s="100">
        <v>29</v>
      </c>
      <c r="K35" s="100">
        <v>26.5</v>
      </c>
      <c r="L35" s="100">
        <v>24.5</v>
      </c>
      <c r="M35" s="100">
        <v>22.9</v>
      </c>
      <c r="N35" s="100">
        <v>21.5</v>
      </c>
      <c r="O35" s="100">
        <v>20.3</v>
      </c>
      <c r="P35" s="100">
        <v>19.3</v>
      </c>
      <c r="Q35" s="100">
        <v>18.399999999999999</v>
      </c>
      <c r="R35" s="100">
        <v>17.600000000000001</v>
      </c>
      <c r="S35" s="100">
        <v>16.899999999999999</v>
      </c>
      <c r="T35" s="100">
        <v>16.3</v>
      </c>
      <c r="U35" s="100">
        <v>15.7</v>
      </c>
    </row>
    <row r="36" spans="1:21" x14ac:dyDescent="0.25">
      <c r="A36" s="99">
        <v>25</v>
      </c>
      <c r="B36" s="100">
        <v>228.8</v>
      </c>
      <c r="C36" s="100">
        <v>116.5</v>
      </c>
      <c r="D36" s="100">
        <v>79.099999999999994</v>
      </c>
      <c r="E36" s="100">
        <v>60.4</v>
      </c>
      <c r="F36" s="100">
        <v>49.2</v>
      </c>
      <c r="G36" s="100">
        <v>41.8</v>
      </c>
      <c r="H36" s="100">
        <v>36.5</v>
      </c>
      <c r="I36" s="100">
        <v>32.5</v>
      </c>
      <c r="J36" s="100">
        <v>29.4</v>
      </c>
      <c r="K36" s="100">
        <v>26.9</v>
      </c>
      <c r="L36" s="100">
        <v>24.9</v>
      </c>
      <c r="M36" s="100">
        <v>23.2</v>
      </c>
      <c r="N36" s="100">
        <v>21.8</v>
      </c>
      <c r="O36" s="100">
        <v>20.6</v>
      </c>
      <c r="P36" s="100">
        <v>19.600000000000001</v>
      </c>
      <c r="Q36" s="100">
        <v>18.7</v>
      </c>
      <c r="R36" s="100">
        <v>17.899999999999999</v>
      </c>
      <c r="S36" s="100">
        <v>17.2</v>
      </c>
      <c r="T36" s="100">
        <v>16.5</v>
      </c>
      <c r="U36" s="100">
        <v>16</v>
      </c>
    </row>
    <row r="37" spans="1:21" x14ac:dyDescent="0.25">
      <c r="A37" s="99">
        <v>26</v>
      </c>
      <c r="B37" s="100">
        <v>232.1</v>
      </c>
      <c r="C37" s="100">
        <v>118.2</v>
      </c>
      <c r="D37" s="100">
        <v>80.3</v>
      </c>
      <c r="E37" s="100">
        <v>61.3</v>
      </c>
      <c r="F37" s="100">
        <v>49.9</v>
      </c>
      <c r="G37" s="100">
        <v>42.4</v>
      </c>
      <c r="H37" s="100">
        <v>37</v>
      </c>
      <c r="I37" s="100">
        <v>32.9</v>
      </c>
      <c r="J37" s="100">
        <v>29.8</v>
      </c>
      <c r="K37" s="100">
        <v>27.3</v>
      </c>
      <c r="L37" s="100">
        <v>25.3</v>
      </c>
      <c r="M37" s="100">
        <v>23.6</v>
      </c>
      <c r="N37" s="100">
        <v>22.1</v>
      </c>
      <c r="O37" s="100">
        <v>20.9</v>
      </c>
      <c r="P37" s="100">
        <v>19.899999999999999</v>
      </c>
      <c r="Q37" s="100">
        <v>18.899999999999999</v>
      </c>
      <c r="R37" s="100">
        <v>18.100000000000001</v>
      </c>
      <c r="S37" s="100">
        <v>17.399999999999999</v>
      </c>
      <c r="T37" s="100">
        <v>16.8</v>
      </c>
      <c r="U37" s="100">
        <v>16.2</v>
      </c>
    </row>
    <row r="38" spans="1:21" x14ac:dyDescent="0.25">
      <c r="A38" s="99">
        <v>27</v>
      </c>
      <c r="B38" s="100">
        <v>235.4</v>
      </c>
      <c r="C38" s="100">
        <v>119.9</v>
      </c>
      <c r="D38" s="100">
        <v>81.400000000000006</v>
      </c>
      <c r="E38" s="100">
        <v>62.2</v>
      </c>
      <c r="F38" s="100">
        <v>50.7</v>
      </c>
      <c r="G38" s="100">
        <v>43</v>
      </c>
      <c r="H38" s="100">
        <v>37.5</v>
      </c>
      <c r="I38" s="100">
        <v>33.4</v>
      </c>
      <c r="J38" s="100">
        <v>30.2</v>
      </c>
      <c r="K38" s="100">
        <v>27.7</v>
      </c>
      <c r="L38" s="100">
        <v>25.6</v>
      </c>
      <c r="M38" s="100">
        <v>23.9</v>
      </c>
      <c r="N38" s="100">
        <v>22.5</v>
      </c>
      <c r="O38" s="100">
        <v>21.2</v>
      </c>
      <c r="P38" s="100">
        <v>20.100000000000001</v>
      </c>
      <c r="Q38" s="100">
        <v>19.2</v>
      </c>
      <c r="R38" s="100">
        <v>18.399999999999999</v>
      </c>
      <c r="S38" s="100">
        <v>17.7</v>
      </c>
      <c r="T38" s="100">
        <v>17</v>
      </c>
      <c r="U38" s="100">
        <v>16.399999999999999</v>
      </c>
    </row>
    <row r="39" spans="1:21" x14ac:dyDescent="0.25">
      <c r="A39" s="99">
        <v>28</v>
      </c>
      <c r="B39" s="100">
        <v>238.7</v>
      </c>
      <c r="C39" s="100">
        <v>121.6</v>
      </c>
      <c r="D39" s="100">
        <v>82.6</v>
      </c>
      <c r="E39" s="100">
        <v>63.1</v>
      </c>
      <c r="F39" s="100">
        <v>51.4</v>
      </c>
      <c r="G39" s="100">
        <v>43.6</v>
      </c>
      <c r="H39" s="100">
        <v>38</v>
      </c>
      <c r="I39" s="100">
        <v>33.9</v>
      </c>
      <c r="J39" s="100">
        <v>30.7</v>
      </c>
      <c r="K39" s="100">
        <v>28.1</v>
      </c>
      <c r="L39" s="100">
        <v>26</v>
      </c>
      <c r="M39" s="100">
        <v>24.2</v>
      </c>
      <c r="N39" s="100">
        <v>22.8</v>
      </c>
      <c r="O39" s="100">
        <v>21.5</v>
      </c>
      <c r="P39" s="100">
        <v>20.399999999999999</v>
      </c>
      <c r="Q39" s="100">
        <v>19.5</v>
      </c>
      <c r="R39" s="100">
        <v>18.7</v>
      </c>
      <c r="S39" s="100">
        <v>17.899999999999999</v>
      </c>
      <c r="T39" s="100">
        <v>17.3</v>
      </c>
      <c r="U39" s="100">
        <v>16.7</v>
      </c>
    </row>
    <row r="40" spans="1:21" x14ac:dyDescent="0.25">
      <c r="A40" s="99">
        <v>29</v>
      </c>
      <c r="B40" s="100">
        <v>242.1</v>
      </c>
      <c r="C40" s="100">
        <v>123.3</v>
      </c>
      <c r="D40" s="100">
        <v>83.7</v>
      </c>
      <c r="E40" s="100">
        <v>64</v>
      </c>
      <c r="F40" s="100">
        <v>52.1</v>
      </c>
      <c r="G40" s="100">
        <v>44.2</v>
      </c>
      <c r="H40" s="100">
        <v>38.6</v>
      </c>
      <c r="I40" s="100">
        <v>34.4</v>
      </c>
      <c r="J40" s="100">
        <v>31.1</v>
      </c>
      <c r="K40" s="100">
        <v>28.5</v>
      </c>
      <c r="L40" s="100">
        <v>26.4</v>
      </c>
      <c r="M40" s="100">
        <v>24.6</v>
      </c>
      <c r="N40" s="100">
        <v>23.1</v>
      </c>
      <c r="O40" s="100">
        <v>21.8</v>
      </c>
      <c r="P40" s="100">
        <v>20.7</v>
      </c>
      <c r="Q40" s="100">
        <v>19.8</v>
      </c>
      <c r="R40" s="100">
        <v>18.899999999999999</v>
      </c>
      <c r="S40" s="100">
        <v>18.2</v>
      </c>
      <c r="T40" s="100">
        <v>17.5</v>
      </c>
      <c r="U40" s="100">
        <v>16.899999999999999</v>
      </c>
    </row>
    <row r="41" spans="1:21" x14ac:dyDescent="0.25">
      <c r="A41" s="99">
        <v>30</v>
      </c>
      <c r="B41" s="100">
        <v>245.5</v>
      </c>
      <c r="C41" s="100">
        <v>125</v>
      </c>
      <c r="D41" s="100">
        <v>84.9</v>
      </c>
      <c r="E41" s="100">
        <v>64.900000000000006</v>
      </c>
      <c r="F41" s="100">
        <v>52.9</v>
      </c>
      <c r="G41" s="100">
        <v>44.9</v>
      </c>
      <c r="H41" s="100">
        <v>39.1</v>
      </c>
      <c r="I41" s="100">
        <v>34.9</v>
      </c>
      <c r="J41" s="100">
        <v>31.6</v>
      </c>
      <c r="K41" s="100">
        <v>28.9</v>
      </c>
      <c r="L41" s="100">
        <v>26.8</v>
      </c>
      <c r="M41" s="100">
        <v>25</v>
      </c>
      <c r="N41" s="100">
        <v>23.4</v>
      </c>
      <c r="O41" s="100">
        <v>22.2</v>
      </c>
      <c r="P41" s="100">
        <v>21</v>
      </c>
      <c r="Q41" s="100">
        <v>20.100000000000001</v>
      </c>
      <c r="R41" s="100">
        <v>19.2</v>
      </c>
      <c r="S41" s="100">
        <v>18.5</v>
      </c>
      <c r="T41" s="100">
        <v>17.8</v>
      </c>
      <c r="U41" s="100">
        <v>17.2</v>
      </c>
    </row>
    <row r="42" spans="1:21" x14ac:dyDescent="0.25">
      <c r="A42" s="99">
        <v>31</v>
      </c>
      <c r="B42" s="100">
        <v>249</v>
      </c>
      <c r="C42" s="100">
        <v>126.8</v>
      </c>
      <c r="D42" s="100">
        <v>86.1</v>
      </c>
      <c r="E42" s="100">
        <v>65.8</v>
      </c>
      <c r="F42" s="100">
        <v>53.6</v>
      </c>
      <c r="G42" s="100">
        <v>45.5</v>
      </c>
      <c r="H42" s="100">
        <v>39.700000000000003</v>
      </c>
      <c r="I42" s="100">
        <v>35.4</v>
      </c>
      <c r="J42" s="100">
        <v>32</v>
      </c>
      <c r="K42" s="100">
        <v>29.3</v>
      </c>
      <c r="L42" s="100">
        <v>27.1</v>
      </c>
      <c r="M42" s="100">
        <v>25.3</v>
      </c>
      <c r="N42" s="100">
        <v>23.8</v>
      </c>
      <c r="O42" s="100">
        <v>22.5</v>
      </c>
      <c r="P42" s="100">
        <v>21.4</v>
      </c>
      <c r="Q42" s="100">
        <v>20.399999999999999</v>
      </c>
      <c r="R42" s="100">
        <v>19.5</v>
      </c>
      <c r="S42" s="100">
        <v>18.7</v>
      </c>
      <c r="T42" s="100">
        <v>18.100000000000001</v>
      </c>
      <c r="U42" s="100">
        <v>17.5</v>
      </c>
    </row>
    <row r="43" spans="1:21" x14ac:dyDescent="0.25">
      <c r="A43" s="99">
        <v>32</v>
      </c>
      <c r="B43" s="100">
        <v>252.5</v>
      </c>
      <c r="C43" s="100">
        <v>128.6</v>
      </c>
      <c r="D43" s="100">
        <v>87.3</v>
      </c>
      <c r="E43" s="100">
        <v>66.7</v>
      </c>
      <c r="F43" s="100">
        <v>54.4</v>
      </c>
      <c r="G43" s="100">
        <v>46.1</v>
      </c>
      <c r="H43" s="100">
        <v>40.299999999999997</v>
      </c>
      <c r="I43" s="100">
        <v>35.9</v>
      </c>
      <c r="J43" s="100">
        <v>32.5</v>
      </c>
      <c r="K43" s="100">
        <v>29.8</v>
      </c>
      <c r="L43" s="100">
        <v>27.5</v>
      </c>
      <c r="M43" s="100">
        <v>25.7</v>
      </c>
      <c r="N43" s="100">
        <v>24.1</v>
      </c>
      <c r="O43" s="100">
        <v>22.8</v>
      </c>
      <c r="P43" s="100">
        <v>21.7</v>
      </c>
      <c r="Q43" s="100">
        <v>20.7</v>
      </c>
      <c r="R43" s="100">
        <v>19.8</v>
      </c>
      <c r="S43" s="100">
        <v>19</v>
      </c>
      <c r="T43" s="100">
        <v>18.3</v>
      </c>
      <c r="U43" s="100">
        <v>17.7</v>
      </c>
    </row>
    <row r="44" spans="1:21" x14ac:dyDescent="0.25">
      <c r="A44" s="99">
        <v>33</v>
      </c>
      <c r="B44" s="100">
        <v>256</v>
      </c>
      <c r="C44" s="100">
        <v>130.4</v>
      </c>
      <c r="D44" s="100">
        <v>88.6</v>
      </c>
      <c r="E44" s="100">
        <v>67.7</v>
      </c>
      <c r="F44" s="100">
        <v>55.1</v>
      </c>
      <c r="G44" s="100">
        <v>46.8</v>
      </c>
      <c r="H44" s="100">
        <v>40.799999999999997</v>
      </c>
      <c r="I44" s="100">
        <v>36.4</v>
      </c>
      <c r="J44" s="100">
        <v>32.9</v>
      </c>
      <c r="K44" s="100">
        <v>30.2</v>
      </c>
      <c r="L44" s="100">
        <v>27.9</v>
      </c>
      <c r="M44" s="100">
        <v>26.1</v>
      </c>
      <c r="N44" s="100">
        <v>24.5</v>
      </c>
      <c r="O44" s="100">
        <v>23.1</v>
      </c>
      <c r="P44" s="100">
        <v>22</v>
      </c>
      <c r="Q44" s="100">
        <v>21</v>
      </c>
      <c r="R44" s="100">
        <v>20.100000000000001</v>
      </c>
      <c r="S44" s="100">
        <v>19.3</v>
      </c>
      <c r="T44" s="100">
        <v>18.600000000000001</v>
      </c>
      <c r="U44" s="100">
        <v>18</v>
      </c>
    </row>
    <row r="45" spans="1:21" x14ac:dyDescent="0.25">
      <c r="A45" s="99">
        <v>34</v>
      </c>
      <c r="B45" s="100">
        <v>259.60000000000002</v>
      </c>
      <c r="C45" s="100">
        <v>132.19999999999999</v>
      </c>
      <c r="D45" s="100">
        <v>89.8</v>
      </c>
      <c r="E45" s="100">
        <v>68.599999999999994</v>
      </c>
      <c r="F45" s="100">
        <v>55.9</v>
      </c>
      <c r="G45" s="100">
        <v>47.5</v>
      </c>
      <c r="H45" s="100">
        <v>41.4</v>
      </c>
      <c r="I45" s="100">
        <v>36.9</v>
      </c>
      <c r="J45" s="100">
        <v>33.4</v>
      </c>
      <c r="K45" s="100">
        <v>30.6</v>
      </c>
      <c r="L45" s="100">
        <v>28.3</v>
      </c>
      <c r="M45" s="100">
        <v>26.4</v>
      </c>
      <c r="N45" s="100">
        <v>24.8</v>
      </c>
      <c r="O45" s="100">
        <v>23.5</v>
      </c>
      <c r="P45" s="100">
        <v>22.3</v>
      </c>
      <c r="Q45" s="100">
        <v>21.3</v>
      </c>
      <c r="R45" s="100">
        <v>20.399999999999999</v>
      </c>
      <c r="S45" s="100">
        <v>19.600000000000001</v>
      </c>
      <c r="T45" s="100">
        <v>18.899999999999999</v>
      </c>
      <c r="U45" s="100">
        <v>18.3</v>
      </c>
    </row>
    <row r="46" spans="1:21" x14ac:dyDescent="0.25">
      <c r="A46" s="99">
        <v>35</v>
      </c>
      <c r="B46" s="100">
        <v>263.2</v>
      </c>
      <c r="C46" s="100">
        <v>134.1</v>
      </c>
      <c r="D46" s="100">
        <v>91.1</v>
      </c>
      <c r="E46" s="100">
        <v>69.599999999999994</v>
      </c>
      <c r="F46" s="100">
        <v>56.7</v>
      </c>
      <c r="G46" s="100">
        <v>48.1</v>
      </c>
      <c r="H46" s="100">
        <v>42</v>
      </c>
      <c r="I46" s="100">
        <v>37.4</v>
      </c>
      <c r="J46" s="100">
        <v>33.9</v>
      </c>
      <c r="K46" s="100">
        <v>31.1</v>
      </c>
      <c r="L46" s="100">
        <v>28.7</v>
      </c>
      <c r="M46" s="100">
        <v>26.8</v>
      </c>
      <c r="N46" s="100">
        <v>25.2</v>
      </c>
      <c r="O46" s="100">
        <v>23.8</v>
      </c>
      <c r="P46" s="100">
        <v>22.6</v>
      </c>
      <c r="Q46" s="100">
        <v>21.6</v>
      </c>
      <c r="R46" s="100">
        <v>20.7</v>
      </c>
      <c r="S46" s="100">
        <v>19.899999999999999</v>
      </c>
      <c r="T46" s="100">
        <v>19.2</v>
      </c>
      <c r="U46" s="100">
        <v>18.5</v>
      </c>
    </row>
    <row r="47" spans="1:21" x14ac:dyDescent="0.25">
      <c r="A47" s="99">
        <v>36</v>
      </c>
      <c r="B47" s="100">
        <v>266.8</v>
      </c>
      <c r="C47" s="100">
        <v>135.9</v>
      </c>
      <c r="D47" s="100">
        <v>92.3</v>
      </c>
      <c r="E47" s="100">
        <v>70.599999999999994</v>
      </c>
      <c r="F47" s="100">
        <v>57.5</v>
      </c>
      <c r="G47" s="100">
        <v>48.8</v>
      </c>
      <c r="H47" s="100">
        <v>42.6</v>
      </c>
      <c r="I47" s="100">
        <v>38</v>
      </c>
      <c r="J47" s="100">
        <v>34.4</v>
      </c>
      <c r="K47" s="100">
        <v>31.5</v>
      </c>
      <c r="L47" s="100">
        <v>29.2</v>
      </c>
      <c r="M47" s="100">
        <v>27.2</v>
      </c>
      <c r="N47" s="100">
        <v>25.6</v>
      </c>
      <c r="O47" s="100">
        <v>24.2</v>
      </c>
      <c r="P47" s="100">
        <v>23</v>
      </c>
      <c r="Q47" s="100">
        <v>21.9</v>
      </c>
      <c r="R47" s="100">
        <v>21</v>
      </c>
      <c r="S47" s="100">
        <v>20.2</v>
      </c>
      <c r="T47" s="100">
        <v>19.5</v>
      </c>
      <c r="U47" s="100">
        <v>18.8</v>
      </c>
    </row>
    <row r="48" spans="1:21" x14ac:dyDescent="0.25">
      <c r="A48" s="99">
        <v>37</v>
      </c>
      <c r="B48" s="100">
        <v>270.5</v>
      </c>
      <c r="C48" s="100">
        <v>137.80000000000001</v>
      </c>
      <c r="D48" s="100">
        <v>93.6</v>
      </c>
      <c r="E48" s="100">
        <v>71.5</v>
      </c>
      <c r="F48" s="100">
        <v>58.3</v>
      </c>
      <c r="G48" s="100">
        <v>49.5</v>
      </c>
      <c r="H48" s="100">
        <v>43.2</v>
      </c>
      <c r="I48" s="100">
        <v>38.5</v>
      </c>
      <c r="J48" s="100">
        <v>34.9</v>
      </c>
      <c r="K48" s="100">
        <v>32</v>
      </c>
      <c r="L48" s="100">
        <v>29.6</v>
      </c>
      <c r="M48" s="100">
        <v>27.6</v>
      </c>
      <c r="N48" s="100">
        <v>26</v>
      </c>
      <c r="O48" s="100">
        <v>24.5</v>
      </c>
      <c r="P48" s="100">
        <v>23.3</v>
      </c>
      <c r="Q48" s="100">
        <v>22.3</v>
      </c>
      <c r="R48" s="100">
        <v>21.3</v>
      </c>
      <c r="S48" s="100">
        <v>20.5</v>
      </c>
      <c r="T48" s="100">
        <v>19.8</v>
      </c>
      <c r="U48" s="100">
        <v>19.100000000000001</v>
      </c>
    </row>
    <row r="49" spans="1:21" x14ac:dyDescent="0.25">
      <c r="A49" s="99">
        <v>38</v>
      </c>
      <c r="B49" s="100">
        <v>274.3</v>
      </c>
      <c r="C49" s="100">
        <v>139.69999999999999</v>
      </c>
      <c r="D49" s="100">
        <v>94.9</v>
      </c>
      <c r="E49" s="100">
        <v>72.5</v>
      </c>
      <c r="F49" s="100">
        <v>59.1</v>
      </c>
      <c r="G49" s="100">
        <v>50.2</v>
      </c>
      <c r="H49" s="100">
        <v>43.8</v>
      </c>
      <c r="I49" s="100">
        <v>39.1</v>
      </c>
      <c r="J49" s="100">
        <v>35.4</v>
      </c>
      <c r="K49" s="100">
        <v>32.4</v>
      </c>
      <c r="L49" s="100">
        <v>30</v>
      </c>
      <c r="M49" s="100">
        <v>28</v>
      </c>
      <c r="N49" s="100">
        <v>26.3</v>
      </c>
      <c r="O49" s="100">
        <v>24.9</v>
      </c>
      <c r="P49" s="100">
        <v>23.7</v>
      </c>
      <c r="Q49" s="100">
        <v>22.6</v>
      </c>
      <c r="R49" s="100">
        <v>21.7</v>
      </c>
      <c r="S49" s="100">
        <v>20.8</v>
      </c>
      <c r="T49" s="100">
        <v>20.100000000000001</v>
      </c>
      <c r="U49" s="100">
        <v>19.5</v>
      </c>
    </row>
    <row r="50" spans="1:21" x14ac:dyDescent="0.25">
      <c r="A50" s="99">
        <v>39</v>
      </c>
      <c r="B50" s="100">
        <v>278.10000000000002</v>
      </c>
      <c r="C50" s="100">
        <v>141.69999999999999</v>
      </c>
      <c r="D50" s="100">
        <v>96.3</v>
      </c>
      <c r="E50" s="100">
        <v>73.599999999999994</v>
      </c>
      <c r="F50" s="100">
        <v>60</v>
      </c>
      <c r="G50" s="100">
        <v>50.9</v>
      </c>
      <c r="H50" s="100">
        <v>44.5</v>
      </c>
      <c r="I50" s="100">
        <v>39.6</v>
      </c>
      <c r="J50" s="100">
        <v>35.9</v>
      </c>
      <c r="K50" s="100">
        <v>32.9</v>
      </c>
      <c r="L50" s="100">
        <v>30.5</v>
      </c>
      <c r="M50" s="100">
        <v>28.4</v>
      </c>
      <c r="N50" s="100">
        <v>26.7</v>
      </c>
      <c r="O50" s="100">
        <v>25.3</v>
      </c>
      <c r="P50" s="100">
        <v>24</v>
      </c>
      <c r="Q50" s="100">
        <v>23</v>
      </c>
      <c r="R50" s="100">
        <v>22</v>
      </c>
      <c r="S50" s="100">
        <v>21.2</v>
      </c>
      <c r="T50" s="100">
        <v>20.399999999999999</v>
      </c>
      <c r="U50" s="100">
        <v>19.8</v>
      </c>
    </row>
    <row r="51" spans="1:21" x14ac:dyDescent="0.25">
      <c r="A51" s="99">
        <v>40</v>
      </c>
      <c r="B51" s="100">
        <v>281.89999999999998</v>
      </c>
      <c r="C51" s="100">
        <v>143.69999999999999</v>
      </c>
      <c r="D51" s="100">
        <v>97.6</v>
      </c>
      <c r="E51" s="100">
        <v>74.599999999999994</v>
      </c>
      <c r="F51" s="100">
        <v>60.8</v>
      </c>
      <c r="G51" s="100">
        <v>51.6</v>
      </c>
      <c r="H51" s="100">
        <v>45.1</v>
      </c>
      <c r="I51" s="100">
        <v>40.200000000000003</v>
      </c>
      <c r="J51" s="100">
        <v>36.4</v>
      </c>
      <c r="K51" s="100">
        <v>33.4</v>
      </c>
      <c r="L51" s="100">
        <v>30.9</v>
      </c>
      <c r="M51" s="100">
        <v>28.9</v>
      </c>
      <c r="N51" s="100">
        <v>27.1</v>
      </c>
      <c r="O51" s="100">
        <v>25.7</v>
      </c>
      <c r="P51" s="100">
        <v>24.4</v>
      </c>
      <c r="Q51" s="100">
        <v>23.3</v>
      </c>
      <c r="R51" s="100">
        <v>22.4</v>
      </c>
      <c r="S51" s="100">
        <v>21.5</v>
      </c>
      <c r="T51" s="100">
        <v>20.8</v>
      </c>
      <c r="U51" s="100">
        <v>20.100000000000001</v>
      </c>
    </row>
    <row r="52" spans="1:21" x14ac:dyDescent="0.25">
      <c r="A52" s="99">
        <v>41</v>
      </c>
      <c r="B52" s="100">
        <v>285.8</v>
      </c>
      <c r="C52" s="100">
        <v>145.69999999999999</v>
      </c>
      <c r="D52" s="100">
        <v>99</v>
      </c>
      <c r="E52" s="100">
        <v>75.7</v>
      </c>
      <c r="F52" s="100">
        <v>61.7</v>
      </c>
      <c r="G52" s="100">
        <v>52.4</v>
      </c>
      <c r="H52" s="100">
        <v>45.8</v>
      </c>
      <c r="I52" s="100">
        <v>40.799999999999997</v>
      </c>
      <c r="J52" s="100">
        <v>36.9</v>
      </c>
      <c r="K52" s="100">
        <v>33.9</v>
      </c>
      <c r="L52" s="100">
        <v>31.4</v>
      </c>
      <c r="M52" s="100">
        <v>29.3</v>
      </c>
      <c r="N52" s="100">
        <v>27.6</v>
      </c>
      <c r="O52" s="100">
        <v>26.1</v>
      </c>
      <c r="P52" s="100">
        <v>24.8</v>
      </c>
      <c r="Q52" s="100">
        <v>23.7</v>
      </c>
      <c r="R52" s="100">
        <v>22.7</v>
      </c>
      <c r="S52" s="100">
        <v>21.9</v>
      </c>
      <c r="T52" s="100">
        <v>21.1</v>
      </c>
      <c r="U52" s="100">
        <v>20.5</v>
      </c>
    </row>
    <row r="53" spans="1:21" x14ac:dyDescent="0.25">
      <c r="A53" s="99">
        <v>42</v>
      </c>
      <c r="B53" s="100">
        <v>289.7</v>
      </c>
      <c r="C53" s="100">
        <v>147.69999999999999</v>
      </c>
      <c r="D53" s="100">
        <v>100.4</v>
      </c>
      <c r="E53" s="100">
        <v>76.7</v>
      </c>
      <c r="F53" s="100">
        <v>62.6</v>
      </c>
      <c r="G53" s="100">
        <v>53.1</v>
      </c>
      <c r="H53" s="100">
        <v>46.4</v>
      </c>
      <c r="I53" s="100">
        <v>41.4</v>
      </c>
      <c r="J53" s="100">
        <v>37.5</v>
      </c>
      <c r="K53" s="100">
        <v>34.4</v>
      </c>
      <c r="L53" s="100">
        <v>31.8</v>
      </c>
      <c r="M53" s="100">
        <v>29.7</v>
      </c>
      <c r="N53" s="100">
        <v>28</v>
      </c>
      <c r="O53" s="100">
        <v>26.5</v>
      </c>
      <c r="P53" s="100">
        <v>25.2</v>
      </c>
      <c r="Q53" s="100">
        <v>24.1</v>
      </c>
      <c r="R53" s="100">
        <v>23.1</v>
      </c>
      <c r="S53" s="100">
        <v>22.2</v>
      </c>
      <c r="T53" s="100">
        <v>21.5</v>
      </c>
      <c r="U53" s="100">
        <v>20.8</v>
      </c>
    </row>
    <row r="54" spans="1:21" x14ac:dyDescent="0.25">
      <c r="A54" s="99">
        <v>43</v>
      </c>
      <c r="B54" s="100">
        <v>293.7</v>
      </c>
      <c r="C54" s="100">
        <v>149.69999999999999</v>
      </c>
      <c r="D54" s="100">
        <v>101.8</v>
      </c>
      <c r="E54" s="100">
        <v>77.8</v>
      </c>
      <c r="F54" s="100">
        <v>63.4</v>
      </c>
      <c r="G54" s="100">
        <v>53.9</v>
      </c>
      <c r="H54" s="100">
        <v>47.1</v>
      </c>
      <c r="I54" s="100">
        <v>42</v>
      </c>
      <c r="J54" s="100">
        <v>38</v>
      </c>
      <c r="K54" s="100">
        <v>34.9</v>
      </c>
      <c r="L54" s="100">
        <v>32.299999999999997</v>
      </c>
      <c r="M54" s="100">
        <v>30.2</v>
      </c>
      <c r="N54" s="100">
        <v>28.4</v>
      </c>
      <c r="O54" s="100">
        <v>26.9</v>
      </c>
      <c r="P54" s="100">
        <v>25.6</v>
      </c>
      <c r="Q54" s="100">
        <v>24.5</v>
      </c>
      <c r="R54" s="100">
        <v>23.5</v>
      </c>
      <c r="S54" s="100">
        <v>22.6</v>
      </c>
      <c r="T54" s="100">
        <v>21.9</v>
      </c>
      <c r="U54" s="100">
        <v>21.2</v>
      </c>
    </row>
    <row r="55" spans="1:21" x14ac:dyDescent="0.25">
      <c r="A55" s="99">
        <v>44</v>
      </c>
      <c r="B55" s="100">
        <v>297.8</v>
      </c>
      <c r="C55" s="100">
        <v>151.80000000000001</v>
      </c>
      <c r="D55" s="100">
        <v>103.2</v>
      </c>
      <c r="E55" s="100">
        <v>78.900000000000006</v>
      </c>
      <c r="F55" s="100">
        <v>64.3</v>
      </c>
      <c r="G55" s="100">
        <v>54.7</v>
      </c>
      <c r="H55" s="100">
        <v>47.8</v>
      </c>
      <c r="I55" s="100">
        <v>42.6</v>
      </c>
      <c r="J55" s="100">
        <v>38.6</v>
      </c>
      <c r="K55" s="100">
        <v>35.4</v>
      </c>
      <c r="L55" s="100">
        <v>32.799999999999997</v>
      </c>
      <c r="M55" s="100">
        <v>30.7</v>
      </c>
      <c r="N55" s="100">
        <v>28.9</v>
      </c>
      <c r="O55" s="100">
        <v>27.4</v>
      </c>
      <c r="P55" s="100">
        <v>26</v>
      </c>
      <c r="Q55" s="100">
        <v>24.9</v>
      </c>
      <c r="R55" s="100">
        <v>23.9</v>
      </c>
      <c r="S55" s="100">
        <v>23</v>
      </c>
      <c r="T55" s="100">
        <v>22.3</v>
      </c>
      <c r="U55" s="100">
        <v>21.6</v>
      </c>
    </row>
    <row r="56" spans="1:21" x14ac:dyDescent="0.25">
      <c r="A56" s="99">
        <v>45</v>
      </c>
      <c r="B56" s="100">
        <v>301.89999999999998</v>
      </c>
      <c r="C56" s="100">
        <v>153.9</v>
      </c>
      <c r="D56" s="100">
        <v>104.6</v>
      </c>
      <c r="E56" s="100">
        <v>80</v>
      </c>
      <c r="F56" s="100">
        <v>65.3</v>
      </c>
      <c r="G56" s="100">
        <v>55.4</v>
      </c>
      <c r="H56" s="100">
        <v>48.4</v>
      </c>
      <c r="I56" s="100">
        <v>43.2</v>
      </c>
      <c r="J56" s="100">
        <v>39.200000000000003</v>
      </c>
      <c r="K56" s="100">
        <v>36</v>
      </c>
      <c r="L56" s="100">
        <v>33.299999999999997</v>
      </c>
      <c r="M56" s="100">
        <v>31.2</v>
      </c>
      <c r="N56" s="100">
        <v>29.4</v>
      </c>
      <c r="O56" s="100">
        <v>27.8</v>
      </c>
      <c r="P56" s="100">
        <v>26.5</v>
      </c>
      <c r="Q56" s="100">
        <v>25.3</v>
      </c>
      <c r="R56" s="100">
        <v>24.3</v>
      </c>
      <c r="S56" s="100">
        <v>23.5</v>
      </c>
      <c r="T56" s="100">
        <v>22.7</v>
      </c>
      <c r="U56" s="100"/>
    </row>
    <row r="57" spans="1:21" x14ac:dyDescent="0.25">
      <c r="A57" s="99">
        <v>46</v>
      </c>
      <c r="B57" s="100">
        <v>306</v>
      </c>
      <c r="C57" s="100">
        <v>156</v>
      </c>
      <c r="D57" s="100">
        <v>106.1</v>
      </c>
      <c r="E57" s="100">
        <v>81.099999999999994</v>
      </c>
      <c r="F57" s="100">
        <v>66.2</v>
      </c>
      <c r="G57" s="100">
        <v>56.2</v>
      </c>
      <c r="H57" s="100">
        <v>49.2</v>
      </c>
      <c r="I57" s="100">
        <v>43.9</v>
      </c>
      <c r="J57" s="100">
        <v>39.799999999999997</v>
      </c>
      <c r="K57" s="100">
        <v>36.5</v>
      </c>
      <c r="L57" s="100">
        <v>33.9</v>
      </c>
      <c r="M57" s="100">
        <v>31.7</v>
      </c>
      <c r="N57" s="100">
        <v>29.9</v>
      </c>
      <c r="O57" s="100">
        <v>28.3</v>
      </c>
      <c r="P57" s="100">
        <v>27</v>
      </c>
      <c r="Q57" s="100">
        <v>25.8</v>
      </c>
      <c r="R57" s="100">
        <v>24.8</v>
      </c>
      <c r="S57" s="100">
        <v>23.9</v>
      </c>
      <c r="T57" s="100"/>
      <c r="U57" s="100"/>
    </row>
    <row r="58" spans="1:21" x14ac:dyDescent="0.25">
      <c r="A58" s="99">
        <v>47</v>
      </c>
      <c r="B58" s="100">
        <v>310.2</v>
      </c>
      <c r="C58" s="100">
        <v>158.19999999999999</v>
      </c>
      <c r="D58" s="100">
        <v>107.6</v>
      </c>
      <c r="E58" s="100">
        <v>82.3</v>
      </c>
      <c r="F58" s="100">
        <v>67.099999999999994</v>
      </c>
      <c r="G58" s="100">
        <v>57.1</v>
      </c>
      <c r="H58" s="100">
        <v>49.9</v>
      </c>
      <c r="I58" s="100">
        <v>44.6</v>
      </c>
      <c r="J58" s="100">
        <v>40.4</v>
      </c>
      <c r="K58" s="100">
        <v>37.1</v>
      </c>
      <c r="L58" s="100">
        <v>34.5</v>
      </c>
      <c r="M58" s="100">
        <v>32.200000000000003</v>
      </c>
      <c r="N58" s="100">
        <v>30.4</v>
      </c>
      <c r="O58" s="100">
        <v>28.8</v>
      </c>
      <c r="P58" s="100">
        <v>27.5</v>
      </c>
      <c r="Q58" s="100">
        <v>26.3</v>
      </c>
      <c r="R58" s="100">
        <v>25.3</v>
      </c>
      <c r="S58" s="100"/>
      <c r="T58" s="100"/>
      <c r="U58" s="100"/>
    </row>
    <row r="59" spans="1:21" x14ac:dyDescent="0.25">
      <c r="A59" s="99">
        <v>48</v>
      </c>
      <c r="B59" s="100">
        <v>314.5</v>
      </c>
      <c r="C59" s="100">
        <v>160.4</v>
      </c>
      <c r="D59" s="100">
        <v>109.1</v>
      </c>
      <c r="E59" s="100">
        <v>83.5</v>
      </c>
      <c r="F59" s="100">
        <v>68.099999999999994</v>
      </c>
      <c r="G59" s="100">
        <v>57.9</v>
      </c>
      <c r="H59" s="100">
        <v>50.7</v>
      </c>
      <c r="I59" s="100">
        <v>45.3</v>
      </c>
      <c r="J59" s="100">
        <v>41.1</v>
      </c>
      <c r="K59" s="100">
        <v>37.799999999999997</v>
      </c>
      <c r="L59" s="100">
        <v>35.1</v>
      </c>
      <c r="M59" s="100">
        <v>32.799999999999997</v>
      </c>
      <c r="N59" s="100">
        <v>30.9</v>
      </c>
      <c r="O59" s="100">
        <v>29.3</v>
      </c>
      <c r="P59" s="100">
        <v>28</v>
      </c>
      <c r="Q59" s="100">
        <v>26.8</v>
      </c>
      <c r="R59" s="100"/>
      <c r="S59" s="100"/>
      <c r="T59" s="100"/>
      <c r="U59" s="100"/>
    </row>
    <row r="60" spans="1:21" x14ac:dyDescent="0.25">
      <c r="A60" s="99">
        <v>49</v>
      </c>
      <c r="B60" s="100">
        <v>318.89999999999998</v>
      </c>
      <c r="C60" s="100">
        <v>162.69999999999999</v>
      </c>
      <c r="D60" s="100">
        <v>110.7</v>
      </c>
      <c r="E60" s="100">
        <v>84.7</v>
      </c>
      <c r="F60" s="100">
        <v>69.2</v>
      </c>
      <c r="G60" s="100">
        <v>58.9</v>
      </c>
      <c r="H60" s="100">
        <v>51.5</v>
      </c>
      <c r="I60" s="100">
        <v>46</v>
      </c>
      <c r="J60" s="100">
        <v>41.8</v>
      </c>
      <c r="K60" s="100">
        <v>38.4</v>
      </c>
      <c r="L60" s="100">
        <v>35.700000000000003</v>
      </c>
      <c r="M60" s="100">
        <v>33.4</v>
      </c>
      <c r="N60" s="100">
        <v>31.5</v>
      </c>
      <c r="O60" s="100">
        <v>29.9</v>
      </c>
      <c r="P60" s="100">
        <v>28.5</v>
      </c>
      <c r="Q60" s="100"/>
      <c r="R60" s="100"/>
      <c r="S60" s="100"/>
      <c r="T60" s="100"/>
      <c r="U60" s="100"/>
    </row>
    <row r="61" spans="1:21" x14ac:dyDescent="0.25">
      <c r="A61" s="99">
        <v>50</v>
      </c>
      <c r="B61" s="100">
        <v>323.5</v>
      </c>
      <c r="C61" s="100">
        <v>165.1</v>
      </c>
      <c r="D61" s="100">
        <v>112.4</v>
      </c>
      <c r="E61" s="100">
        <v>86.1</v>
      </c>
      <c r="F61" s="100">
        <v>70.3</v>
      </c>
      <c r="G61" s="100">
        <v>59.8</v>
      </c>
      <c r="H61" s="100">
        <v>52.4</v>
      </c>
      <c r="I61" s="100">
        <v>46.8</v>
      </c>
      <c r="J61" s="100">
        <v>42.5</v>
      </c>
      <c r="K61" s="100">
        <v>39.1</v>
      </c>
      <c r="L61" s="100">
        <v>36.4</v>
      </c>
      <c r="M61" s="100">
        <v>34.1</v>
      </c>
      <c r="N61" s="100">
        <v>32.1</v>
      </c>
      <c r="O61" s="100">
        <v>30.5</v>
      </c>
      <c r="P61" s="100"/>
      <c r="Q61" s="100"/>
      <c r="R61" s="100"/>
      <c r="S61" s="100"/>
      <c r="T61" s="100"/>
      <c r="U61" s="100"/>
    </row>
    <row r="62" spans="1:21" x14ac:dyDescent="0.25">
      <c r="A62" s="99">
        <v>51</v>
      </c>
      <c r="B62" s="100">
        <v>328.1</v>
      </c>
      <c r="C62" s="100">
        <v>167.5</v>
      </c>
      <c r="D62" s="100">
        <v>114.1</v>
      </c>
      <c r="E62" s="100">
        <v>87.4</v>
      </c>
      <c r="F62" s="100">
        <v>71.400000000000006</v>
      </c>
      <c r="G62" s="100">
        <v>60.8</v>
      </c>
      <c r="H62" s="100">
        <v>53.3</v>
      </c>
      <c r="I62" s="100">
        <v>47.7</v>
      </c>
      <c r="J62" s="100">
        <v>43.3</v>
      </c>
      <c r="K62" s="100">
        <v>39.9</v>
      </c>
      <c r="L62" s="100">
        <v>37.1</v>
      </c>
      <c r="M62" s="100">
        <v>34.700000000000003</v>
      </c>
      <c r="N62" s="100">
        <v>32.799999999999997</v>
      </c>
      <c r="O62" s="100"/>
      <c r="P62" s="100"/>
      <c r="Q62" s="100"/>
      <c r="R62" s="100"/>
      <c r="S62" s="100"/>
      <c r="T62" s="100"/>
      <c r="U62" s="100"/>
    </row>
    <row r="63" spans="1:21" x14ac:dyDescent="0.25">
      <c r="A63" s="99">
        <v>52</v>
      </c>
      <c r="B63" s="100">
        <v>332.8</v>
      </c>
      <c r="C63" s="100">
        <v>170</v>
      </c>
      <c r="D63" s="100">
        <v>115.8</v>
      </c>
      <c r="E63" s="100">
        <v>88.8</v>
      </c>
      <c r="F63" s="100">
        <v>72.599999999999994</v>
      </c>
      <c r="G63" s="100">
        <v>61.9</v>
      </c>
      <c r="H63" s="100">
        <v>54.2</v>
      </c>
      <c r="I63" s="100">
        <v>48.5</v>
      </c>
      <c r="J63" s="100">
        <v>44.1</v>
      </c>
      <c r="K63" s="100">
        <v>40.6</v>
      </c>
      <c r="L63" s="100">
        <v>37.799999999999997</v>
      </c>
      <c r="M63" s="100">
        <v>35.4</v>
      </c>
      <c r="N63" s="100"/>
      <c r="O63" s="100"/>
      <c r="P63" s="100"/>
      <c r="Q63" s="100"/>
      <c r="R63" s="100"/>
      <c r="S63" s="100"/>
      <c r="T63" s="100"/>
      <c r="U63" s="100"/>
    </row>
    <row r="64" spans="1:21" x14ac:dyDescent="0.25">
      <c r="A64" s="99">
        <v>53</v>
      </c>
      <c r="B64" s="100">
        <v>337.5</v>
      </c>
      <c r="C64" s="100">
        <v>172.5</v>
      </c>
      <c r="D64" s="100">
        <v>117.6</v>
      </c>
      <c r="E64" s="100">
        <v>90.2</v>
      </c>
      <c r="F64" s="100">
        <v>73.8</v>
      </c>
      <c r="G64" s="100">
        <v>62.9</v>
      </c>
      <c r="H64" s="100">
        <v>55.1</v>
      </c>
      <c r="I64" s="100">
        <v>49.4</v>
      </c>
      <c r="J64" s="100">
        <v>44.9</v>
      </c>
      <c r="K64" s="100">
        <v>41.4</v>
      </c>
      <c r="L64" s="100">
        <v>38.5</v>
      </c>
      <c r="M64" s="100"/>
      <c r="N64" s="100"/>
      <c r="O64" s="100"/>
      <c r="P64" s="100"/>
      <c r="Q64" s="100"/>
      <c r="R64" s="100"/>
      <c r="S64" s="100"/>
      <c r="T64" s="100"/>
      <c r="U64" s="100"/>
    </row>
    <row r="65" spans="1:21" x14ac:dyDescent="0.25">
      <c r="A65" s="99">
        <v>54</v>
      </c>
      <c r="B65" s="100">
        <v>342.3</v>
      </c>
      <c r="C65" s="100">
        <v>175.1</v>
      </c>
      <c r="D65" s="100">
        <v>119.4</v>
      </c>
      <c r="E65" s="100">
        <v>91.6</v>
      </c>
      <c r="F65" s="100">
        <v>75</v>
      </c>
      <c r="G65" s="100">
        <v>64</v>
      </c>
      <c r="H65" s="100">
        <v>56.1</v>
      </c>
      <c r="I65" s="100">
        <v>50.3</v>
      </c>
      <c r="J65" s="100">
        <v>45.7</v>
      </c>
      <c r="K65" s="100">
        <v>42.2</v>
      </c>
      <c r="L65" s="100"/>
      <c r="M65" s="100"/>
      <c r="N65" s="100"/>
      <c r="O65" s="100"/>
      <c r="P65" s="100"/>
      <c r="Q65" s="100"/>
      <c r="R65" s="100"/>
      <c r="S65" s="100"/>
      <c r="T65" s="100"/>
      <c r="U65" s="100"/>
    </row>
    <row r="66" spans="1:21" x14ac:dyDescent="0.25">
      <c r="A66" s="99">
        <v>55</v>
      </c>
      <c r="B66" s="100">
        <v>347.3</v>
      </c>
      <c r="C66" s="100">
        <v>177.7</v>
      </c>
      <c r="D66" s="100">
        <v>121.2</v>
      </c>
      <c r="E66" s="100">
        <v>93.1</v>
      </c>
      <c r="F66" s="100">
        <v>76.2</v>
      </c>
      <c r="G66" s="100">
        <v>65.099999999999994</v>
      </c>
      <c r="H66" s="100">
        <v>57.1</v>
      </c>
      <c r="I66" s="100">
        <v>51.2</v>
      </c>
      <c r="J66" s="100">
        <v>46.6</v>
      </c>
      <c r="K66" s="100"/>
      <c r="L66" s="100"/>
      <c r="M66" s="100"/>
      <c r="N66" s="100"/>
      <c r="O66" s="100"/>
      <c r="P66" s="100"/>
      <c r="Q66" s="100"/>
      <c r="R66" s="100"/>
      <c r="S66" s="100"/>
      <c r="T66" s="100"/>
      <c r="U66" s="100"/>
    </row>
    <row r="67" spans="1:21" x14ac:dyDescent="0.25">
      <c r="A67" s="99">
        <v>56</v>
      </c>
      <c r="B67" s="100">
        <v>352.4</v>
      </c>
      <c r="C67" s="100">
        <v>180.4</v>
      </c>
      <c r="D67" s="100">
        <v>123.2</v>
      </c>
      <c r="E67" s="100">
        <v>94.6</v>
      </c>
      <c r="F67" s="100">
        <v>77.5</v>
      </c>
      <c r="G67" s="100">
        <v>66.2</v>
      </c>
      <c r="H67" s="100">
        <v>58.1</v>
      </c>
      <c r="I67" s="100">
        <v>52.1</v>
      </c>
      <c r="J67" s="100"/>
      <c r="K67" s="100"/>
      <c r="L67" s="100"/>
      <c r="M67" s="100"/>
      <c r="N67" s="100"/>
      <c r="O67" s="100"/>
      <c r="P67" s="100"/>
      <c r="Q67" s="100"/>
      <c r="R67" s="100"/>
      <c r="S67" s="100"/>
      <c r="T67" s="100"/>
      <c r="U67" s="100"/>
    </row>
    <row r="68" spans="1:21" x14ac:dyDescent="0.25">
      <c r="A68" s="99">
        <v>57</v>
      </c>
      <c r="B68" s="100">
        <v>357.7</v>
      </c>
      <c r="C68" s="100">
        <v>183.2</v>
      </c>
      <c r="D68" s="100">
        <v>125.1</v>
      </c>
      <c r="E68" s="100">
        <v>96.2</v>
      </c>
      <c r="F68" s="100">
        <v>78.900000000000006</v>
      </c>
      <c r="G68" s="100">
        <v>67.400000000000006</v>
      </c>
      <c r="H68" s="100">
        <v>59.2</v>
      </c>
      <c r="I68" s="100"/>
      <c r="J68" s="100"/>
      <c r="K68" s="100"/>
      <c r="L68" s="100"/>
      <c r="M68" s="100"/>
      <c r="N68" s="100"/>
      <c r="O68" s="100"/>
      <c r="P68" s="100"/>
      <c r="Q68" s="100"/>
      <c r="R68" s="100"/>
      <c r="S68" s="100"/>
      <c r="T68" s="100"/>
      <c r="U68" s="100"/>
    </row>
    <row r="69" spans="1:21" x14ac:dyDescent="0.25">
      <c r="A69" s="99">
        <v>58</v>
      </c>
      <c r="B69" s="100">
        <v>363.2</v>
      </c>
      <c r="C69" s="100">
        <v>186.1</v>
      </c>
      <c r="D69" s="100">
        <v>127.2</v>
      </c>
      <c r="E69" s="100">
        <v>97.8</v>
      </c>
      <c r="F69" s="100">
        <v>80.3</v>
      </c>
      <c r="G69" s="100">
        <v>68.599999999999994</v>
      </c>
      <c r="H69" s="100"/>
      <c r="I69" s="100"/>
      <c r="J69" s="100"/>
      <c r="K69" s="100"/>
      <c r="L69" s="100"/>
      <c r="M69" s="100"/>
      <c r="N69" s="100"/>
      <c r="O69" s="100"/>
      <c r="P69" s="100"/>
      <c r="Q69" s="100"/>
      <c r="R69" s="100"/>
      <c r="S69" s="100"/>
      <c r="T69" s="100"/>
      <c r="U69" s="100"/>
    </row>
    <row r="70" spans="1:21" x14ac:dyDescent="0.25">
      <c r="A70" s="99">
        <v>59</v>
      </c>
      <c r="B70" s="100">
        <v>368.9</v>
      </c>
      <c r="C70" s="100">
        <v>189.2</v>
      </c>
      <c r="D70" s="100">
        <v>129.4</v>
      </c>
      <c r="E70" s="100">
        <v>99.5</v>
      </c>
      <c r="F70" s="100">
        <v>81.7</v>
      </c>
      <c r="G70" s="100"/>
      <c r="H70" s="100"/>
      <c r="I70" s="100"/>
      <c r="J70" s="100"/>
      <c r="K70" s="100"/>
      <c r="L70" s="100"/>
      <c r="M70" s="100"/>
      <c r="N70" s="100"/>
      <c r="O70" s="100"/>
      <c r="P70" s="100"/>
      <c r="Q70" s="100"/>
      <c r="R70" s="100"/>
      <c r="S70" s="100"/>
      <c r="T70" s="100"/>
      <c r="U70" s="100"/>
    </row>
    <row r="71" spans="1:21" x14ac:dyDescent="0.25">
      <c r="A71" s="99">
        <v>60</v>
      </c>
      <c r="B71" s="100">
        <v>374.9</v>
      </c>
      <c r="C71" s="100">
        <v>192.4</v>
      </c>
      <c r="D71" s="100">
        <v>131.6</v>
      </c>
      <c r="E71" s="100">
        <v>101.3</v>
      </c>
      <c r="F71" s="100"/>
      <c r="G71" s="100"/>
      <c r="H71" s="100"/>
      <c r="I71" s="100"/>
      <c r="J71" s="100"/>
      <c r="K71" s="100"/>
      <c r="L71" s="100"/>
      <c r="M71" s="100"/>
      <c r="N71" s="100"/>
      <c r="O71" s="100"/>
      <c r="P71" s="100"/>
      <c r="Q71" s="100"/>
      <c r="R71" s="100"/>
      <c r="S71" s="100"/>
      <c r="T71" s="100"/>
      <c r="U71" s="100"/>
    </row>
    <row r="72" spans="1:21" x14ac:dyDescent="0.25">
      <c r="A72" s="99">
        <v>61</v>
      </c>
      <c r="B72" s="100">
        <v>381.3</v>
      </c>
      <c r="C72" s="100">
        <v>195.8</v>
      </c>
      <c r="D72" s="100">
        <v>134</v>
      </c>
      <c r="E72" s="100"/>
      <c r="F72" s="100"/>
      <c r="G72" s="100"/>
      <c r="H72" s="100"/>
      <c r="I72" s="100"/>
      <c r="J72" s="100"/>
      <c r="K72" s="100"/>
      <c r="L72" s="100"/>
      <c r="M72" s="100"/>
      <c r="N72" s="100"/>
      <c r="O72" s="100"/>
      <c r="P72" s="100"/>
      <c r="Q72" s="100"/>
      <c r="R72" s="100"/>
      <c r="S72" s="100"/>
      <c r="T72" s="100"/>
      <c r="U72" s="100"/>
    </row>
    <row r="73" spans="1:21" x14ac:dyDescent="0.25">
      <c r="A73" s="99">
        <v>62</v>
      </c>
      <c r="B73" s="100">
        <v>388.3</v>
      </c>
      <c r="C73" s="100">
        <v>199.4</v>
      </c>
      <c r="D73" s="100"/>
      <c r="E73" s="100"/>
      <c r="F73" s="100"/>
      <c r="G73" s="100"/>
      <c r="H73" s="100"/>
      <c r="I73" s="100"/>
      <c r="J73" s="100"/>
      <c r="K73" s="100"/>
      <c r="L73" s="100"/>
      <c r="M73" s="100"/>
      <c r="N73" s="100"/>
      <c r="O73" s="100"/>
      <c r="P73" s="100"/>
      <c r="Q73" s="100"/>
      <c r="R73" s="100"/>
      <c r="S73" s="100"/>
      <c r="T73" s="100"/>
      <c r="U73" s="100"/>
    </row>
    <row r="74" spans="1:21" x14ac:dyDescent="0.25">
      <c r="A74" s="99">
        <v>63</v>
      </c>
      <c r="B74" s="100">
        <v>395.7</v>
      </c>
      <c r="C74" s="100"/>
      <c r="D74" s="100"/>
      <c r="E74" s="100"/>
      <c r="F74" s="100"/>
      <c r="G74" s="100"/>
      <c r="H74" s="100"/>
      <c r="I74" s="100"/>
      <c r="J74" s="100"/>
      <c r="K74" s="100"/>
      <c r="L74" s="100"/>
      <c r="M74" s="100"/>
      <c r="N74" s="100"/>
      <c r="O74" s="100"/>
      <c r="P74" s="100"/>
      <c r="Q74" s="100"/>
      <c r="R74" s="100"/>
      <c r="S74" s="100"/>
      <c r="T74" s="100"/>
      <c r="U74" s="100"/>
    </row>
  </sheetData>
  <sheetProtection algorithmName="SHA-512" hashValue="MpQgEdkoUKKv8TpXvC1/88s9CNfi0xoEnUSCtK/s4b9eJQpt/U3eMyiYosjpOvw1SR1lQhT6c9rVbnyrxKC0aA==" saltValue="s8OZ9JpdXdXNdkfPY44NeQ==" spinCount="100000" sheet="1" objects="1" scenarios="1"/>
  <conditionalFormatting sqref="A6:A21">
    <cfRule type="expression" dxfId="447" priority="13" stopIfTrue="1">
      <formula>MOD(ROW(),2)=0</formula>
    </cfRule>
    <cfRule type="expression" dxfId="446" priority="14" stopIfTrue="1">
      <formula>MOD(ROW(),2)&lt;&gt;0</formula>
    </cfRule>
  </conditionalFormatting>
  <conditionalFormatting sqref="A26:A74">
    <cfRule type="expression" dxfId="445" priority="3" stopIfTrue="1">
      <formula>MOD(ROW(),2)=0</formula>
    </cfRule>
    <cfRule type="expression" dxfId="444" priority="4" stopIfTrue="1">
      <formula>MOD(ROW(),2)&lt;&gt;0</formula>
    </cfRule>
  </conditionalFormatting>
  <conditionalFormatting sqref="B17:B21">
    <cfRule type="expression" dxfId="443" priority="1" stopIfTrue="1">
      <formula>MOD(ROW(),2)=0</formula>
    </cfRule>
    <cfRule type="expression" dxfId="442" priority="2" stopIfTrue="1">
      <formula>MOD(ROW(),2)&lt;&gt;0</formula>
    </cfRule>
  </conditionalFormatting>
  <conditionalFormatting sqref="B6:U21">
    <cfRule type="expression" dxfId="441" priority="23" stopIfTrue="1">
      <formula>MOD(ROW(),2)=0</formula>
    </cfRule>
    <cfRule type="expression" dxfId="440" priority="24" stopIfTrue="1">
      <formula>MOD(ROW(),2)&lt;&gt;0</formula>
    </cfRule>
  </conditionalFormatting>
  <conditionalFormatting sqref="B26:U74">
    <cfRule type="expression" dxfId="439" priority="5" stopIfTrue="1">
      <formula>MOD(ROW(),2)=0</formula>
    </cfRule>
    <cfRule type="expression" dxfId="438" priority="6" stopIfTrue="1">
      <formula>MOD(ROW(),2)&lt;&gt;0</formula>
    </cfRule>
  </conditionalFormatting>
  <hyperlinks>
    <hyperlink ref="B24" location="Assumptions!A1" display="Assumptions" xr:uid="{1CC6C86A-8BFE-4193-A783-EAC874A2242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93"/>
  <dimension ref="A1:V173"/>
  <sheetViews>
    <sheetView showGridLines="0" zoomScale="85" zoomScaleNormal="85" workbookViewId="0">
      <selection activeCell="A4" sqref="A4"/>
    </sheetView>
  </sheetViews>
  <sheetFormatPr defaultColWidth="10" defaultRowHeight="12.5" x14ac:dyDescent="0.25"/>
  <cols>
    <col min="1" max="1" width="31.90625" style="25" customWidth="1"/>
    <col min="2" max="21" width="22.90625" style="25" customWidth="1"/>
    <col min="22" max="16384" width="10" style="25"/>
  </cols>
  <sheetData>
    <row r="1" spans="1:21" ht="20" x14ac:dyDescent="0.4">
      <c r="A1" s="36" t="s">
        <v>0</v>
      </c>
      <c r="B1" s="37"/>
      <c r="C1" s="37"/>
      <c r="D1" s="37"/>
      <c r="E1" s="37"/>
      <c r="F1" s="37"/>
      <c r="G1" s="37"/>
      <c r="H1" s="37"/>
      <c r="I1" s="37"/>
    </row>
    <row r="2" spans="1:21" ht="15.5" x14ac:dyDescent="0.35">
      <c r="A2" s="38" t="str">
        <f>IF(title="&gt; Enter workbook title here","Enter workbook title in Cover sheet",title)</f>
        <v>NHSPS_NI - Consolidated Factor Spreadsheet</v>
      </c>
      <c r="B2" s="39"/>
      <c r="C2" s="39"/>
      <c r="D2" s="39"/>
      <c r="E2" s="39"/>
      <c r="F2" s="39"/>
      <c r="G2" s="39"/>
      <c r="H2" s="39"/>
      <c r="I2" s="39"/>
    </row>
    <row r="3" spans="1:21" ht="15.5" x14ac:dyDescent="0.35">
      <c r="A3" s="40" t="str">
        <f>TABLE_FACTOR_TYPE_1&amp;" - x-"&amp;TABLE_SERIES_NUMBER_1</f>
        <v>Added pension - x-707</v>
      </c>
      <c r="B3" s="39"/>
      <c r="C3" s="39"/>
      <c r="D3" s="39"/>
      <c r="E3" s="39"/>
      <c r="F3" s="39"/>
      <c r="G3" s="39"/>
      <c r="H3" s="39"/>
      <c r="I3" s="39"/>
    </row>
    <row r="4" spans="1:21" x14ac:dyDescent="0.25">
      <c r="A4" s="41"/>
    </row>
    <row r="6" spans="1:21" ht="13" x14ac:dyDescent="0.3">
      <c r="A6" s="163" t="s">
        <v>276</v>
      </c>
      <c r="B6" s="107" t="s">
        <v>277</v>
      </c>
      <c r="C6" s="107"/>
      <c r="D6" s="107"/>
      <c r="E6" s="107"/>
      <c r="F6" s="107"/>
      <c r="G6" s="107"/>
      <c r="H6" s="107"/>
      <c r="I6" s="107"/>
      <c r="J6" s="107"/>
      <c r="K6" s="107"/>
      <c r="L6" s="107"/>
      <c r="M6" s="107"/>
      <c r="N6" s="107"/>
      <c r="O6" s="107"/>
      <c r="P6" s="107"/>
      <c r="Q6" s="107"/>
      <c r="R6" s="107"/>
      <c r="S6" s="107"/>
      <c r="T6" s="107"/>
      <c r="U6" s="107"/>
    </row>
    <row r="7" spans="1:21" x14ac:dyDescent="0.25">
      <c r="A7" s="69" t="s">
        <v>278</v>
      </c>
      <c r="B7" s="107" t="s">
        <v>310</v>
      </c>
      <c r="C7" s="107"/>
      <c r="D7" s="107"/>
      <c r="E7" s="107"/>
      <c r="F7" s="107"/>
      <c r="G7" s="107"/>
      <c r="H7" s="107"/>
      <c r="I7" s="107"/>
      <c r="J7" s="107"/>
      <c r="K7" s="107"/>
      <c r="L7" s="107"/>
      <c r="M7" s="107"/>
      <c r="N7" s="107"/>
      <c r="O7" s="107"/>
      <c r="P7" s="107"/>
      <c r="Q7" s="107"/>
      <c r="R7" s="107"/>
      <c r="S7" s="107"/>
      <c r="T7" s="107"/>
      <c r="U7" s="107"/>
    </row>
    <row r="8" spans="1:21" x14ac:dyDescent="0.25">
      <c r="A8" s="69" t="s">
        <v>280</v>
      </c>
      <c r="B8" s="107" t="s">
        <v>363</v>
      </c>
      <c r="C8" s="107"/>
      <c r="D8" s="107"/>
      <c r="E8" s="107"/>
      <c r="F8" s="107"/>
      <c r="G8" s="107"/>
      <c r="H8" s="107"/>
      <c r="I8" s="107"/>
      <c r="J8" s="107"/>
      <c r="K8" s="107"/>
      <c r="L8" s="107"/>
      <c r="M8" s="107"/>
      <c r="N8" s="107"/>
      <c r="O8" s="107"/>
      <c r="P8" s="107"/>
      <c r="Q8" s="107"/>
      <c r="R8" s="107"/>
      <c r="S8" s="107"/>
      <c r="T8" s="107"/>
      <c r="U8" s="107"/>
    </row>
    <row r="9" spans="1:21" x14ac:dyDescent="0.25">
      <c r="A9" s="69" t="s">
        <v>282</v>
      </c>
      <c r="B9" s="107" t="s">
        <v>514</v>
      </c>
      <c r="C9" s="107"/>
      <c r="D9" s="107"/>
      <c r="E9" s="107"/>
      <c r="F9" s="107"/>
      <c r="G9" s="107"/>
      <c r="H9" s="107"/>
      <c r="I9" s="107"/>
      <c r="J9" s="107"/>
      <c r="K9" s="107"/>
      <c r="L9" s="107"/>
      <c r="M9" s="107"/>
      <c r="N9" s="107"/>
      <c r="O9" s="107"/>
      <c r="P9" s="107"/>
      <c r="Q9" s="107"/>
      <c r="R9" s="107"/>
      <c r="S9" s="107"/>
      <c r="T9" s="107"/>
      <c r="U9" s="107"/>
    </row>
    <row r="10" spans="1:21" x14ac:dyDescent="0.25">
      <c r="A10" s="69" t="s">
        <v>6</v>
      </c>
      <c r="B10" s="107" t="s">
        <v>529</v>
      </c>
      <c r="C10" s="107"/>
      <c r="D10" s="107"/>
      <c r="E10" s="107"/>
      <c r="F10" s="107"/>
      <c r="G10" s="107"/>
      <c r="H10" s="107"/>
      <c r="I10" s="107"/>
      <c r="J10" s="107"/>
      <c r="K10" s="107"/>
      <c r="L10" s="107"/>
      <c r="M10" s="107"/>
      <c r="N10" s="107"/>
      <c r="O10" s="107"/>
      <c r="P10" s="107"/>
      <c r="Q10" s="107"/>
      <c r="R10" s="107"/>
      <c r="S10" s="107"/>
      <c r="T10" s="107"/>
      <c r="U10" s="107"/>
    </row>
    <row r="11" spans="1:21" x14ac:dyDescent="0.25">
      <c r="A11" s="69" t="s">
        <v>285</v>
      </c>
      <c r="B11" s="107" t="s">
        <v>359</v>
      </c>
      <c r="C11" s="107"/>
      <c r="D11" s="107"/>
      <c r="E11" s="107"/>
      <c r="F11" s="107"/>
      <c r="G11" s="107"/>
      <c r="H11" s="107"/>
      <c r="I11" s="107"/>
      <c r="J11" s="107"/>
      <c r="K11" s="107"/>
      <c r="L11" s="107"/>
      <c r="M11" s="107"/>
      <c r="N11" s="107"/>
      <c r="O11" s="107"/>
      <c r="P11" s="107"/>
      <c r="Q11" s="107"/>
      <c r="R11" s="107"/>
      <c r="S11" s="107"/>
      <c r="T11" s="107"/>
      <c r="U11" s="107"/>
    </row>
    <row r="12" spans="1:21" x14ac:dyDescent="0.25">
      <c r="A12" s="69" t="s">
        <v>287</v>
      </c>
      <c r="B12" s="107" t="s">
        <v>520</v>
      </c>
      <c r="C12" s="107"/>
      <c r="D12" s="107"/>
      <c r="E12" s="107"/>
      <c r="F12" s="107"/>
      <c r="G12" s="107"/>
      <c r="H12" s="107"/>
      <c r="I12" s="107"/>
      <c r="J12" s="107"/>
      <c r="K12" s="107"/>
      <c r="L12" s="107"/>
      <c r="M12" s="107"/>
      <c r="N12" s="107"/>
      <c r="O12" s="107"/>
      <c r="P12" s="107"/>
      <c r="Q12" s="107"/>
      <c r="R12" s="107"/>
      <c r="S12" s="107"/>
      <c r="T12" s="107"/>
      <c r="U12" s="107"/>
    </row>
    <row r="13" spans="1:21" x14ac:dyDescent="0.25">
      <c r="A13" s="69" t="s">
        <v>289</v>
      </c>
      <c r="B13" s="107">
        <v>2</v>
      </c>
      <c r="C13" s="107"/>
      <c r="D13" s="107"/>
      <c r="E13" s="107"/>
      <c r="F13" s="107"/>
      <c r="G13" s="107"/>
      <c r="H13" s="107"/>
      <c r="I13" s="107"/>
      <c r="J13" s="107"/>
      <c r="K13" s="107"/>
      <c r="L13" s="107"/>
      <c r="M13" s="107"/>
      <c r="N13" s="107"/>
      <c r="O13" s="107"/>
      <c r="P13" s="107"/>
      <c r="Q13" s="107"/>
      <c r="R13" s="107"/>
      <c r="S13" s="107"/>
      <c r="T13" s="107"/>
      <c r="U13" s="107"/>
    </row>
    <row r="14" spans="1:21" x14ac:dyDescent="0.25">
      <c r="A14" s="69" t="s">
        <v>291</v>
      </c>
      <c r="B14" s="107">
        <v>707</v>
      </c>
      <c r="C14" s="107"/>
      <c r="D14" s="107"/>
      <c r="E14" s="107"/>
      <c r="F14" s="107"/>
      <c r="G14" s="107"/>
      <c r="H14" s="107"/>
      <c r="I14" s="107"/>
      <c r="J14" s="107"/>
      <c r="K14" s="107"/>
      <c r="L14" s="107"/>
      <c r="M14" s="107"/>
      <c r="N14" s="107"/>
      <c r="O14" s="107"/>
      <c r="P14" s="107"/>
      <c r="Q14" s="107"/>
      <c r="R14" s="107"/>
      <c r="S14" s="107"/>
      <c r="T14" s="107"/>
      <c r="U14" s="107"/>
    </row>
    <row r="15" spans="1:21" x14ac:dyDescent="0.25">
      <c r="A15" s="69" t="s">
        <v>293</v>
      </c>
      <c r="B15" s="107" t="s">
        <v>530</v>
      </c>
      <c r="C15" s="107"/>
      <c r="D15" s="107"/>
      <c r="E15" s="107"/>
      <c r="F15" s="107"/>
      <c r="G15" s="107"/>
      <c r="H15" s="107"/>
      <c r="I15" s="107"/>
      <c r="J15" s="107"/>
      <c r="K15" s="107"/>
      <c r="L15" s="107"/>
      <c r="M15" s="107"/>
      <c r="N15" s="107"/>
      <c r="O15" s="107"/>
      <c r="P15" s="107"/>
      <c r="Q15" s="107"/>
      <c r="R15" s="107"/>
      <c r="S15" s="107"/>
      <c r="T15" s="107"/>
      <c r="U15" s="107"/>
    </row>
    <row r="16" spans="1:21" x14ac:dyDescent="0.25">
      <c r="A16" s="69" t="s">
        <v>295</v>
      </c>
      <c r="B16" s="107" t="s">
        <v>531</v>
      </c>
      <c r="C16" s="107"/>
      <c r="D16" s="107"/>
      <c r="E16" s="107"/>
      <c r="F16" s="107"/>
      <c r="G16" s="107"/>
      <c r="H16" s="107"/>
      <c r="I16" s="107"/>
      <c r="J16" s="107"/>
      <c r="K16" s="107"/>
      <c r="L16" s="107"/>
      <c r="M16" s="107"/>
      <c r="N16" s="107"/>
      <c r="O16" s="107"/>
      <c r="P16" s="107"/>
      <c r="Q16" s="107"/>
      <c r="R16" s="107"/>
      <c r="S16" s="107"/>
      <c r="T16" s="107"/>
      <c r="U16" s="107"/>
    </row>
    <row r="17" spans="1:21" x14ac:dyDescent="0.25">
      <c r="A17" s="69" t="s">
        <v>725</v>
      </c>
      <c r="B17" s="107"/>
      <c r="C17" s="107"/>
      <c r="D17" s="107"/>
      <c r="E17" s="107"/>
      <c r="F17" s="107"/>
      <c r="G17" s="107"/>
      <c r="H17" s="107"/>
      <c r="I17" s="107"/>
      <c r="J17" s="107"/>
      <c r="K17" s="107"/>
      <c r="L17" s="107"/>
      <c r="M17" s="107"/>
      <c r="N17" s="107"/>
      <c r="O17" s="107"/>
      <c r="P17" s="107"/>
      <c r="Q17" s="107"/>
      <c r="R17" s="107"/>
      <c r="S17" s="107"/>
      <c r="T17" s="107"/>
      <c r="U17" s="107"/>
    </row>
    <row r="18" spans="1:21" x14ac:dyDescent="0.25">
      <c r="A18" s="85" t="s">
        <v>299</v>
      </c>
      <c r="B18" s="164">
        <v>45202</v>
      </c>
      <c r="C18" s="107"/>
      <c r="D18" s="107"/>
      <c r="E18" s="107"/>
      <c r="F18" s="107"/>
      <c r="G18" s="107"/>
      <c r="H18" s="107"/>
      <c r="I18" s="107"/>
      <c r="J18" s="107"/>
      <c r="K18" s="107"/>
      <c r="L18" s="107"/>
      <c r="M18" s="107"/>
      <c r="N18" s="107"/>
      <c r="O18" s="107"/>
      <c r="P18" s="107"/>
      <c r="Q18" s="107"/>
      <c r="R18" s="107"/>
      <c r="S18" s="107"/>
      <c r="T18" s="107"/>
      <c r="U18" s="107"/>
    </row>
    <row r="19" spans="1:21" x14ac:dyDescent="0.25">
      <c r="A19" s="85" t="s">
        <v>301</v>
      </c>
      <c r="B19" s="164">
        <v>45202</v>
      </c>
      <c r="C19" s="107"/>
      <c r="D19" s="107"/>
      <c r="E19" s="107"/>
      <c r="F19" s="107"/>
      <c r="G19" s="107"/>
      <c r="H19" s="107"/>
      <c r="I19" s="107"/>
      <c r="J19" s="107"/>
      <c r="K19" s="107"/>
      <c r="L19" s="107"/>
      <c r="M19" s="107"/>
      <c r="N19" s="107"/>
      <c r="O19" s="107"/>
      <c r="P19" s="107"/>
      <c r="Q19" s="107"/>
      <c r="R19" s="107"/>
      <c r="S19" s="107"/>
      <c r="T19" s="107"/>
      <c r="U19" s="107"/>
    </row>
    <row r="20" spans="1:21" x14ac:dyDescent="0.25">
      <c r="A20" s="85" t="s">
        <v>303</v>
      </c>
      <c r="B20" s="107" t="s">
        <v>317</v>
      </c>
      <c r="C20" s="107"/>
      <c r="D20" s="107"/>
      <c r="E20" s="107"/>
      <c r="F20" s="107"/>
      <c r="G20" s="107"/>
      <c r="H20" s="107"/>
      <c r="I20" s="107"/>
      <c r="J20" s="107"/>
      <c r="K20" s="107"/>
      <c r="L20" s="107"/>
      <c r="M20" s="107"/>
      <c r="N20" s="107"/>
      <c r="O20" s="107"/>
      <c r="P20" s="107"/>
      <c r="Q20" s="107"/>
      <c r="R20" s="107"/>
      <c r="S20" s="107"/>
      <c r="T20" s="107"/>
      <c r="U20" s="107"/>
    </row>
    <row r="21" spans="1:21" x14ac:dyDescent="0.25">
      <c r="A21" s="85" t="s">
        <v>309</v>
      </c>
      <c r="B21" s="107" t="s">
        <v>318</v>
      </c>
      <c r="C21" s="107"/>
      <c r="D21" s="107"/>
      <c r="E21" s="107"/>
      <c r="F21" s="107"/>
      <c r="G21" s="107"/>
      <c r="H21" s="107"/>
      <c r="I21" s="107"/>
      <c r="J21" s="107"/>
      <c r="K21" s="107"/>
      <c r="L21" s="107"/>
      <c r="M21" s="107"/>
      <c r="N21" s="107"/>
      <c r="O21" s="107"/>
      <c r="P21" s="107"/>
      <c r="Q21" s="107"/>
      <c r="R21" s="107"/>
      <c r="S21" s="107"/>
      <c r="T21" s="107"/>
      <c r="U21" s="107"/>
    </row>
    <row r="23" spans="1:21" x14ac:dyDescent="0.25">
      <c r="B23" s="103" t="str">
        <f>HYPERLINK("#'Factor List'!A1","Back to Factor List")</f>
        <v>Back to Factor List</v>
      </c>
    </row>
    <row r="24" spans="1:21" x14ac:dyDescent="0.25">
      <c r="B24" s="103" t="s">
        <v>15</v>
      </c>
    </row>
    <row r="26" spans="1:21" ht="13" x14ac:dyDescent="0.25">
      <c r="A26" s="98" t="s">
        <v>408</v>
      </c>
      <c r="B26" s="98" t="s">
        <v>778</v>
      </c>
      <c r="C26" s="98" t="s">
        <v>779</v>
      </c>
      <c r="D26" s="98" t="s">
        <v>780</v>
      </c>
      <c r="E26" s="98" t="s">
        <v>781</v>
      </c>
      <c r="F26" s="98" t="s">
        <v>782</v>
      </c>
      <c r="G26" s="98" t="s">
        <v>783</v>
      </c>
      <c r="H26" s="98" t="s">
        <v>784</v>
      </c>
      <c r="I26" s="98" t="s">
        <v>785</v>
      </c>
      <c r="J26" s="98" t="s">
        <v>786</v>
      </c>
      <c r="K26" s="98" t="s">
        <v>787</v>
      </c>
      <c r="L26" s="98" t="s">
        <v>788</v>
      </c>
      <c r="M26" s="98" t="s">
        <v>789</v>
      </c>
      <c r="N26" s="98" t="s">
        <v>790</v>
      </c>
      <c r="O26" s="98" t="s">
        <v>791</v>
      </c>
      <c r="P26" s="98" t="s">
        <v>792</v>
      </c>
      <c r="Q26" s="98" t="s">
        <v>793</v>
      </c>
      <c r="R26" s="98" t="s">
        <v>794</v>
      </c>
      <c r="S26" s="98" t="s">
        <v>795</v>
      </c>
      <c r="T26" s="98" t="s">
        <v>796</v>
      </c>
      <c r="U26" s="98" t="s">
        <v>797</v>
      </c>
    </row>
    <row r="27" spans="1:21" x14ac:dyDescent="0.25">
      <c r="A27" s="99">
        <v>16</v>
      </c>
      <c r="B27" s="100">
        <v>215.6</v>
      </c>
      <c r="C27" s="100">
        <v>109.8</v>
      </c>
      <c r="D27" s="100">
        <v>74.5</v>
      </c>
      <c r="E27" s="100">
        <v>56.9</v>
      </c>
      <c r="F27" s="100">
        <v>46.4</v>
      </c>
      <c r="G27" s="100">
        <v>39.299999999999997</v>
      </c>
      <c r="H27" s="100">
        <v>34.299999999999997</v>
      </c>
      <c r="I27" s="100">
        <v>30.6</v>
      </c>
      <c r="J27" s="100">
        <v>27.6</v>
      </c>
      <c r="K27" s="100">
        <v>25.3</v>
      </c>
      <c r="L27" s="100">
        <v>23.4</v>
      </c>
      <c r="M27" s="100">
        <v>21.8</v>
      </c>
      <c r="N27" s="100">
        <v>20.5</v>
      </c>
      <c r="O27" s="100">
        <v>19.399999999999999</v>
      </c>
      <c r="P27" s="100">
        <v>18.399999999999999</v>
      </c>
      <c r="Q27" s="100">
        <v>17.5</v>
      </c>
      <c r="R27" s="100">
        <v>16.8</v>
      </c>
      <c r="S27" s="100">
        <v>16.100000000000001</v>
      </c>
      <c r="T27" s="100">
        <v>15.5</v>
      </c>
      <c r="U27" s="100">
        <v>15</v>
      </c>
    </row>
    <row r="28" spans="1:21" x14ac:dyDescent="0.25">
      <c r="A28" s="99">
        <v>17</v>
      </c>
      <c r="B28" s="100">
        <v>219</v>
      </c>
      <c r="C28" s="100">
        <v>111.5</v>
      </c>
      <c r="D28" s="100">
        <v>75.7</v>
      </c>
      <c r="E28" s="100">
        <v>57.8</v>
      </c>
      <c r="F28" s="100">
        <v>47.1</v>
      </c>
      <c r="G28" s="100">
        <v>40</v>
      </c>
      <c r="H28" s="100">
        <v>34.9</v>
      </c>
      <c r="I28" s="100">
        <v>31</v>
      </c>
      <c r="J28" s="100">
        <v>28.1</v>
      </c>
      <c r="K28" s="100">
        <v>25.7</v>
      </c>
      <c r="L28" s="100">
        <v>23.8</v>
      </c>
      <c r="M28" s="100">
        <v>22.2</v>
      </c>
      <c r="N28" s="100">
        <v>20.8</v>
      </c>
      <c r="O28" s="100">
        <v>19.7</v>
      </c>
      <c r="P28" s="100">
        <v>18.7</v>
      </c>
      <c r="Q28" s="100">
        <v>17.8</v>
      </c>
      <c r="R28" s="100">
        <v>17.100000000000001</v>
      </c>
      <c r="S28" s="100">
        <v>16.399999999999999</v>
      </c>
      <c r="T28" s="100">
        <v>15.8</v>
      </c>
      <c r="U28" s="100">
        <v>15.2</v>
      </c>
    </row>
    <row r="29" spans="1:21" x14ac:dyDescent="0.25">
      <c r="A29" s="99">
        <v>18</v>
      </c>
      <c r="B29" s="100">
        <v>222.6</v>
      </c>
      <c r="C29" s="100">
        <v>113.4</v>
      </c>
      <c r="D29" s="100">
        <v>77</v>
      </c>
      <c r="E29" s="100">
        <v>58.8</v>
      </c>
      <c r="F29" s="100">
        <v>47.9</v>
      </c>
      <c r="G29" s="100">
        <v>40.6</v>
      </c>
      <c r="H29" s="100">
        <v>35.5</v>
      </c>
      <c r="I29" s="100">
        <v>31.6</v>
      </c>
      <c r="J29" s="100">
        <v>28.6</v>
      </c>
      <c r="K29" s="100">
        <v>26.2</v>
      </c>
      <c r="L29" s="100">
        <v>24.2</v>
      </c>
      <c r="M29" s="100">
        <v>22.6</v>
      </c>
      <c r="N29" s="100">
        <v>21.2</v>
      </c>
      <c r="O29" s="100">
        <v>20</v>
      </c>
      <c r="P29" s="100">
        <v>19</v>
      </c>
      <c r="Q29" s="100">
        <v>18.100000000000001</v>
      </c>
      <c r="R29" s="100">
        <v>17.3</v>
      </c>
      <c r="S29" s="100">
        <v>16.7</v>
      </c>
      <c r="T29" s="100">
        <v>16</v>
      </c>
      <c r="U29" s="100">
        <v>15.5</v>
      </c>
    </row>
    <row r="30" spans="1:21" x14ac:dyDescent="0.25">
      <c r="A30" s="99">
        <v>19</v>
      </c>
      <c r="B30" s="100">
        <v>226.2</v>
      </c>
      <c r="C30" s="100">
        <v>115.2</v>
      </c>
      <c r="D30" s="100">
        <v>78.2</v>
      </c>
      <c r="E30" s="100">
        <v>59.7</v>
      </c>
      <c r="F30" s="100">
        <v>48.7</v>
      </c>
      <c r="G30" s="100">
        <v>41.3</v>
      </c>
      <c r="H30" s="100">
        <v>36</v>
      </c>
      <c r="I30" s="100">
        <v>32.1</v>
      </c>
      <c r="J30" s="100">
        <v>29</v>
      </c>
      <c r="K30" s="100">
        <v>26.6</v>
      </c>
      <c r="L30" s="100">
        <v>24.6</v>
      </c>
      <c r="M30" s="100">
        <v>22.9</v>
      </c>
      <c r="N30" s="100">
        <v>21.5</v>
      </c>
      <c r="O30" s="100">
        <v>20.3</v>
      </c>
      <c r="P30" s="100">
        <v>19.3</v>
      </c>
      <c r="Q30" s="100">
        <v>18.399999999999999</v>
      </c>
      <c r="R30" s="100">
        <v>17.600000000000001</v>
      </c>
      <c r="S30" s="100">
        <v>16.899999999999999</v>
      </c>
      <c r="T30" s="100">
        <v>16.3</v>
      </c>
      <c r="U30" s="100">
        <v>15.7</v>
      </c>
    </row>
    <row r="31" spans="1:21" x14ac:dyDescent="0.25">
      <c r="A31" s="99">
        <v>20</v>
      </c>
      <c r="B31" s="100">
        <v>229.5</v>
      </c>
      <c r="C31" s="100">
        <v>116.9</v>
      </c>
      <c r="D31" s="100">
        <v>79.3</v>
      </c>
      <c r="E31" s="100">
        <v>60.6</v>
      </c>
      <c r="F31" s="100">
        <v>49.4</v>
      </c>
      <c r="G31" s="100">
        <v>41.9</v>
      </c>
      <c r="H31" s="100">
        <v>36.5</v>
      </c>
      <c r="I31" s="100">
        <v>32.5</v>
      </c>
      <c r="J31" s="100">
        <v>29.4</v>
      </c>
      <c r="K31" s="100">
        <v>27</v>
      </c>
      <c r="L31" s="100">
        <v>24.9</v>
      </c>
      <c r="M31" s="100">
        <v>23.3</v>
      </c>
      <c r="N31" s="100">
        <v>21.9</v>
      </c>
      <c r="O31" s="100">
        <v>20.6</v>
      </c>
      <c r="P31" s="100">
        <v>19.600000000000001</v>
      </c>
      <c r="Q31" s="100">
        <v>18.7</v>
      </c>
      <c r="R31" s="100">
        <v>17.899999999999999</v>
      </c>
      <c r="S31" s="100">
        <v>17.2</v>
      </c>
      <c r="T31" s="100">
        <v>16.5</v>
      </c>
      <c r="U31" s="100">
        <v>16</v>
      </c>
    </row>
    <row r="32" spans="1:21" x14ac:dyDescent="0.25">
      <c r="A32" s="99">
        <v>21</v>
      </c>
      <c r="B32" s="100">
        <v>232.7</v>
      </c>
      <c r="C32" s="100">
        <v>118.5</v>
      </c>
      <c r="D32" s="100">
        <v>80.5</v>
      </c>
      <c r="E32" s="100">
        <v>61.5</v>
      </c>
      <c r="F32" s="100">
        <v>50.1</v>
      </c>
      <c r="G32" s="100">
        <v>42.5</v>
      </c>
      <c r="H32" s="100">
        <v>37.1</v>
      </c>
      <c r="I32" s="100">
        <v>33</v>
      </c>
      <c r="J32" s="100">
        <v>29.9</v>
      </c>
      <c r="K32" s="100">
        <v>27.4</v>
      </c>
      <c r="L32" s="100">
        <v>25.3</v>
      </c>
      <c r="M32" s="100">
        <v>23.6</v>
      </c>
      <c r="N32" s="100">
        <v>22.2</v>
      </c>
      <c r="O32" s="100">
        <v>20.9</v>
      </c>
      <c r="P32" s="100">
        <v>19.899999999999999</v>
      </c>
      <c r="Q32" s="100">
        <v>19</v>
      </c>
      <c r="R32" s="100">
        <v>18.100000000000001</v>
      </c>
      <c r="S32" s="100">
        <v>17.399999999999999</v>
      </c>
      <c r="T32" s="100">
        <v>16.8</v>
      </c>
      <c r="U32" s="100">
        <v>16.2</v>
      </c>
    </row>
    <row r="33" spans="1:21" x14ac:dyDescent="0.25">
      <c r="A33" s="99">
        <v>22</v>
      </c>
      <c r="B33" s="100">
        <v>236</v>
      </c>
      <c r="C33" s="100">
        <v>120.2</v>
      </c>
      <c r="D33" s="100">
        <v>81.599999999999994</v>
      </c>
      <c r="E33" s="100">
        <v>62.3</v>
      </c>
      <c r="F33" s="100">
        <v>50.8</v>
      </c>
      <c r="G33" s="100">
        <v>43.1</v>
      </c>
      <c r="H33" s="100">
        <v>37.6</v>
      </c>
      <c r="I33" s="100">
        <v>33.5</v>
      </c>
      <c r="J33" s="100">
        <v>30.3</v>
      </c>
      <c r="K33" s="100">
        <v>27.7</v>
      </c>
      <c r="L33" s="100">
        <v>25.7</v>
      </c>
      <c r="M33" s="100">
        <v>23.9</v>
      </c>
      <c r="N33" s="100">
        <v>22.5</v>
      </c>
      <c r="O33" s="100">
        <v>21.2</v>
      </c>
      <c r="P33" s="100">
        <v>20.2</v>
      </c>
      <c r="Q33" s="100">
        <v>19.2</v>
      </c>
      <c r="R33" s="100">
        <v>18.399999999999999</v>
      </c>
      <c r="S33" s="100">
        <v>17.7</v>
      </c>
      <c r="T33" s="100">
        <v>17</v>
      </c>
      <c r="U33" s="100">
        <v>16.399999999999999</v>
      </c>
    </row>
    <row r="34" spans="1:21" x14ac:dyDescent="0.25">
      <c r="A34" s="99">
        <v>23</v>
      </c>
      <c r="B34" s="100">
        <v>239.4</v>
      </c>
      <c r="C34" s="100">
        <v>121.9</v>
      </c>
      <c r="D34" s="100">
        <v>82.8</v>
      </c>
      <c r="E34" s="100">
        <v>63.2</v>
      </c>
      <c r="F34" s="100">
        <v>51.5</v>
      </c>
      <c r="G34" s="100">
        <v>43.7</v>
      </c>
      <c r="H34" s="100">
        <v>38.1</v>
      </c>
      <c r="I34" s="100">
        <v>34</v>
      </c>
      <c r="J34" s="100">
        <v>30.7</v>
      </c>
      <c r="K34" s="100">
        <v>28.1</v>
      </c>
      <c r="L34" s="100">
        <v>26</v>
      </c>
      <c r="M34" s="100">
        <v>24.3</v>
      </c>
      <c r="N34" s="100">
        <v>22.8</v>
      </c>
      <c r="O34" s="100">
        <v>21.5</v>
      </c>
      <c r="P34" s="100">
        <v>20.5</v>
      </c>
      <c r="Q34" s="100">
        <v>19.5</v>
      </c>
      <c r="R34" s="100">
        <v>18.7</v>
      </c>
      <c r="S34" s="100">
        <v>17.899999999999999</v>
      </c>
      <c r="T34" s="100">
        <v>17.3</v>
      </c>
      <c r="U34" s="100">
        <v>16.7</v>
      </c>
    </row>
    <row r="35" spans="1:21" x14ac:dyDescent="0.25">
      <c r="A35" s="99">
        <v>24</v>
      </c>
      <c r="B35" s="100">
        <v>242.8</v>
      </c>
      <c r="C35" s="100">
        <v>123.6</v>
      </c>
      <c r="D35" s="100">
        <v>84</v>
      </c>
      <c r="E35" s="100">
        <v>64.099999999999994</v>
      </c>
      <c r="F35" s="100">
        <v>52.2</v>
      </c>
      <c r="G35" s="100">
        <v>44.3</v>
      </c>
      <c r="H35" s="100">
        <v>38.700000000000003</v>
      </c>
      <c r="I35" s="100">
        <v>34.4</v>
      </c>
      <c r="J35" s="100">
        <v>31.2</v>
      </c>
      <c r="K35" s="100">
        <v>28.5</v>
      </c>
      <c r="L35" s="100">
        <v>26.4</v>
      </c>
      <c r="M35" s="100">
        <v>24.6</v>
      </c>
      <c r="N35" s="100">
        <v>23.1</v>
      </c>
      <c r="O35" s="100">
        <v>21.9</v>
      </c>
      <c r="P35" s="100">
        <v>20.8</v>
      </c>
      <c r="Q35" s="100">
        <v>19.8</v>
      </c>
      <c r="R35" s="100">
        <v>18.899999999999999</v>
      </c>
      <c r="S35" s="100">
        <v>18.2</v>
      </c>
      <c r="T35" s="100">
        <v>17.5</v>
      </c>
      <c r="U35" s="100">
        <v>16.899999999999999</v>
      </c>
    </row>
    <row r="36" spans="1:21" x14ac:dyDescent="0.25">
      <c r="A36" s="99">
        <v>25</v>
      </c>
      <c r="B36" s="100">
        <v>246.2</v>
      </c>
      <c r="C36" s="100">
        <v>125.4</v>
      </c>
      <c r="D36" s="100">
        <v>85.1</v>
      </c>
      <c r="E36" s="100">
        <v>65</v>
      </c>
      <c r="F36" s="100">
        <v>53</v>
      </c>
      <c r="G36" s="100">
        <v>44.9</v>
      </c>
      <c r="H36" s="100">
        <v>39.200000000000003</v>
      </c>
      <c r="I36" s="100">
        <v>34.9</v>
      </c>
      <c r="J36" s="100">
        <v>31.6</v>
      </c>
      <c r="K36" s="100">
        <v>29</v>
      </c>
      <c r="L36" s="100">
        <v>26.8</v>
      </c>
      <c r="M36" s="100">
        <v>25</v>
      </c>
      <c r="N36" s="100">
        <v>23.5</v>
      </c>
      <c r="O36" s="100">
        <v>22.2</v>
      </c>
      <c r="P36" s="100">
        <v>21.1</v>
      </c>
      <c r="Q36" s="100">
        <v>20.100000000000001</v>
      </c>
      <c r="R36" s="100">
        <v>19.2</v>
      </c>
      <c r="S36" s="100">
        <v>18.5</v>
      </c>
      <c r="T36" s="100">
        <v>17.8</v>
      </c>
      <c r="U36" s="100">
        <v>17.2</v>
      </c>
    </row>
    <row r="37" spans="1:21" x14ac:dyDescent="0.25">
      <c r="A37" s="99">
        <v>26</v>
      </c>
      <c r="B37" s="100">
        <v>249.7</v>
      </c>
      <c r="C37" s="100">
        <v>127.2</v>
      </c>
      <c r="D37" s="100">
        <v>86.3</v>
      </c>
      <c r="E37" s="100">
        <v>65.900000000000006</v>
      </c>
      <c r="F37" s="100">
        <v>53.7</v>
      </c>
      <c r="G37" s="100">
        <v>45.6</v>
      </c>
      <c r="H37" s="100">
        <v>39.799999999999997</v>
      </c>
      <c r="I37" s="100">
        <v>35.4</v>
      </c>
      <c r="J37" s="100">
        <v>32.1</v>
      </c>
      <c r="K37" s="100">
        <v>29.4</v>
      </c>
      <c r="L37" s="100">
        <v>27.2</v>
      </c>
      <c r="M37" s="100">
        <v>25.3</v>
      </c>
      <c r="N37" s="100">
        <v>23.8</v>
      </c>
      <c r="O37" s="100">
        <v>22.5</v>
      </c>
      <c r="P37" s="100">
        <v>21.4</v>
      </c>
      <c r="Q37" s="100">
        <v>20.399999999999999</v>
      </c>
      <c r="R37" s="100">
        <v>19.5</v>
      </c>
      <c r="S37" s="100">
        <v>18.7</v>
      </c>
      <c r="T37" s="100">
        <v>18</v>
      </c>
      <c r="U37" s="100">
        <v>17.399999999999999</v>
      </c>
    </row>
    <row r="38" spans="1:21" x14ac:dyDescent="0.25">
      <c r="A38" s="99">
        <v>27</v>
      </c>
      <c r="B38" s="100">
        <v>253.2</v>
      </c>
      <c r="C38" s="100">
        <v>129</v>
      </c>
      <c r="D38" s="100">
        <v>87.6</v>
      </c>
      <c r="E38" s="100">
        <v>66.900000000000006</v>
      </c>
      <c r="F38" s="100">
        <v>54.5</v>
      </c>
      <c r="G38" s="100">
        <v>46.2</v>
      </c>
      <c r="H38" s="100">
        <v>40.299999999999997</v>
      </c>
      <c r="I38" s="100">
        <v>35.9</v>
      </c>
      <c r="J38" s="100">
        <v>32.5</v>
      </c>
      <c r="K38" s="100">
        <v>29.8</v>
      </c>
      <c r="L38" s="100">
        <v>27.6</v>
      </c>
      <c r="M38" s="100">
        <v>25.7</v>
      </c>
      <c r="N38" s="100">
        <v>24.2</v>
      </c>
      <c r="O38" s="100">
        <v>22.8</v>
      </c>
      <c r="P38" s="100">
        <v>21.7</v>
      </c>
      <c r="Q38" s="100">
        <v>20.7</v>
      </c>
      <c r="R38" s="100">
        <v>19.8</v>
      </c>
      <c r="S38" s="100">
        <v>19</v>
      </c>
      <c r="T38" s="100">
        <v>18.3</v>
      </c>
      <c r="U38" s="100">
        <v>17.7</v>
      </c>
    </row>
    <row r="39" spans="1:21" x14ac:dyDescent="0.25">
      <c r="A39" s="99">
        <v>28</v>
      </c>
      <c r="B39" s="100">
        <v>256.8</v>
      </c>
      <c r="C39" s="100">
        <v>130.80000000000001</v>
      </c>
      <c r="D39" s="100">
        <v>88.8</v>
      </c>
      <c r="E39" s="100">
        <v>67.8</v>
      </c>
      <c r="F39" s="100">
        <v>55.3</v>
      </c>
      <c r="G39" s="100">
        <v>46.9</v>
      </c>
      <c r="H39" s="100">
        <v>40.9</v>
      </c>
      <c r="I39" s="100">
        <v>36.5</v>
      </c>
      <c r="J39" s="100">
        <v>33</v>
      </c>
      <c r="K39" s="100">
        <v>30.2</v>
      </c>
      <c r="L39" s="100">
        <v>28</v>
      </c>
      <c r="M39" s="100">
        <v>26.1</v>
      </c>
      <c r="N39" s="100">
        <v>24.5</v>
      </c>
      <c r="O39" s="100">
        <v>23.1</v>
      </c>
      <c r="P39" s="100">
        <v>22</v>
      </c>
      <c r="Q39" s="100">
        <v>21</v>
      </c>
      <c r="R39" s="100">
        <v>20.100000000000001</v>
      </c>
      <c r="S39" s="100">
        <v>19.3</v>
      </c>
      <c r="T39" s="100">
        <v>18.600000000000001</v>
      </c>
      <c r="U39" s="100">
        <v>18</v>
      </c>
    </row>
    <row r="40" spans="1:21" x14ac:dyDescent="0.25">
      <c r="A40" s="99">
        <v>29</v>
      </c>
      <c r="B40" s="100">
        <v>260.39999999999998</v>
      </c>
      <c r="C40" s="100">
        <v>132.6</v>
      </c>
      <c r="D40" s="100">
        <v>90.1</v>
      </c>
      <c r="E40" s="100">
        <v>68.8</v>
      </c>
      <c r="F40" s="100">
        <v>56</v>
      </c>
      <c r="G40" s="100">
        <v>47.6</v>
      </c>
      <c r="H40" s="100">
        <v>41.5</v>
      </c>
      <c r="I40" s="100">
        <v>37</v>
      </c>
      <c r="J40" s="100">
        <v>33.5</v>
      </c>
      <c r="K40" s="100">
        <v>30.7</v>
      </c>
      <c r="L40" s="100">
        <v>28.4</v>
      </c>
      <c r="M40" s="100">
        <v>26.5</v>
      </c>
      <c r="N40" s="100">
        <v>24.9</v>
      </c>
      <c r="O40" s="100">
        <v>23.5</v>
      </c>
      <c r="P40" s="100">
        <v>22.3</v>
      </c>
      <c r="Q40" s="100">
        <v>21.3</v>
      </c>
      <c r="R40" s="100">
        <v>20.399999999999999</v>
      </c>
      <c r="S40" s="100">
        <v>19.600000000000001</v>
      </c>
      <c r="T40" s="100">
        <v>18.899999999999999</v>
      </c>
      <c r="U40" s="100">
        <v>18.2</v>
      </c>
    </row>
    <row r="41" spans="1:21" x14ac:dyDescent="0.25">
      <c r="A41" s="99">
        <v>30</v>
      </c>
      <c r="B41" s="100">
        <v>264</v>
      </c>
      <c r="C41" s="100">
        <v>134.5</v>
      </c>
      <c r="D41" s="100">
        <v>91.3</v>
      </c>
      <c r="E41" s="100">
        <v>69.8</v>
      </c>
      <c r="F41" s="100">
        <v>56.8</v>
      </c>
      <c r="G41" s="100">
        <v>48.2</v>
      </c>
      <c r="H41" s="100">
        <v>42.1</v>
      </c>
      <c r="I41" s="100">
        <v>37.5</v>
      </c>
      <c r="J41" s="100">
        <v>33.9</v>
      </c>
      <c r="K41" s="100">
        <v>31.1</v>
      </c>
      <c r="L41" s="100">
        <v>28.8</v>
      </c>
      <c r="M41" s="100">
        <v>26.8</v>
      </c>
      <c r="N41" s="100">
        <v>25.2</v>
      </c>
      <c r="O41" s="100">
        <v>23.8</v>
      </c>
      <c r="P41" s="100">
        <v>22.6</v>
      </c>
      <c r="Q41" s="100">
        <v>21.6</v>
      </c>
      <c r="R41" s="100">
        <v>20.7</v>
      </c>
      <c r="S41" s="100">
        <v>19.899999999999999</v>
      </c>
      <c r="T41" s="100">
        <v>19.100000000000001</v>
      </c>
      <c r="U41" s="100">
        <v>18.5</v>
      </c>
    </row>
    <row r="42" spans="1:21" x14ac:dyDescent="0.25">
      <c r="A42" s="99">
        <v>31</v>
      </c>
      <c r="B42" s="100">
        <v>267.7</v>
      </c>
      <c r="C42" s="100">
        <v>136.4</v>
      </c>
      <c r="D42" s="100">
        <v>92.6</v>
      </c>
      <c r="E42" s="100">
        <v>70.7</v>
      </c>
      <c r="F42" s="100">
        <v>57.6</v>
      </c>
      <c r="G42" s="100">
        <v>48.9</v>
      </c>
      <c r="H42" s="100">
        <v>42.7</v>
      </c>
      <c r="I42" s="100">
        <v>38</v>
      </c>
      <c r="J42" s="100">
        <v>34.4</v>
      </c>
      <c r="K42" s="100">
        <v>31.5</v>
      </c>
      <c r="L42" s="100">
        <v>29.2</v>
      </c>
      <c r="M42" s="100">
        <v>27.2</v>
      </c>
      <c r="N42" s="100">
        <v>25.6</v>
      </c>
      <c r="O42" s="100">
        <v>24.2</v>
      </c>
      <c r="P42" s="100">
        <v>23</v>
      </c>
      <c r="Q42" s="100">
        <v>21.9</v>
      </c>
      <c r="R42" s="100">
        <v>21</v>
      </c>
      <c r="S42" s="100">
        <v>20.2</v>
      </c>
      <c r="T42" s="100">
        <v>19.399999999999999</v>
      </c>
      <c r="U42" s="100">
        <v>18.8</v>
      </c>
    </row>
    <row r="43" spans="1:21" x14ac:dyDescent="0.25">
      <c r="A43" s="99">
        <v>32</v>
      </c>
      <c r="B43" s="100">
        <v>271.5</v>
      </c>
      <c r="C43" s="100">
        <v>138.30000000000001</v>
      </c>
      <c r="D43" s="100">
        <v>93.9</v>
      </c>
      <c r="E43" s="100">
        <v>71.7</v>
      </c>
      <c r="F43" s="100">
        <v>58.5</v>
      </c>
      <c r="G43" s="100">
        <v>49.6</v>
      </c>
      <c r="H43" s="100">
        <v>43.3</v>
      </c>
      <c r="I43" s="100">
        <v>38.6</v>
      </c>
      <c r="J43" s="100">
        <v>34.9</v>
      </c>
      <c r="K43" s="100">
        <v>32</v>
      </c>
      <c r="L43" s="100">
        <v>29.6</v>
      </c>
      <c r="M43" s="100">
        <v>27.6</v>
      </c>
      <c r="N43" s="100">
        <v>26</v>
      </c>
      <c r="O43" s="100">
        <v>24.5</v>
      </c>
      <c r="P43" s="100">
        <v>23.3</v>
      </c>
      <c r="Q43" s="100">
        <v>22.2</v>
      </c>
      <c r="R43" s="100">
        <v>21.3</v>
      </c>
      <c r="S43" s="100">
        <v>20.5</v>
      </c>
      <c r="T43" s="100">
        <v>19.7</v>
      </c>
      <c r="U43" s="100">
        <v>19.100000000000001</v>
      </c>
    </row>
    <row r="44" spans="1:21" x14ac:dyDescent="0.25">
      <c r="A44" s="99">
        <v>33</v>
      </c>
      <c r="B44" s="100">
        <v>275.2</v>
      </c>
      <c r="C44" s="100">
        <v>140.19999999999999</v>
      </c>
      <c r="D44" s="100">
        <v>95.2</v>
      </c>
      <c r="E44" s="100">
        <v>72.7</v>
      </c>
      <c r="F44" s="100">
        <v>59.3</v>
      </c>
      <c r="G44" s="100">
        <v>50.3</v>
      </c>
      <c r="H44" s="100">
        <v>43.9</v>
      </c>
      <c r="I44" s="100">
        <v>39.1</v>
      </c>
      <c r="J44" s="100">
        <v>35.4</v>
      </c>
      <c r="K44" s="100">
        <v>32.4</v>
      </c>
      <c r="L44" s="100">
        <v>30</v>
      </c>
      <c r="M44" s="100">
        <v>28</v>
      </c>
      <c r="N44" s="100">
        <v>26.3</v>
      </c>
      <c r="O44" s="100">
        <v>24.9</v>
      </c>
      <c r="P44" s="100">
        <v>23.6</v>
      </c>
      <c r="Q44" s="100">
        <v>22.6</v>
      </c>
      <c r="R44" s="100">
        <v>21.6</v>
      </c>
      <c r="S44" s="100">
        <v>20.8</v>
      </c>
      <c r="T44" s="100">
        <v>20</v>
      </c>
      <c r="U44" s="100">
        <v>19.3</v>
      </c>
    </row>
    <row r="45" spans="1:21" x14ac:dyDescent="0.25">
      <c r="A45" s="99">
        <v>34</v>
      </c>
      <c r="B45" s="100">
        <v>279</v>
      </c>
      <c r="C45" s="100">
        <v>142.1</v>
      </c>
      <c r="D45" s="100">
        <v>96.5</v>
      </c>
      <c r="E45" s="100">
        <v>73.8</v>
      </c>
      <c r="F45" s="100">
        <v>60.1</v>
      </c>
      <c r="G45" s="100">
        <v>51</v>
      </c>
      <c r="H45" s="100">
        <v>44.5</v>
      </c>
      <c r="I45" s="100">
        <v>39.700000000000003</v>
      </c>
      <c r="J45" s="100">
        <v>35.9</v>
      </c>
      <c r="K45" s="100">
        <v>32.9</v>
      </c>
      <c r="L45" s="100">
        <v>30.5</v>
      </c>
      <c r="M45" s="100">
        <v>28.4</v>
      </c>
      <c r="N45" s="100">
        <v>26.7</v>
      </c>
      <c r="O45" s="100">
        <v>25.2</v>
      </c>
      <c r="P45" s="100">
        <v>24</v>
      </c>
      <c r="Q45" s="100">
        <v>22.9</v>
      </c>
      <c r="R45" s="100">
        <v>21.9</v>
      </c>
      <c r="S45" s="100">
        <v>21.1</v>
      </c>
      <c r="T45" s="100">
        <v>20.3</v>
      </c>
      <c r="U45" s="100">
        <v>19.600000000000001</v>
      </c>
    </row>
    <row r="46" spans="1:21" x14ac:dyDescent="0.25">
      <c r="A46" s="99">
        <v>35</v>
      </c>
      <c r="B46" s="100">
        <v>282.8</v>
      </c>
      <c r="C46" s="100">
        <v>144.1</v>
      </c>
      <c r="D46" s="100">
        <v>97.9</v>
      </c>
      <c r="E46" s="100">
        <v>74.8</v>
      </c>
      <c r="F46" s="100">
        <v>60.9</v>
      </c>
      <c r="G46" s="100">
        <v>51.7</v>
      </c>
      <c r="H46" s="100">
        <v>45.2</v>
      </c>
      <c r="I46" s="100">
        <v>40.200000000000003</v>
      </c>
      <c r="J46" s="100">
        <v>36.4</v>
      </c>
      <c r="K46" s="100">
        <v>33.4</v>
      </c>
      <c r="L46" s="100">
        <v>30.9</v>
      </c>
      <c r="M46" s="100">
        <v>28.8</v>
      </c>
      <c r="N46" s="100">
        <v>27.1</v>
      </c>
      <c r="O46" s="100">
        <v>25.6</v>
      </c>
      <c r="P46" s="100">
        <v>24.3</v>
      </c>
      <c r="Q46" s="100">
        <v>23.2</v>
      </c>
      <c r="R46" s="100">
        <v>22.2</v>
      </c>
      <c r="S46" s="100">
        <v>21.4</v>
      </c>
      <c r="T46" s="100">
        <v>20.6</v>
      </c>
      <c r="U46" s="100">
        <v>19.899999999999999</v>
      </c>
    </row>
    <row r="47" spans="1:21" x14ac:dyDescent="0.25">
      <c r="A47" s="99">
        <v>36</v>
      </c>
      <c r="B47" s="100">
        <v>286.7</v>
      </c>
      <c r="C47" s="100">
        <v>146.1</v>
      </c>
      <c r="D47" s="100">
        <v>99.2</v>
      </c>
      <c r="E47" s="100">
        <v>75.8</v>
      </c>
      <c r="F47" s="100">
        <v>61.8</v>
      </c>
      <c r="G47" s="100">
        <v>52.4</v>
      </c>
      <c r="H47" s="100">
        <v>45.8</v>
      </c>
      <c r="I47" s="100">
        <v>40.799999999999997</v>
      </c>
      <c r="J47" s="100">
        <v>36.9</v>
      </c>
      <c r="K47" s="100">
        <v>33.9</v>
      </c>
      <c r="L47" s="100">
        <v>31.3</v>
      </c>
      <c r="M47" s="100">
        <v>29.2</v>
      </c>
      <c r="N47" s="100">
        <v>27.5</v>
      </c>
      <c r="O47" s="100">
        <v>26</v>
      </c>
      <c r="P47" s="100">
        <v>24.7</v>
      </c>
      <c r="Q47" s="100">
        <v>23.6</v>
      </c>
      <c r="R47" s="100">
        <v>22.6</v>
      </c>
      <c r="S47" s="100">
        <v>21.7</v>
      </c>
      <c r="T47" s="100">
        <v>20.9</v>
      </c>
      <c r="U47" s="100">
        <v>20.2</v>
      </c>
    </row>
    <row r="48" spans="1:21" x14ac:dyDescent="0.25">
      <c r="A48" s="99">
        <v>37</v>
      </c>
      <c r="B48" s="100">
        <v>290.60000000000002</v>
      </c>
      <c r="C48" s="100">
        <v>148.1</v>
      </c>
      <c r="D48" s="100">
        <v>100.6</v>
      </c>
      <c r="E48" s="100">
        <v>76.900000000000006</v>
      </c>
      <c r="F48" s="100">
        <v>62.6</v>
      </c>
      <c r="G48" s="100">
        <v>53.2</v>
      </c>
      <c r="H48" s="100">
        <v>46.4</v>
      </c>
      <c r="I48" s="100">
        <v>41.4</v>
      </c>
      <c r="J48" s="100">
        <v>37.5</v>
      </c>
      <c r="K48" s="100">
        <v>34.299999999999997</v>
      </c>
      <c r="L48" s="100">
        <v>31.8</v>
      </c>
      <c r="M48" s="100">
        <v>29.7</v>
      </c>
      <c r="N48" s="100">
        <v>27.9</v>
      </c>
      <c r="O48" s="100">
        <v>26.4</v>
      </c>
      <c r="P48" s="100">
        <v>25.1</v>
      </c>
      <c r="Q48" s="100">
        <v>23.9</v>
      </c>
      <c r="R48" s="100">
        <v>22.9</v>
      </c>
      <c r="S48" s="100">
        <v>22</v>
      </c>
      <c r="T48" s="100">
        <v>21.3</v>
      </c>
      <c r="U48" s="100">
        <v>20.6</v>
      </c>
    </row>
    <row r="49" spans="1:21" x14ac:dyDescent="0.25">
      <c r="A49" s="99">
        <v>38</v>
      </c>
      <c r="B49" s="100">
        <v>294.60000000000002</v>
      </c>
      <c r="C49" s="100">
        <v>150.1</v>
      </c>
      <c r="D49" s="100">
        <v>102</v>
      </c>
      <c r="E49" s="100">
        <v>77.900000000000006</v>
      </c>
      <c r="F49" s="100">
        <v>63.5</v>
      </c>
      <c r="G49" s="100">
        <v>53.9</v>
      </c>
      <c r="H49" s="100">
        <v>47.1</v>
      </c>
      <c r="I49" s="100">
        <v>42</v>
      </c>
      <c r="J49" s="100">
        <v>38</v>
      </c>
      <c r="K49" s="100">
        <v>34.799999999999997</v>
      </c>
      <c r="L49" s="100">
        <v>32.200000000000003</v>
      </c>
      <c r="M49" s="100">
        <v>30.1</v>
      </c>
      <c r="N49" s="100">
        <v>28.3</v>
      </c>
      <c r="O49" s="100">
        <v>26.8</v>
      </c>
      <c r="P49" s="100">
        <v>25.4</v>
      </c>
      <c r="Q49" s="100">
        <v>24.3</v>
      </c>
      <c r="R49" s="100">
        <v>23.3</v>
      </c>
      <c r="S49" s="100">
        <v>22.4</v>
      </c>
      <c r="T49" s="100">
        <v>21.6</v>
      </c>
      <c r="U49" s="100">
        <v>20.9</v>
      </c>
    </row>
    <row r="50" spans="1:21" x14ac:dyDescent="0.25">
      <c r="A50" s="99">
        <v>39</v>
      </c>
      <c r="B50" s="100">
        <v>298.60000000000002</v>
      </c>
      <c r="C50" s="100">
        <v>152.1</v>
      </c>
      <c r="D50" s="100">
        <v>103.4</v>
      </c>
      <c r="E50" s="100">
        <v>79</v>
      </c>
      <c r="F50" s="100">
        <v>64.400000000000006</v>
      </c>
      <c r="G50" s="100">
        <v>54.7</v>
      </c>
      <c r="H50" s="100">
        <v>47.7</v>
      </c>
      <c r="I50" s="100">
        <v>42.6</v>
      </c>
      <c r="J50" s="100">
        <v>38.5</v>
      </c>
      <c r="K50" s="100">
        <v>35.299999999999997</v>
      </c>
      <c r="L50" s="100">
        <v>32.700000000000003</v>
      </c>
      <c r="M50" s="100">
        <v>30.5</v>
      </c>
      <c r="N50" s="100">
        <v>28.7</v>
      </c>
      <c r="O50" s="100">
        <v>27.2</v>
      </c>
      <c r="P50" s="100">
        <v>25.8</v>
      </c>
      <c r="Q50" s="100">
        <v>24.6</v>
      </c>
      <c r="R50" s="100">
        <v>23.6</v>
      </c>
      <c r="S50" s="100">
        <v>22.7</v>
      </c>
      <c r="T50" s="100">
        <v>21.9</v>
      </c>
      <c r="U50" s="100">
        <v>21.2</v>
      </c>
    </row>
    <row r="51" spans="1:21" x14ac:dyDescent="0.25">
      <c r="A51" s="99">
        <v>40</v>
      </c>
      <c r="B51" s="100">
        <v>302.60000000000002</v>
      </c>
      <c r="C51" s="100">
        <v>154.19999999999999</v>
      </c>
      <c r="D51" s="100">
        <v>104.8</v>
      </c>
      <c r="E51" s="100">
        <v>80.099999999999994</v>
      </c>
      <c r="F51" s="100">
        <v>65.3</v>
      </c>
      <c r="G51" s="100">
        <v>55.4</v>
      </c>
      <c r="H51" s="100">
        <v>48.4</v>
      </c>
      <c r="I51" s="100">
        <v>43.2</v>
      </c>
      <c r="J51" s="100">
        <v>39.1</v>
      </c>
      <c r="K51" s="100">
        <v>35.799999999999997</v>
      </c>
      <c r="L51" s="100">
        <v>33.200000000000003</v>
      </c>
      <c r="M51" s="100">
        <v>31</v>
      </c>
      <c r="N51" s="100">
        <v>29.1</v>
      </c>
      <c r="O51" s="100">
        <v>27.6</v>
      </c>
      <c r="P51" s="100">
        <v>26.2</v>
      </c>
      <c r="Q51" s="100">
        <v>25</v>
      </c>
      <c r="R51" s="100">
        <v>24</v>
      </c>
      <c r="S51" s="100">
        <v>23.1</v>
      </c>
      <c r="T51" s="100">
        <v>22.3</v>
      </c>
      <c r="U51" s="100">
        <v>21.6</v>
      </c>
    </row>
    <row r="52" spans="1:21" x14ac:dyDescent="0.25">
      <c r="A52" s="99">
        <v>41</v>
      </c>
      <c r="B52" s="100">
        <v>306.7</v>
      </c>
      <c r="C52" s="100">
        <v>156.30000000000001</v>
      </c>
      <c r="D52" s="100">
        <v>106.2</v>
      </c>
      <c r="E52" s="100">
        <v>81.2</v>
      </c>
      <c r="F52" s="100">
        <v>66.2</v>
      </c>
      <c r="G52" s="100">
        <v>56.2</v>
      </c>
      <c r="H52" s="100">
        <v>49.1</v>
      </c>
      <c r="I52" s="100">
        <v>43.8</v>
      </c>
      <c r="J52" s="100">
        <v>39.700000000000003</v>
      </c>
      <c r="K52" s="100">
        <v>36.4</v>
      </c>
      <c r="L52" s="100">
        <v>33.700000000000003</v>
      </c>
      <c r="M52" s="100">
        <v>31.4</v>
      </c>
      <c r="N52" s="100">
        <v>29.6</v>
      </c>
      <c r="O52" s="100">
        <v>28</v>
      </c>
      <c r="P52" s="100">
        <v>26.6</v>
      </c>
      <c r="Q52" s="100">
        <v>25.4</v>
      </c>
      <c r="R52" s="100">
        <v>24.4</v>
      </c>
      <c r="S52" s="100">
        <v>23.5</v>
      </c>
      <c r="T52" s="100">
        <v>22.7</v>
      </c>
      <c r="U52" s="100">
        <v>22</v>
      </c>
    </row>
    <row r="53" spans="1:21" x14ac:dyDescent="0.25">
      <c r="A53" s="99">
        <v>42</v>
      </c>
      <c r="B53" s="100">
        <v>310.89999999999998</v>
      </c>
      <c r="C53" s="100">
        <v>158.5</v>
      </c>
      <c r="D53" s="100">
        <v>107.7</v>
      </c>
      <c r="E53" s="100">
        <v>82.3</v>
      </c>
      <c r="F53" s="100">
        <v>67.099999999999994</v>
      </c>
      <c r="G53" s="100">
        <v>57</v>
      </c>
      <c r="H53" s="100">
        <v>49.8</v>
      </c>
      <c r="I53" s="100">
        <v>44.4</v>
      </c>
      <c r="J53" s="100">
        <v>40.200000000000003</v>
      </c>
      <c r="K53" s="100">
        <v>36.9</v>
      </c>
      <c r="L53" s="100">
        <v>34.200000000000003</v>
      </c>
      <c r="M53" s="100">
        <v>31.9</v>
      </c>
      <c r="N53" s="100">
        <v>30</v>
      </c>
      <c r="O53" s="100">
        <v>28.4</v>
      </c>
      <c r="P53" s="100">
        <v>27</v>
      </c>
      <c r="Q53" s="100">
        <v>25.8</v>
      </c>
      <c r="R53" s="100">
        <v>24.8</v>
      </c>
      <c r="S53" s="100">
        <v>23.9</v>
      </c>
      <c r="T53" s="100">
        <v>23.1</v>
      </c>
      <c r="U53" s="100">
        <v>22.3</v>
      </c>
    </row>
    <row r="54" spans="1:21" x14ac:dyDescent="0.25">
      <c r="A54" s="99">
        <v>43</v>
      </c>
      <c r="B54" s="100">
        <v>315.10000000000002</v>
      </c>
      <c r="C54" s="100">
        <v>160.6</v>
      </c>
      <c r="D54" s="100">
        <v>109.2</v>
      </c>
      <c r="E54" s="100">
        <v>83.5</v>
      </c>
      <c r="F54" s="100">
        <v>68.099999999999994</v>
      </c>
      <c r="G54" s="100">
        <v>57.8</v>
      </c>
      <c r="H54" s="100">
        <v>50.5</v>
      </c>
      <c r="I54" s="100">
        <v>45</v>
      </c>
      <c r="J54" s="100">
        <v>40.799999999999997</v>
      </c>
      <c r="K54" s="100">
        <v>37.4</v>
      </c>
      <c r="L54" s="100">
        <v>34.700000000000003</v>
      </c>
      <c r="M54" s="100">
        <v>32.4</v>
      </c>
      <c r="N54" s="100">
        <v>30.5</v>
      </c>
      <c r="O54" s="100">
        <v>28.9</v>
      </c>
      <c r="P54" s="100">
        <v>27.5</v>
      </c>
      <c r="Q54" s="100">
        <v>26.3</v>
      </c>
      <c r="R54" s="100">
        <v>25.2</v>
      </c>
      <c r="S54" s="100">
        <v>24.3</v>
      </c>
      <c r="T54" s="100">
        <v>23.5</v>
      </c>
      <c r="U54" s="100">
        <v>22.7</v>
      </c>
    </row>
    <row r="55" spans="1:21" x14ac:dyDescent="0.25">
      <c r="A55" s="99">
        <v>44</v>
      </c>
      <c r="B55" s="100">
        <v>319.3</v>
      </c>
      <c r="C55" s="100">
        <v>162.80000000000001</v>
      </c>
      <c r="D55" s="100">
        <v>110.6</v>
      </c>
      <c r="E55" s="100">
        <v>84.6</v>
      </c>
      <c r="F55" s="100">
        <v>69</v>
      </c>
      <c r="G55" s="100">
        <v>58.6</v>
      </c>
      <c r="H55" s="100">
        <v>51.2</v>
      </c>
      <c r="I55" s="100">
        <v>45.7</v>
      </c>
      <c r="J55" s="100">
        <v>41.4</v>
      </c>
      <c r="K55" s="100">
        <v>38</v>
      </c>
      <c r="L55" s="100">
        <v>35.200000000000003</v>
      </c>
      <c r="M55" s="100">
        <v>32.9</v>
      </c>
      <c r="N55" s="100">
        <v>31</v>
      </c>
      <c r="O55" s="100">
        <v>29.3</v>
      </c>
      <c r="P55" s="100">
        <v>27.9</v>
      </c>
      <c r="Q55" s="100">
        <v>26.7</v>
      </c>
      <c r="R55" s="100">
        <v>25.6</v>
      </c>
      <c r="S55" s="100">
        <v>24.7</v>
      </c>
      <c r="T55" s="100">
        <v>23.9</v>
      </c>
      <c r="U55" s="100">
        <v>23.1</v>
      </c>
    </row>
    <row r="56" spans="1:21" x14ac:dyDescent="0.25">
      <c r="A56" s="99">
        <v>45</v>
      </c>
      <c r="B56" s="100">
        <v>323.5</v>
      </c>
      <c r="C56" s="100">
        <v>165</v>
      </c>
      <c r="D56" s="100">
        <v>112.1</v>
      </c>
      <c r="E56" s="100">
        <v>85.8</v>
      </c>
      <c r="F56" s="100">
        <v>69.900000000000006</v>
      </c>
      <c r="G56" s="100">
        <v>59.4</v>
      </c>
      <c r="H56" s="100">
        <v>51.9</v>
      </c>
      <c r="I56" s="100">
        <v>46.3</v>
      </c>
      <c r="J56" s="100">
        <v>42</v>
      </c>
      <c r="K56" s="100">
        <v>38.5</v>
      </c>
      <c r="L56" s="100">
        <v>35.700000000000003</v>
      </c>
      <c r="M56" s="100">
        <v>33.4</v>
      </c>
      <c r="N56" s="100">
        <v>31.5</v>
      </c>
      <c r="O56" s="100">
        <v>29.8</v>
      </c>
      <c r="P56" s="100">
        <v>28.4</v>
      </c>
      <c r="Q56" s="100">
        <v>27.2</v>
      </c>
      <c r="R56" s="100">
        <v>26.1</v>
      </c>
      <c r="S56" s="100">
        <v>25.1</v>
      </c>
      <c r="T56" s="100">
        <v>24.3</v>
      </c>
      <c r="U56" s="100"/>
    </row>
    <row r="57" spans="1:21" x14ac:dyDescent="0.25">
      <c r="A57" s="99">
        <v>46</v>
      </c>
      <c r="B57" s="100">
        <v>327.9</v>
      </c>
      <c r="C57" s="100">
        <v>167.2</v>
      </c>
      <c r="D57" s="100">
        <v>113.7</v>
      </c>
      <c r="E57" s="100">
        <v>86.9</v>
      </c>
      <c r="F57" s="100">
        <v>70.900000000000006</v>
      </c>
      <c r="G57" s="100">
        <v>60.3</v>
      </c>
      <c r="H57" s="100">
        <v>52.7</v>
      </c>
      <c r="I57" s="100">
        <v>47</v>
      </c>
      <c r="J57" s="100">
        <v>42.6</v>
      </c>
      <c r="K57" s="100">
        <v>39.1</v>
      </c>
      <c r="L57" s="100">
        <v>36.299999999999997</v>
      </c>
      <c r="M57" s="100">
        <v>34</v>
      </c>
      <c r="N57" s="100">
        <v>32</v>
      </c>
      <c r="O57" s="100">
        <v>30.3</v>
      </c>
      <c r="P57" s="100">
        <v>28.9</v>
      </c>
      <c r="Q57" s="100">
        <v>27.6</v>
      </c>
      <c r="R57" s="100">
        <v>26.6</v>
      </c>
      <c r="S57" s="100">
        <v>25.6</v>
      </c>
      <c r="T57" s="100"/>
      <c r="U57" s="100"/>
    </row>
    <row r="58" spans="1:21" x14ac:dyDescent="0.25">
      <c r="A58" s="99">
        <v>47</v>
      </c>
      <c r="B58" s="100">
        <v>332.3</v>
      </c>
      <c r="C58" s="100">
        <v>169.4</v>
      </c>
      <c r="D58" s="100">
        <v>115.2</v>
      </c>
      <c r="E58" s="100">
        <v>88.1</v>
      </c>
      <c r="F58" s="100">
        <v>71.900000000000006</v>
      </c>
      <c r="G58" s="100">
        <v>61.1</v>
      </c>
      <c r="H58" s="100">
        <v>53.5</v>
      </c>
      <c r="I58" s="100">
        <v>47.7</v>
      </c>
      <c r="J58" s="100">
        <v>43.3</v>
      </c>
      <c r="K58" s="100">
        <v>39.799999999999997</v>
      </c>
      <c r="L58" s="100">
        <v>36.9</v>
      </c>
      <c r="M58" s="100">
        <v>34.5</v>
      </c>
      <c r="N58" s="100">
        <v>32.5</v>
      </c>
      <c r="O58" s="100">
        <v>30.9</v>
      </c>
      <c r="P58" s="100">
        <v>29.4</v>
      </c>
      <c r="Q58" s="100">
        <v>28.2</v>
      </c>
      <c r="R58" s="100">
        <v>27.1</v>
      </c>
      <c r="S58" s="100"/>
      <c r="T58" s="100"/>
      <c r="U58" s="100"/>
    </row>
    <row r="59" spans="1:21" x14ac:dyDescent="0.25">
      <c r="A59" s="99">
        <v>48</v>
      </c>
      <c r="B59" s="100">
        <v>336.7</v>
      </c>
      <c r="C59" s="100">
        <v>171.7</v>
      </c>
      <c r="D59" s="100">
        <v>116.8</v>
      </c>
      <c r="E59" s="100">
        <v>89.4</v>
      </c>
      <c r="F59" s="100">
        <v>72.900000000000006</v>
      </c>
      <c r="G59" s="100">
        <v>62</v>
      </c>
      <c r="H59" s="100">
        <v>54.3</v>
      </c>
      <c r="I59" s="100">
        <v>48.5</v>
      </c>
      <c r="J59" s="100">
        <v>44</v>
      </c>
      <c r="K59" s="100">
        <v>40.4</v>
      </c>
      <c r="L59" s="100">
        <v>37.5</v>
      </c>
      <c r="M59" s="100">
        <v>35.1</v>
      </c>
      <c r="N59" s="100">
        <v>33.1</v>
      </c>
      <c r="O59" s="100">
        <v>31.4</v>
      </c>
      <c r="P59" s="100">
        <v>30</v>
      </c>
      <c r="Q59" s="100">
        <v>28.7</v>
      </c>
      <c r="R59" s="100"/>
      <c r="S59" s="100"/>
      <c r="T59" s="100"/>
      <c r="U59" s="100"/>
    </row>
    <row r="60" spans="1:21" x14ac:dyDescent="0.25">
      <c r="A60" s="99">
        <v>49</v>
      </c>
      <c r="B60" s="100">
        <v>341.2</v>
      </c>
      <c r="C60" s="100">
        <v>174.1</v>
      </c>
      <c r="D60" s="100">
        <v>118.4</v>
      </c>
      <c r="E60" s="100">
        <v>90.7</v>
      </c>
      <c r="F60" s="100">
        <v>74</v>
      </c>
      <c r="G60" s="100">
        <v>63</v>
      </c>
      <c r="H60" s="100">
        <v>55.1</v>
      </c>
      <c r="I60" s="100">
        <v>49.3</v>
      </c>
      <c r="J60" s="100">
        <v>44.7</v>
      </c>
      <c r="K60" s="100">
        <v>41.1</v>
      </c>
      <c r="L60" s="100">
        <v>38.200000000000003</v>
      </c>
      <c r="M60" s="100">
        <v>35.799999999999997</v>
      </c>
      <c r="N60" s="100">
        <v>33.700000000000003</v>
      </c>
      <c r="O60" s="100">
        <v>32</v>
      </c>
      <c r="P60" s="100">
        <v>30.5</v>
      </c>
      <c r="Q60" s="100"/>
      <c r="R60" s="100"/>
      <c r="S60" s="100"/>
      <c r="T60" s="100"/>
      <c r="U60" s="100"/>
    </row>
    <row r="61" spans="1:21" x14ac:dyDescent="0.25">
      <c r="A61" s="99">
        <v>50</v>
      </c>
      <c r="B61" s="100">
        <v>345.9</v>
      </c>
      <c r="C61" s="100">
        <v>176.6</v>
      </c>
      <c r="D61" s="100">
        <v>120.2</v>
      </c>
      <c r="E61" s="100">
        <v>92</v>
      </c>
      <c r="F61" s="100">
        <v>75.2</v>
      </c>
      <c r="G61" s="100">
        <v>64</v>
      </c>
      <c r="H61" s="100">
        <v>56</v>
      </c>
      <c r="I61" s="100">
        <v>50.1</v>
      </c>
      <c r="J61" s="100">
        <v>45.5</v>
      </c>
      <c r="K61" s="100">
        <v>41.8</v>
      </c>
      <c r="L61" s="100">
        <v>38.9</v>
      </c>
      <c r="M61" s="100">
        <v>36.4</v>
      </c>
      <c r="N61" s="100">
        <v>34.4</v>
      </c>
      <c r="O61" s="100">
        <v>32.6</v>
      </c>
      <c r="P61" s="100"/>
      <c r="Q61" s="100"/>
      <c r="R61" s="100"/>
      <c r="S61" s="100"/>
      <c r="T61" s="100"/>
      <c r="U61" s="100"/>
    </row>
    <row r="62" spans="1:21" x14ac:dyDescent="0.25">
      <c r="A62" s="99">
        <v>51</v>
      </c>
      <c r="B62" s="100">
        <v>350.7</v>
      </c>
      <c r="C62" s="100">
        <v>179.1</v>
      </c>
      <c r="D62" s="100">
        <v>121.9</v>
      </c>
      <c r="E62" s="100">
        <v>93.4</v>
      </c>
      <c r="F62" s="100">
        <v>76.400000000000006</v>
      </c>
      <c r="G62" s="100">
        <v>65</v>
      </c>
      <c r="H62" s="100">
        <v>57</v>
      </c>
      <c r="I62" s="100">
        <v>50.9</v>
      </c>
      <c r="J62" s="100">
        <v>46.3</v>
      </c>
      <c r="K62" s="100">
        <v>42.6</v>
      </c>
      <c r="L62" s="100">
        <v>39.6</v>
      </c>
      <c r="M62" s="100">
        <v>37.1</v>
      </c>
      <c r="N62" s="100">
        <v>35</v>
      </c>
      <c r="O62" s="100"/>
      <c r="P62" s="100"/>
      <c r="Q62" s="100"/>
      <c r="R62" s="100"/>
      <c r="S62" s="100"/>
      <c r="T62" s="100"/>
      <c r="U62" s="100"/>
    </row>
    <row r="63" spans="1:21" x14ac:dyDescent="0.25">
      <c r="A63" s="99">
        <v>52</v>
      </c>
      <c r="B63" s="100">
        <v>355.5</v>
      </c>
      <c r="C63" s="100">
        <v>181.6</v>
      </c>
      <c r="D63" s="100">
        <v>123.7</v>
      </c>
      <c r="E63" s="100">
        <v>94.8</v>
      </c>
      <c r="F63" s="100">
        <v>77.5</v>
      </c>
      <c r="G63" s="100">
        <v>66.099999999999994</v>
      </c>
      <c r="H63" s="100">
        <v>57.9</v>
      </c>
      <c r="I63" s="100">
        <v>51.8</v>
      </c>
      <c r="J63" s="100">
        <v>47.1</v>
      </c>
      <c r="K63" s="100">
        <v>43.4</v>
      </c>
      <c r="L63" s="100">
        <v>40.299999999999997</v>
      </c>
      <c r="M63" s="100">
        <v>37.799999999999997</v>
      </c>
      <c r="N63" s="100"/>
      <c r="O63" s="100"/>
      <c r="P63" s="100"/>
      <c r="Q63" s="100"/>
      <c r="R63" s="100"/>
      <c r="S63" s="100"/>
      <c r="T63" s="100"/>
      <c r="U63" s="100"/>
    </row>
    <row r="64" spans="1:21" x14ac:dyDescent="0.25">
      <c r="A64" s="99">
        <v>53</v>
      </c>
      <c r="B64" s="100">
        <v>360.3</v>
      </c>
      <c r="C64" s="100">
        <v>184.1</v>
      </c>
      <c r="D64" s="100">
        <v>125.5</v>
      </c>
      <c r="E64" s="100">
        <v>96.2</v>
      </c>
      <c r="F64" s="100">
        <v>78.7</v>
      </c>
      <c r="G64" s="100">
        <v>67.099999999999994</v>
      </c>
      <c r="H64" s="100">
        <v>58.9</v>
      </c>
      <c r="I64" s="100">
        <v>52.7</v>
      </c>
      <c r="J64" s="100">
        <v>47.9</v>
      </c>
      <c r="K64" s="100">
        <v>44.2</v>
      </c>
      <c r="L64" s="100">
        <v>41.1</v>
      </c>
      <c r="M64" s="100"/>
      <c r="N64" s="100"/>
      <c r="O64" s="100"/>
      <c r="P64" s="100"/>
      <c r="Q64" s="100"/>
      <c r="R64" s="100"/>
      <c r="S64" s="100"/>
      <c r="T64" s="100"/>
      <c r="U64" s="100"/>
    </row>
    <row r="65" spans="1:21" x14ac:dyDescent="0.25">
      <c r="A65" s="99">
        <v>54</v>
      </c>
      <c r="B65" s="100">
        <v>365.1</v>
      </c>
      <c r="C65" s="100">
        <v>186.7</v>
      </c>
      <c r="D65" s="100">
        <v>127.3</v>
      </c>
      <c r="E65" s="100">
        <v>97.7</v>
      </c>
      <c r="F65" s="100">
        <v>80</v>
      </c>
      <c r="G65" s="100">
        <v>68.2</v>
      </c>
      <c r="H65" s="100">
        <v>59.8</v>
      </c>
      <c r="I65" s="100">
        <v>53.6</v>
      </c>
      <c r="J65" s="100">
        <v>48.8</v>
      </c>
      <c r="K65" s="100">
        <v>45</v>
      </c>
      <c r="L65" s="100"/>
      <c r="M65" s="100"/>
      <c r="N65" s="100"/>
      <c r="O65" s="100"/>
      <c r="P65" s="100"/>
      <c r="Q65" s="100"/>
      <c r="R65" s="100"/>
      <c r="S65" s="100"/>
      <c r="T65" s="100"/>
      <c r="U65" s="100"/>
    </row>
    <row r="66" spans="1:21" x14ac:dyDescent="0.25">
      <c r="A66" s="99">
        <v>55</v>
      </c>
      <c r="B66" s="100">
        <v>370.1</v>
      </c>
      <c r="C66" s="100">
        <v>189.4</v>
      </c>
      <c r="D66" s="100">
        <v>129.19999999999999</v>
      </c>
      <c r="E66" s="100">
        <v>99.2</v>
      </c>
      <c r="F66" s="100">
        <v>81.2</v>
      </c>
      <c r="G66" s="100">
        <v>69.3</v>
      </c>
      <c r="H66" s="100">
        <v>60.9</v>
      </c>
      <c r="I66" s="100">
        <v>54.5</v>
      </c>
      <c r="J66" s="100">
        <v>49.7</v>
      </c>
      <c r="K66" s="100"/>
      <c r="L66" s="100"/>
      <c r="M66" s="100"/>
      <c r="N66" s="100"/>
      <c r="O66" s="100"/>
      <c r="P66" s="100"/>
      <c r="Q66" s="100"/>
      <c r="R66" s="100"/>
      <c r="S66" s="100"/>
      <c r="T66" s="100"/>
      <c r="U66" s="100"/>
    </row>
    <row r="67" spans="1:21" x14ac:dyDescent="0.25">
      <c r="A67" s="99">
        <v>56</v>
      </c>
      <c r="B67" s="100">
        <v>375.2</v>
      </c>
      <c r="C67" s="100">
        <v>192.1</v>
      </c>
      <c r="D67" s="100">
        <v>131.1</v>
      </c>
      <c r="E67" s="100">
        <v>100.7</v>
      </c>
      <c r="F67" s="100">
        <v>82.5</v>
      </c>
      <c r="G67" s="100">
        <v>70.5</v>
      </c>
      <c r="H67" s="100">
        <v>61.9</v>
      </c>
      <c r="I67" s="100">
        <v>55.5</v>
      </c>
      <c r="J67" s="100"/>
      <c r="K67" s="100"/>
      <c r="L67" s="100"/>
      <c r="M67" s="100"/>
      <c r="N67" s="100"/>
      <c r="O67" s="100"/>
      <c r="P67" s="100"/>
      <c r="Q67" s="100"/>
      <c r="R67" s="100"/>
      <c r="S67" s="100"/>
      <c r="T67" s="100"/>
      <c r="U67" s="100"/>
    </row>
    <row r="68" spans="1:21" x14ac:dyDescent="0.25">
      <c r="A68" s="99">
        <v>57</v>
      </c>
      <c r="B68" s="100">
        <v>380.5</v>
      </c>
      <c r="C68" s="100">
        <v>194.9</v>
      </c>
      <c r="D68" s="100">
        <v>133.1</v>
      </c>
      <c r="E68" s="100">
        <v>102.3</v>
      </c>
      <c r="F68" s="100">
        <v>83.9</v>
      </c>
      <c r="G68" s="100">
        <v>71.7</v>
      </c>
      <c r="H68" s="100">
        <v>63</v>
      </c>
      <c r="I68" s="100"/>
      <c r="J68" s="100"/>
      <c r="K68" s="100"/>
      <c r="L68" s="100"/>
      <c r="M68" s="100"/>
      <c r="N68" s="100"/>
      <c r="O68" s="100"/>
      <c r="P68" s="100"/>
      <c r="Q68" s="100"/>
      <c r="R68" s="100"/>
      <c r="S68" s="100"/>
      <c r="T68" s="100"/>
      <c r="U68" s="100"/>
    </row>
    <row r="69" spans="1:21" x14ac:dyDescent="0.25">
      <c r="A69" s="99">
        <v>58</v>
      </c>
      <c r="B69" s="100">
        <v>385.9</v>
      </c>
      <c r="C69" s="100">
        <v>197.8</v>
      </c>
      <c r="D69" s="100">
        <v>135.19999999999999</v>
      </c>
      <c r="E69" s="100">
        <v>104</v>
      </c>
      <c r="F69" s="100">
        <v>85.3</v>
      </c>
      <c r="G69" s="100">
        <v>72.900000000000006</v>
      </c>
      <c r="H69" s="100"/>
      <c r="I69" s="100"/>
      <c r="J69" s="100"/>
      <c r="K69" s="100"/>
      <c r="L69" s="100"/>
      <c r="M69" s="100"/>
      <c r="N69" s="100"/>
      <c r="O69" s="100"/>
      <c r="P69" s="100"/>
      <c r="Q69" s="100"/>
      <c r="R69" s="100"/>
      <c r="S69" s="100"/>
      <c r="T69" s="100"/>
      <c r="U69" s="100"/>
    </row>
    <row r="70" spans="1:21" x14ac:dyDescent="0.25">
      <c r="A70" s="99">
        <v>59</v>
      </c>
      <c r="B70" s="100">
        <v>391.6</v>
      </c>
      <c r="C70" s="100">
        <v>200.8</v>
      </c>
      <c r="D70" s="100">
        <v>137.30000000000001</v>
      </c>
      <c r="E70" s="100">
        <v>105.7</v>
      </c>
      <c r="F70" s="100">
        <v>86.7</v>
      </c>
      <c r="G70" s="100"/>
      <c r="H70" s="100"/>
      <c r="I70" s="100"/>
      <c r="J70" s="100"/>
      <c r="K70" s="100"/>
      <c r="L70" s="100"/>
      <c r="M70" s="100"/>
      <c r="N70" s="100"/>
      <c r="O70" s="100"/>
      <c r="P70" s="100"/>
      <c r="Q70" s="100"/>
      <c r="R70" s="100"/>
      <c r="S70" s="100"/>
      <c r="T70" s="100"/>
      <c r="U70" s="100"/>
    </row>
    <row r="71" spans="1:21" x14ac:dyDescent="0.25">
      <c r="A71" s="99">
        <v>60</v>
      </c>
      <c r="B71" s="100">
        <v>397.5</v>
      </c>
      <c r="C71" s="100">
        <v>204</v>
      </c>
      <c r="D71" s="100">
        <v>139.6</v>
      </c>
      <c r="E71" s="100">
        <v>107.4</v>
      </c>
      <c r="F71" s="100"/>
      <c r="G71" s="100"/>
      <c r="H71" s="100"/>
      <c r="I71" s="100"/>
      <c r="J71" s="100"/>
      <c r="K71" s="100"/>
      <c r="L71" s="100"/>
      <c r="M71" s="100"/>
      <c r="N71" s="100"/>
      <c r="O71" s="100"/>
      <c r="P71" s="100"/>
      <c r="Q71" s="100"/>
      <c r="R71" s="100"/>
      <c r="S71" s="100"/>
      <c r="T71" s="100"/>
      <c r="U71" s="100"/>
    </row>
    <row r="72" spans="1:21" x14ac:dyDescent="0.25">
      <c r="A72" s="99">
        <v>61</v>
      </c>
      <c r="B72" s="100">
        <v>403.8</v>
      </c>
      <c r="C72" s="100">
        <v>207.3</v>
      </c>
      <c r="D72" s="100">
        <v>141.9</v>
      </c>
      <c r="E72" s="100"/>
      <c r="F72" s="100"/>
      <c r="G72" s="100"/>
      <c r="H72" s="100"/>
      <c r="I72" s="100"/>
      <c r="J72" s="100"/>
      <c r="K72" s="100"/>
      <c r="L72" s="100"/>
      <c r="M72" s="100"/>
      <c r="N72" s="100"/>
      <c r="O72" s="100"/>
      <c r="P72" s="100"/>
      <c r="Q72" s="100"/>
      <c r="R72" s="100"/>
      <c r="S72" s="100"/>
      <c r="T72" s="100"/>
      <c r="U72" s="100"/>
    </row>
    <row r="73" spans="1:21" x14ac:dyDescent="0.25">
      <c r="A73" s="99">
        <v>62</v>
      </c>
      <c r="B73" s="100">
        <v>410.6</v>
      </c>
      <c r="C73" s="100">
        <v>210.9</v>
      </c>
      <c r="D73" s="100"/>
      <c r="E73" s="100"/>
      <c r="F73" s="100"/>
      <c r="G73" s="100"/>
      <c r="H73" s="100"/>
      <c r="I73" s="100"/>
      <c r="J73" s="100"/>
      <c r="K73" s="100"/>
      <c r="L73" s="100"/>
      <c r="M73" s="100"/>
      <c r="N73" s="100"/>
      <c r="O73" s="100"/>
      <c r="P73" s="100"/>
      <c r="Q73" s="100"/>
      <c r="R73" s="100"/>
      <c r="S73" s="100"/>
      <c r="T73" s="100"/>
      <c r="U73" s="100"/>
    </row>
    <row r="74" spans="1:21" x14ac:dyDescent="0.25">
      <c r="A74" s="99">
        <v>63</v>
      </c>
      <c r="B74" s="100">
        <v>417.8</v>
      </c>
      <c r="C74" s="100"/>
      <c r="D74" s="100"/>
      <c r="E74" s="100"/>
      <c r="F74" s="100"/>
      <c r="G74" s="100"/>
      <c r="H74" s="100"/>
      <c r="I74" s="100"/>
      <c r="J74" s="100"/>
      <c r="K74" s="100"/>
      <c r="L74" s="100"/>
      <c r="M74" s="100"/>
      <c r="N74" s="100"/>
      <c r="O74" s="100"/>
      <c r="P74" s="100"/>
      <c r="Q74" s="100"/>
      <c r="R74" s="100"/>
      <c r="S74" s="100"/>
      <c r="T74" s="100"/>
      <c r="U74" s="100"/>
    </row>
    <row r="126" spans="22:22" x14ac:dyDescent="0.25">
      <c r="V126" s="25" t="b">
        <f t="shared" ref="V126" si="0">V27=V77</f>
        <v>1</v>
      </c>
    </row>
    <row r="127" spans="22:22" x14ac:dyDescent="0.25">
      <c r="V127" s="25" t="b">
        <f t="shared" ref="V127" si="1">V28=V78</f>
        <v>1</v>
      </c>
    </row>
    <row r="128" spans="22:22" x14ac:dyDescent="0.25">
      <c r="V128" s="25" t="b">
        <f t="shared" ref="V128" si="2">V29=V79</f>
        <v>1</v>
      </c>
    </row>
    <row r="129" spans="22:22" x14ac:dyDescent="0.25">
      <c r="V129" s="25" t="b">
        <f t="shared" ref="V129" si="3">V30=V80</f>
        <v>1</v>
      </c>
    </row>
    <row r="130" spans="22:22" x14ac:dyDescent="0.25">
      <c r="V130" s="25" t="b">
        <f t="shared" ref="V130" si="4">V31=V81</f>
        <v>1</v>
      </c>
    </row>
    <row r="131" spans="22:22" x14ac:dyDescent="0.25">
      <c r="V131" s="25" t="b">
        <f t="shared" ref="V131" si="5">V32=V82</f>
        <v>1</v>
      </c>
    </row>
    <row r="132" spans="22:22" x14ac:dyDescent="0.25">
      <c r="V132" s="25" t="b">
        <f t="shared" ref="V132" si="6">V33=V83</f>
        <v>1</v>
      </c>
    </row>
    <row r="133" spans="22:22" x14ac:dyDescent="0.25">
      <c r="V133" s="25" t="b">
        <f t="shared" ref="V133" si="7">V34=V84</f>
        <v>1</v>
      </c>
    </row>
    <row r="134" spans="22:22" x14ac:dyDescent="0.25">
      <c r="V134" s="25" t="b">
        <f t="shared" ref="V134" si="8">V35=V85</f>
        <v>1</v>
      </c>
    </row>
    <row r="135" spans="22:22" x14ac:dyDescent="0.25">
      <c r="V135" s="25" t="b">
        <f t="shared" ref="V135" si="9">V36=V86</f>
        <v>1</v>
      </c>
    </row>
    <row r="136" spans="22:22" x14ac:dyDescent="0.25">
      <c r="V136" s="25" t="b">
        <f t="shared" ref="V136" si="10">V37=V87</f>
        <v>1</v>
      </c>
    </row>
    <row r="137" spans="22:22" x14ac:dyDescent="0.25">
      <c r="V137" s="25" t="b">
        <f t="shared" ref="V137" si="11">V38=V88</f>
        <v>1</v>
      </c>
    </row>
    <row r="138" spans="22:22" x14ac:dyDescent="0.25">
      <c r="V138" s="25" t="b">
        <f t="shared" ref="V138" si="12">V39=V89</f>
        <v>1</v>
      </c>
    </row>
    <row r="139" spans="22:22" x14ac:dyDescent="0.25">
      <c r="V139" s="25" t="b">
        <f t="shared" ref="V139" si="13">V40=V90</f>
        <v>1</v>
      </c>
    </row>
    <row r="140" spans="22:22" x14ac:dyDescent="0.25">
      <c r="V140" s="25" t="b">
        <f t="shared" ref="V140" si="14">V41=V91</f>
        <v>1</v>
      </c>
    </row>
    <row r="141" spans="22:22" x14ac:dyDescent="0.25">
      <c r="V141" s="25" t="b">
        <f t="shared" ref="V141" si="15">V42=V92</f>
        <v>1</v>
      </c>
    </row>
    <row r="142" spans="22:22" x14ac:dyDescent="0.25">
      <c r="V142" s="25" t="b">
        <f t="shared" ref="V142" si="16">V43=V93</f>
        <v>1</v>
      </c>
    </row>
    <row r="143" spans="22:22" x14ac:dyDescent="0.25">
      <c r="V143" s="25" t="b">
        <f t="shared" ref="V143" si="17">V44=V94</f>
        <v>1</v>
      </c>
    </row>
    <row r="144" spans="22:22" x14ac:dyDescent="0.25">
      <c r="V144" s="25" t="b">
        <f t="shared" ref="V144" si="18">V45=V95</f>
        <v>1</v>
      </c>
    </row>
    <row r="145" spans="22:22" x14ac:dyDescent="0.25">
      <c r="V145" s="25" t="b">
        <f t="shared" ref="V145" si="19">V46=V96</f>
        <v>1</v>
      </c>
    </row>
    <row r="146" spans="22:22" x14ac:dyDescent="0.25">
      <c r="V146" s="25" t="b">
        <f t="shared" ref="V146" si="20">V47=V97</f>
        <v>1</v>
      </c>
    </row>
    <row r="147" spans="22:22" x14ac:dyDescent="0.25">
      <c r="V147" s="25" t="b">
        <f t="shared" ref="V147" si="21">V48=V98</f>
        <v>1</v>
      </c>
    </row>
    <row r="148" spans="22:22" x14ac:dyDescent="0.25">
      <c r="V148" s="25" t="b">
        <f t="shared" ref="V148" si="22">V49=V99</f>
        <v>1</v>
      </c>
    </row>
    <row r="149" spans="22:22" x14ac:dyDescent="0.25">
      <c r="V149" s="25" t="b">
        <f t="shared" ref="V149" si="23">V50=V100</f>
        <v>1</v>
      </c>
    </row>
    <row r="150" spans="22:22" x14ac:dyDescent="0.25">
      <c r="V150" s="25" t="b">
        <f t="shared" ref="V150" si="24">V51=V101</f>
        <v>1</v>
      </c>
    </row>
    <row r="151" spans="22:22" x14ac:dyDescent="0.25">
      <c r="V151" s="25" t="b">
        <f t="shared" ref="V151" si="25">V52=V102</f>
        <v>1</v>
      </c>
    </row>
    <row r="152" spans="22:22" x14ac:dyDescent="0.25">
      <c r="V152" s="25" t="b">
        <f t="shared" ref="V152" si="26">V53=V103</f>
        <v>1</v>
      </c>
    </row>
    <row r="153" spans="22:22" x14ac:dyDescent="0.25">
      <c r="V153" s="25" t="b">
        <f t="shared" ref="V153" si="27">V54=V104</f>
        <v>1</v>
      </c>
    </row>
    <row r="154" spans="22:22" x14ac:dyDescent="0.25">
      <c r="V154" s="25" t="b">
        <f t="shared" ref="V154" si="28">V55=V105</f>
        <v>1</v>
      </c>
    </row>
    <row r="155" spans="22:22" x14ac:dyDescent="0.25">
      <c r="V155" s="25" t="b">
        <f t="shared" ref="V155" si="29">V56=V106</f>
        <v>1</v>
      </c>
    </row>
    <row r="156" spans="22:22" x14ac:dyDescent="0.25">
      <c r="V156" s="25" t="b">
        <f t="shared" ref="V156" si="30">V57=V107</f>
        <v>1</v>
      </c>
    </row>
    <row r="157" spans="22:22" x14ac:dyDescent="0.25">
      <c r="V157" s="25" t="b">
        <f t="shared" ref="V157" si="31">V58=V108</f>
        <v>1</v>
      </c>
    </row>
    <row r="158" spans="22:22" x14ac:dyDescent="0.25">
      <c r="V158" s="25" t="b">
        <f t="shared" ref="V158" si="32">V59=V109</f>
        <v>1</v>
      </c>
    </row>
    <row r="159" spans="22:22" x14ac:dyDescent="0.25">
      <c r="V159" s="25" t="b">
        <f t="shared" ref="V159" si="33">V60=V110</f>
        <v>1</v>
      </c>
    </row>
    <row r="160" spans="22:22" x14ac:dyDescent="0.25">
      <c r="V160" s="25" t="b">
        <f t="shared" ref="V160" si="34">V61=V111</f>
        <v>1</v>
      </c>
    </row>
    <row r="161" spans="22:22" x14ac:dyDescent="0.25">
      <c r="V161" s="25" t="b">
        <f t="shared" ref="V161" si="35">V62=V112</f>
        <v>1</v>
      </c>
    </row>
    <row r="162" spans="22:22" x14ac:dyDescent="0.25">
      <c r="V162" s="25" t="b">
        <f t="shared" ref="V162" si="36">V63=V113</f>
        <v>1</v>
      </c>
    </row>
    <row r="163" spans="22:22" x14ac:dyDescent="0.25">
      <c r="V163" s="25" t="b">
        <f t="shared" ref="V163" si="37">V64=V114</f>
        <v>1</v>
      </c>
    </row>
    <row r="164" spans="22:22" x14ac:dyDescent="0.25">
      <c r="V164" s="25" t="b">
        <f t="shared" ref="V164" si="38">V65=V115</f>
        <v>1</v>
      </c>
    </row>
    <row r="165" spans="22:22" x14ac:dyDescent="0.25">
      <c r="V165" s="25" t="b">
        <f t="shared" ref="V165" si="39">V66=V116</f>
        <v>1</v>
      </c>
    </row>
    <row r="166" spans="22:22" x14ac:dyDescent="0.25">
      <c r="V166" s="25" t="b">
        <f t="shared" ref="V166" si="40">V67=V117</f>
        <v>1</v>
      </c>
    </row>
    <row r="167" spans="22:22" x14ac:dyDescent="0.25">
      <c r="V167" s="25" t="b">
        <f t="shared" ref="V167" si="41">V68=V118</f>
        <v>1</v>
      </c>
    </row>
    <row r="168" spans="22:22" x14ac:dyDescent="0.25">
      <c r="V168" s="25" t="b">
        <f t="shared" ref="V168" si="42">V69=V119</f>
        <v>1</v>
      </c>
    </row>
    <row r="169" spans="22:22" x14ac:dyDescent="0.25">
      <c r="V169" s="25" t="b">
        <f t="shared" ref="V169" si="43">V70=V120</f>
        <v>1</v>
      </c>
    </row>
    <row r="170" spans="22:22" x14ac:dyDescent="0.25">
      <c r="V170" s="25" t="b">
        <f t="shared" ref="V170" si="44">V71=V121</f>
        <v>1</v>
      </c>
    </row>
    <row r="171" spans="22:22" x14ac:dyDescent="0.25">
      <c r="V171" s="25" t="b">
        <f t="shared" ref="V171" si="45">V72=V122</f>
        <v>1</v>
      </c>
    </row>
    <row r="172" spans="22:22" x14ac:dyDescent="0.25">
      <c r="V172" s="25" t="b">
        <f t="shared" ref="V172" si="46">V73=V123</f>
        <v>1</v>
      </c>
    </row>
    <row r="173" spans="22:22" x14ac:dyDescent="0.25">
      <c r="V173" s="25" t="b">
        <f t="shared" ref="V173" si="47">V74=V124</f>
        <v>1</v>
      </c>
    </row>
  </sheetData>
  <sheetProtection algorithmName="SHA-512" hashValue="IWxr2H4xNLHUBGRJQgFCEGK16cHdcrt22/p9BgmGowBHOhetp0uS2uNWubcDqQHjQj0cWW1BeMocY3WiVJTyyw==" saltValue="WkU9V9vF71PACtlv5tZVhw==" spinCount="100000" sheet="1" objects="1" scenarios="1"/>
  <conditionalFormatting sqref="A6:A21">
    <cfRule type="expression" dxfId="437" priority="13" stopIfTrue="1">
      <formula>MOD(ROW(),2)=0</formula>
    </cfRule>
    <cfRule type="expression" dxfId="436" priority="14" stopIfTrue="1">
      <formula>MOD(ROW(),2)&lt;&gt;0</formula>
    </cfRule>
  </conditionalFormatting>
  <conditionalFormatting sqref="A26:A74">
    <cfRule type="expression" dxfId="435" priority="3" stopIfTrue="1">
      <formula>MOD(ROW(),2)=0</formula>
    </cfRule>
    <cfRule type="expression" dxfId="434" priority="4" stopIfTrue="1">
      <formula>MOD(ROW(),2)&lt;&gt;0</formula>
    </cfRule>
  </conditionalFormatting>
  <conditionalFormatting sqref="B17:B21">
    <cfRule type="expression" dxfId="433" priority="1" stopIfTrue="1">
      <formula>MOD(ROW(),2)=0</formula>
    </cfRule>
    <cfRule type="expression" dxfId="432" priority="2" stopIfTrue="1">
      <formula>MOD(ROW(),2)&lt;&gt;0</formula>
    </cfRule>
  </conditionalFormatting>
  <conditionalFormatting sqref="B6:U21">
    <cfRule type="expression" dxfId="431" priority="23" stopIfTrue="1">
      <formula>MOD(ROW(),2)=0</formula>
    </cfRule>
    <cfRule type="expression" dxfId="430" priority="24" stopIfTrue="1">
      <formula>MOD(ROW(),2)&lt;&gt;0</formula>
    </cfRule>
  </conditionalFormatting>
  <conditionalFormatting sqref="B26:U74">
    <cfRule type="expression" dxfId="429" priority="5" stopIfTrue="1">
      <formula>MOD(ROW(),2)=0</formula>
    </cfRule>
    <cfRule type="expression" dxfId="428" priority="6" stopIfTrue="1">
      <formula>MOD(ROW(),2)&lt;&gt;0</formula>
    </cfRule>
  </conditionalFormatting>
  <hyperlinks>
    <hyperlink ref="B24" location="Assumptions!A1" display="Assumptions" xr:uid="{95E3F6A0-9DEF-4D18-9E98-F328FD82D96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94"/>
  <dimension ref="A1:V116"/>
  <sheetViews>
    <sheetView showGridLines="0" zoomScale="85" zoomScaleNormal="85" workbookViewId="0">
      <selection activeCell="A4" sqref="A4"/>
    </sheetView>
  </sheetViews>
  <sheetFormatPr defaultColWidth="10" defaultRowHeight="12.5" x14ac:dyDescent="0.25"/>
  <cols>
    <col min="1" max="1" width="31.90625" style="25" customWidth="1"/>
    <col min="2" max="21" width="22.90625" style="25" customWidth="1"/>
    <col min="22" max="16384" width="10" style="25"/>
  </cols>
  <sheetData>
    <row r="1" spans="1:21" ht="20" x14ac:dyDescent="0.4">
      <c r="A1" s="36" t="s">
        <v>0</v>
      </c>
      <c r="B1" s="37"/>
      <c r="C1" s="37"/>
      <c r="D1" s="37"/>
      <c r="E1" s="37"/>
      <c r="F1" s="37"/>
      <c r="G1" s="37"/>
      <c r="H1" s="37"/>
      <c r="I1" s="37"/>
    </row>
    <row r="2" spans="1:21" ht="15.5" x14ac:dyDescent="0.35">
      <c r="A2" s="38" t="str">
        <f>IF(title="&gt; Enter workbook title here","Enter workbook title in Cover sheet",title)</f>
        <v>NHSPS_NI - Consolidated Factor Spreadsheet</v>
      </c>
      <c r="B2" s="39"/>
      <c r="C2" s="39"/>
      <c r="D2" s="39"/>
      <c r="E2" s="39"/>
      <c r="F2" s="39"/>
      <c r="G2" s="39"/>
      <c r="H2" s="39"/>
      <c r="I2" s="39"/>
    </row>
    <row r="3" spans="1:21" ht="15.5" x14ac:dyDescent="0.35">
      <c r="A3" s="40" t="str">
        <f>TABLE_FACTOR_TYPE_1&amp;" - x-"&amp;TABLE_SERIES_NUMBER_1</f>
        <v>Added pension - x-708</v>
      </c>
      <c r="B3" s="39"/>
      <c r="C3" s="39"/>
      <c r="D3" s="39"/>
      <c r="E3" s="39"/>
      <c r="F3" s="39"/>
      <c r="G3" s="39"/>
      <c r="H3" s="39"/>
      <c r="I3" s="39"/>
    </row>
    <row r="4" spans="1:21" x14ac:dyDescent="0.25">
      <c r="A4" s="41"/>
    </row>
    <row r="6" spans="1:21" ht="13" x14ac:dyDescent="0.3">
      <c r="A6" s="163" t="s">
        <v>276</v>
      </c>
      <c r="B6" s="107" t="s">
        <v>277</v>
      </c>
      <c r="C6" s="107"/>
      <c r="D6" s="107"/>
      <c r="E6" s="107"/>
      <c r="F6" s="107"/>
      <c r="G6" s="107"/>
      <c r="H6" s="107"/>
      <c r="I6" s="107"/>
      <c r="J6" s="107"/>
      <c r="K6" s="107"/>
      <c r="L6" s="107"/>
      <c r="M6" s="107"/>
      <c r="N6" s="107"/>
      <c r="O6" s="107"/>
      <c r="P6" s="107"/>
      <c r="Q6" s="107"/>
      <c r="R6" s="107"/>
      <c r="S6" s="107"/>
      <c r="T6" s="107"/>
      <c r="U6" s="107"/>
    </row>
    <row r="7" spans="1:21" x14ac:dyDescent="0.25">
      <c r="A7" s="69" t="s">
        <v>278</v>
      </c>
      <c r="B7" s="107" t="s">
        <v>310</v>
      </c>
      <c r="C7" s="107"/>
      <c r="D7" s="107"/>
      <c r="E7" s="107"/>
      <c r="F7" s="107"/>
      <c r="G7" s="107"/>
      <c r="H7" s="107"/>
      <c r="I7" s="107"/>
      <c r="J7" s="107"/>
      <c r="K7" s="107"/>
      <c r="L7" s="107"/>
      <c r="M7" s="107"/>
      <c r="N7" s="107"/>
      <c r="O7" s="107"/>
      <c r="P7" s="107"/>
      <c r="Q7" s="107"/>
      <c r="R7" s="107"/>
      <c r="S7" s="107"/>
      <c r="T7" s="107"/>
      <c r="U7" s="107"/>
    </row>
    <row r="8" spans="1:21" x14ac:dyDescent="0.25">
      <c r="A8" s="69" t="s">
        <v>280</v>
      </c>
      <c r="B8" s="107" t="s">
        <v>363</v>
      </c>
      <c r="C8" s="107"/>
      <c r="D8" s="107"/>
      <c r="E8" s="107"/>
      <c r="F8" s="107"/>
      <c r="G8" s="107"/>
      <c r="H8" s="107"/>
      <c r="I8" s="107"/>
      <c r="J8" s="107"/>
      <c r="K8" s="107"/>
      <c r="L8" s="107"/>
      <c r="M8" s="107"/>
      <c r="N8" s="107"/>
      <c r="O8" s="107"/>
      <c r="P8" s="107"/>
      <c r="Q8" s="107"/>
      <c r="R8" s="107"/>
      <c r="S8" s="107"/>
      <c r="T8" s="107"/>
      <c r="U8" s="107"/>
    </row>
    <row r="9" spans="1:21" x14ac:dyDescent="0.25">
      <c r="A9" s="69" t="s">
        <v>282</v>
      </c>
      <c r="B9" s="107" t="s">
        <v>514</v>
      </c>
      <c r="C9" s="107"/>
      <c r="D9" s="107"/>
      <c r="E9" s="107"/>
      <c r="F9" s="107"/>
      <c r="G9" s="107"/>
      <c r="H9" s="107"/>
      <c r="I9" s="107"/>
      <c r="J9" s="107"/>
      <c r="K9" s="107"/>
      <c r="L9" s="107"/>
      <c r="M9" s="107"/>
      <c r="N9" s="107"/>
      <c r="O9" s="107"/>
      <c r="P9" s="107"/>
      <c r="Q9" s="107"/>
      <c r="R9" s="107"/>
      <c r="S9" s="107"/>
      <c r="T9" s="107"/>
      <c r="U9" s="107"/>
    </row>
    <row r="10" spans="1:21" x14ac:dyDescent="0.25">
      <c r="A10" s="69" t="s">
        <v>6</v>
      </c>
      <c r="B10" s="107" t="s">
        <v>532</v>
      </c>
      <c r="C10" s="107"/>
      <c r="D10" s="107"/>
      <c r="E10" s="107"/>
      <c r="F10" s="107"/>
      <c r="G10" s="107"/>
      <c r="H10" s="107"/>
      <c r="I10" s="107"/>
      <c r="J10" s="107"/>
      <c r="K10" s="107"/>
      <c r="L10" s="107"/>
      <c r="M10" s="107"/>
      <c r="N10" s="107"/>
      <c r="O10" s="107"/>
      <c r="P10" s="107"/>
      <c r="Q10" s="107"/>
      <c r="R10" s="107"/>
      <c r="S10" s="107"/>
      <c r="T10" s="107"/>
      <c r="U10" s="107"/>
    </row>
    <row r="11" spans="1:21" x14ac:dyDescent="0.25">
      <c r="A11" s="69" t="s">
        <v>285</v>
      </c>
      <c r="B11" s="107" t="s">
        <v>359</v>
      </c>
      <c r="C11" s="107"/>
      <c r="D11" s="107"/>
      <c r="E11" s="107"/>
      <c r="F11" s="107"/>
      <c r="G11" s="107"/>
      <c r="H11" s="107"/>
      <c r="I11" s="107"/>
      <c r="J11" s="107"/>
      <c r="K11" s="107"/>
      <c r="L11" s="107"/>
      <c r="M11" s="107"/>
      <c r="N11" s="107"/>
      <c r="O11" s="107"/>
      <c r="P11" s="107"/>
      <c r="Q11" s="107"/>
      <c r="R11" s="107"/>
      <c r="S11" s="107"/>
      <c r="T11" s="107"/>
      <c r="U11" s="107"/>
    </row>
    <row r="12" spans="1:21" x14ac:dyDescent="0.25">
      <c r="A12" s="69" t="s">
        <v>287</v>
      </c>
      <c r="B12" s="107" t="s">
        <v>520</v>
      </c>
      <c r="C12" s="107"/>
      <c r="D12" s="107"/>
      <c r="E12" s="107"/>
      <c r="F12" s="107"/>
      <c r="G12" s="107"/>
      <c r="H12" s="107"/>
      <c r="I12" s="107"/>
      <c r="J12" s="107"/>
      <c r="K12" s="107"/>
      <c r="L12" s="107"/>
      <c r="M12" s="107"/>
      <c r="N12" s="107"/>
      <c r="O12" s="107"/>
      <c r="P12" s="107"/>
      <c r="Q12" s="107"/>
      <c r="R12" s="107"/>
      <c r="S12" s="107"/>
      <c r="T12" s="107"/>
      <c r="U12" s="107"/>
    </row>
    <row r="13" spans="1:21" x14ac:dyDescent="0.25">
      <c r="A13" s="69" t="s">
        <v>289</v>
      </c>
      <c r="B13" s="107">
        <v>1</v>
      </c>
      <c r="C13" s="107"/>
      <c r="D13" s="107"/>
      <c r="E13" s="107"/>
      <c r="F13" s="107"/>
      <c r="G13" s="107"/>
      <c r="H13" s="107"/>
      <c r="I13" s="107"/>
      <c r="J13" s="107"/>
      <c r="K13" s="107"/>
      <c r="L13" s="107"/>
      <c r="M13" s="107"/>
      <c r="N13" s="107"/>
      <c r="O13" s="107"/>
      <c r="P13" s="107"/>
      <c r="Q13" s="107"/>
      <c r="R13" s="107"/>
      <c r="S13" s="107"/>
      <c r="T13" s="107"/>
      <c r="U13" s="107"/>
    </row>
    <row r="14" spans="1:21" x14ac:dyDescent="0.25">
      <c r="A14" s="69" t="s">
        <v>291</v>
      </c>
      <c r="B14" s="107">
        <v>708</v>
      </c>
      <c r="C14" s="107"/>
      <c r="D14" s="107"/>
      <c r="E14" s="107"/>
      <c r="F14" s="107"/>
      <c r="G14" s="107"/>
      <c r="H14" s="107"/>
      <c r="I14" s="107"/>
      <c r="J14" s="107"/>
      <c r="K14" s="107"/>
      <c r="L14" s="107"/>
      <c r="M14" s="107"/>
      <c r="N14" s="107"/>
      <c r="O14" s="107"/>
      <c r="P14" s="107"/>
      <c r="Q14" s="107"/>
      <c r="R14" s="107"/>
      <c r="S14" s="107"/>
      <c r="T14" s="107"/>
      <c r="U14" s="107"/>
    </row>
    <row r="15" spans="1:21" x14ac:dyDescent="0.25">
      <c r="A15" s="69" t="s">
        <v>293</v>
      </c>
      <c r="B15" s="107" t="s">
        <v>533</v>
      </c>
      <c r="C15" s="107"/>
      <c r="D15" s="107"/>
      <c r="E15" s="107"/>
      <c r="F15" s="107"/>
      <c r="G15" s="107"/>
      <c r="H15" s="107"/>
      <c r="I15" s="107"/>
      <c r="J15" s="107"/>
      <c r="K15" s="107"/>
      <c r="L15" s="107"/>
      <c r="M15" s="107"/>
      <c r="N15" s="107"/>
      <c r="O15" s="107"/>
      <c r="P15" s="107"/>
      <c r="Q15" s="107"/>
      <c r="R15" s="107"/>
      <c r="S15" s="107"/>
      <c r="T15" s="107"/>
      <c r="U15" s="107"/>
    </row>
    <row r="16" spans="1:21" x14ac:dyDescent="0.25">
      <c r="A16" s="69" t="s">
        <v>295</v>
      </c>
      <c r="B16" s="107" t="s">
        <v>534</v>
      </c>
      <c r="C16" s="107"/>
      <c r="D16" s="107"/>
      <c r="E16" s="107"/>
      <c r="F16" s="107"/>
      <c r="G16" s="107"/>
      <c r="H16" s="107"/>
      <c r="I16" s="107"/>
      <c r="J16" s="107"/>
      <c r="K16" s="107"/>
      <c r="L16" s="107"/>
      <c r="M16" s="107"/>
      <c r="N16" s="107"/>
      <c r="O16" s="107"/>
      <c r="P16" s="107"/>
      <c r="Q16" s="107"/>
      <c r="R16" s="107"/>
      <c r="S16" s="107"/>
      <c r="T16" s="107"/>
      <c r="U16" s="107"/>
    </row>
    <row r="17" spans="1:21" x14ac:dyDescent="0.25">
      <c r="A17" s="69" t="s">
        <v>725</v>
      </c>
      <c r="B17" s="107"/>
      <c r="C17" s="107"/>
      <c r="D17" s="107"/>
      <c r="E17" s="107"/>
      <c r="F17" s="107"/>
      <c r="G17" s="107"/>
      <c r="H17" s="107"/>
      <c r="I17" s="107"/>
      <c r="J17" s="107"/>
      <c r="K17" s="107"/>
      <c r="L17" s="107"/>
      <c r="M17" s="107"/>
      <c r="N17" s="107"/>
      <c r="O17" s="107"/>
      <c r="P17" s="107"/>
      <c r="Q17" s="107"/>
      <c r="R17" s="107"/>
      <c r="S17" s="107"/>
      <c r="T17" s="107"/>
      <c r="U17" s="107"/>
    </row>
    <row r="18" spans="1:21" x14ac:dyDescent="0.25">
      <c r="A18" s="85" t="s">
        <v>299</v>
      </c>
      <c r="B18" s="164">
        <v>45202</v>
      </c>
      <c r="C18" s="107"/>
      <c r="D18" s="107"/>
      <c r="E18" s="107"/>
      <c r="F18" s="107"/>
      <c r="G18" s="107"/>
      <c r="H18" s="107"/>
      <c r="I18" s="107"/>
      <c r="J18" s="107"/>
      <c r="K18" s="107"/>
      <c r="L18" s="107"/>
      <c r="M18" s="107"/>
      <c r="N18" s="107"/>
      <c r="O18" s="107"/>
      <c r="P18" s="107"/>
      <c r="Q18" s="107"/>
      <c r="R18" s="107"/>
      <c r="S18" s="107"/>
      <c r="T18" s="107"/>
      <c r="U18" s="107"/>
    </row>
    <row r="19" spans="1:21" x14ac:dyDescent="0.25">
      <c r="A19" s="85" t="s">
        <v>301</v>
      </c>
      <c r="B19" s="164">
        <v>45202</v>
      </c>
      <c r="C19" s="107"/>
      <c r="D19" s="107"/>
      <c r="E19" s="107"/>
      <c r="F19" s="107"/>
      <c r="G19" s="107"/>
      <c r="H19" s="107"/>
      <c r="I19" s="107"/>
      <c r="J19" s="107"/>
      <c r="K19" s="107"/>
      <c r="L19" s="107"/>
      <c r="M19" s="107"/>
      <c r="N19" s="107"/>
      <c r="O19" s="107"/>
      <c r="P19" s="107"/>
      <c r="Q19" s="107"/>
      <c r="R19" s="107"/>
      <c r="S19" s="107"/>
      <c r="T19" s="107"/>
      <c r="U19" s="107"/>
    </row>
    <row r="20" spans="1:21" x14ac:dyDescent="0.25">
      <c r="A20" s="85" t="s">
        <v>303</v>
      </c>
      <c r="B20" s="107" t="s">
        <v>317</v>
      </c>
      <c r="C20" s="107"/>
      <c r="D20" s="107"/>
      <c r="E20" s="107"/>
      <c r="F20" s="107"/>
      <c r="G20" s="107"/>
      <c r="H20" s="107"/>
      <c r="I20" s="107"/>
      <c r="J20" s="107"/>
      <c r="K20" s="107"/>
      <c r="L20" s="107"/>
      <c r="M20" s="107"/>
      <c r="N20" s="107"/>
      <c r="O20" s="107"/>
      <c r="P20" s="107"/>
      <c r="Q20" s="107"/>
      <c r="R20" s="107"/>
      <c r="S20" s="107"/>
      <c r="T20" s="107"/>
      <c r="U20" s="107"/>
    </row>
    <row r="21" spans="1:21" x14ac:dyDescent="0.25">
      <c r="A21" s="85" t="s">
        <v>309</v>
      </c>
      <c r="B21" s="107" t="s">
        <v>318</v>
      </c>
      <c r="C21" s="107"/>
      <c r="D21" s="107"/>
      <c r="E21" s="107"/>
      <c r="F21" s="107"/>
      <c r="G21" s="107"/>
      <c r="H21" s="107"/>
      <c r="I21" s="107"/>
      <c r="J21" s="107"/>
      <c r="K21" s="107"/>
      <c r="L21" s="107"/>
      <c r="M21" s="107"/>
      <c r="N21" s="107"/>
      <c r="O21" s="107"/>
      <c r="P21" s="107"/>
      <c r="Q21" s="107"/>
      <c r="R21" s="107"/>
      <c r="S21" s="107"/>
      <c r="T21" s="107"/>
      <c r="U21" s="107"/>
    </row>
    <row r="23" spans="1:21" x14ac:dyDescent="0.25">
      <c r="B23" s="103" t="str">
        <f>HYPERLINK("#'Factor List'!A1","Back to Factor List")</f>
        <v>Back to Factor List</v>
      </c>
    </row>
    <row r="24" spans="1:21" x14ac:dyDescent="0.25">
      <c r="B24" s="103" t="s">
        <v>15</v>
      </c>
    </row>
    <row r="26" spans="1:21" ht="13" x14ac:dyDescent="0.25">
      <c r="A26" s="98" t="s">
        <v>408</v>
      </c>
      <c r="B26" s="98" t="s">
        <v>778</v>
      </c>
      <c r="C26" s="98" t="s">
        <v>779</v>
      </c>
      <c r="D26" s="98" t="s">
        <v>780</v>
      </c>
      <c r="E26" s="98" t="s">
        <v>781</v>
      </c>
      <c r="F26" s="98" t="s">
        <v>782</v>
      </c>
      <c r="G26" s="98" t="s">
        <v>783</v>
      </c>
      <c r="H26" s="98" t="s">
        <v>784</v>
      </c>
      <c r="I26" s="98" t="s">
        <v>785</v>
      </c>
      <c r="J26" s="98" t="s">
        <v>786</v>
      </c>
      <c r="K26" s="98" t="s">
        <v>787</v>
      </c>
      <c r="L26" s="98" t="s">
        <v>788</v>
      </c>
      <c r="M26" s="98" t="s">
        <v>789</v>
      </c>
      <c r="N26" s="98" t="s">
        <v>790</v>
      </c>
      <c r="O26" s="98" t="s">
        <v>791</v>
      </c>
      <c r="P26" s="98" t="s">
        <v>792</v>
      </c>
      <c r="Q26" s="98" t="s">
        <v>793</v>
      </c>
      <c r="R26" s="98" t="s">
        <v>794</v>
      </c>
      <c r="S26" s="98" t="s">
        <v>795</v>
      </c>
      <c r="T26" s="98" t="s">
        <v>796</v>
      </c>
      <c r="U26" s="98" t="s">
        <v>797</v>
      </c>
    </row>
    <row r="27" spans="1:21" x14ac:dyDescent="0.25">
      <c r="A27" s="99">
        <v>16</v>
      </c>
      <c r="B27" s="100">
        <v>269.60000000000002</v>
      </c>
      <c r="C27" s="100">
        <v>137.30000000000001</v>
      </c>
      <c r="D27" s="100">
        <v>93.2</v>
      </c>
      <c r="E27" s="100">
        <v>71.2</v>
      </c>
      <c r="F27" s="100">
        <v>58</v>
      </c>
      <c r="G27" s="100">
        <v>49.2</v>
      </c>
      <c r="H27" s="100">
        <v>42.9</v>
      </c>
      <c r="I27" s="100">
        <v>38.200000000000003</v>
      </c>
      <c r="J27" s="100">
        <v>34.6</v>
      </c>
      <c r="K27" s="100">
        <v>31.7</v>
      </c>
      <c r="L27" s="100">
        <v>29.3</v>
      </c>
      <c r="M27" s="100">
        <v>27.3</v>
      </c>
      <c r="N27" s="100">
        <v>25.7</v>
      </c>
      <c r="O27" s="100">
        <v>24.2</v>
      </c>
      <c r="P27" s="100">
        <v>23</v>
      </c>
      <c r="Q27" s="100">
        <v>21.9</v>
      </c>
      <c r="R27" s="100">
        <v>21</v>
      </c>
      <c r="S27" s="100">
        <v>20.2</v>
      </c>
      <c r="T27" s="100">
        <v>19.399999999999999</v>
      </c>
      <c r="U27" s="100">
        <v>18.7</v>
      </c>
    </row>
    <row r="28" spans="1:21" x14ac:dyDescent="0.25">
      <c r="A28" s="99">
        <v>17</v>
      </c>
      <c r="B28" s="100">
        <v>273.39999999999998</v>
      </c>
      <c r="C28" s="100">
        <v>139.19999999999999</v>
      </c>
      <c r="D28" s="100">
        <v>94.5</v>
      </c>
      <c r="E28" s="100">
        <v>72.2</v>
      </c>
      <c r="F28" s="100">
        <v>58.8</v>
      </c>
      <c r="G28" s="100">
        <v>49.9</v>
      </c>
      <c r="H28" s="100">
        <v>43.5</v>
      </c>
      <c r="I28" s="100">
        <v>38.799999999999997</v>
      </c>
      <c r="J28" s="100">
        <v>35.1</v>
      </c>
      <c r="K28" s="100">
        <v>32.1</v>
      </c>
      <c r="L28" s="100">
        <v>29.7</v>
      </c>
      <c r="M28" s="100">
        <v>27.7</v>
      </c>
      <c r="N28" s="100">
        <v>26</v>
      </c>
      <c r="O28" s="100">
        <v>24.6</v>
      </c>
      <c r="P28" s="100">
        <v>23.3</v>
      </c>
      <c r="Q28" s="100">
        <v>22.2</v>
      </c>
      <c r="R28" s="100">
        <v>21.3</v>
      </c>
      <c r="S28" s="100">
        <v>20.399999999999999</v>
      </c>
      <c r="T28" s="100">
        <v>19.7</v>
      </c>
      <c r="U28" s="100">
        <v>19</v>
      </c>
    </row>
    <row r="29" spans="1:21" x14ac:dyDescent="0.25">
      <c r="A29" s="99">
        <v>18</v>
      </c>
      <c r="B29" s="100">
        <v>277.2</v>
      </c>
      <c r="C29" s="100">
        <v>141.19999999999999</v>
      </c>
      <c r="D29" s="100">
        <v>95.8</v>
      </c>
      <c r="E29" s="100">
        <v>73.2</v>
      </c>
      <c r="F29" s="100">
        <v>59.6</v>
      </c>
      <c r="G29" s="100">
        <v>50.6</v>
      </c>
      <c r="H29" s="100">
        <v>44.1</v>
      </c>
      <c r="I29" s="100">
        <v>39.299999999999997</v>
      </c>
      <c r="J29" s="100">
        <v>35.6</v>
      </c>
      <c r="K29" s="100">
        <v>32.6</v>
      </c>
      <c r="L29" s="100">
        <v>30.1</v>
      </c>
      <c r="M29" s="100">
        <v>28.1</v>
      </c>
      <c r="N29" s="100">
        <v>26.4</v>
      </c>
      <c r="O29" s="100">
        <v>24.9</v>
      </c>
      <c r="P29" s="100">
        <v>23.7</v>
      </c>
      <c r="Q29" s="100">
        <v>22.6</v>
      </c>
      <c r="R29" s="100">
        <v>21.6</v>
      </c>
      <c r="S29" s="100">
        <v>20.7</v>
      </c>
      <c r="T29" s="100">
        <v>20</v>
      </c>
      <c r="U29" s="100">
        <v>19.3</v>
      </c>
    </row>
    <row r="30" spans="1:21" x14ac:dyDescent="0.25">
      <c r="A30" s="99">
        <v>19</v>
      </c>
      <c r="B30" s="100">
        <v>281.10000000000002</v>
      </c>
      <c r="C30" s="100">
        <v>143.1</v>
      </c>
      <c r="D30" s="100">
        <v>97.2</v>
      </c>
      <c r="E30" s="100">
        <v>74.2</v>
      </c>
      <c r="F30" s="100">
        <v>60.5</v>
      </c>
      <c r="G30" s="100">
        <v>51.3</v>
      </c>
      <c r="H30" s="100">
        <v>44.8</v>
      </c>
      <c r="I30" s="100">
        <v>39.9</v>
      </c>
      <c r="J30" s="100">
        <v>36.1</v>
      </c>
      <c r="K30" s="100">
        <v>33</v>
      </c>
      <c r="L30" s="100">
        <v>30.6</v>
      </c>
      <c r="M30" s="100">
        <v>28.5</v>
      </c>
      <c r="N30" s="100">
        <v>26.8</v>
      </c>
      <c r="O30" s="100">
        <v>25.3</v>
      </c>
      <c r="P30" s="100">
        <v>24</v>
      </c>
      <c r="Q30" s="100">
        <v>22.9</v>
      </c>
      <c r="R30" s="100">
        <v>21.9</v>
      </c>
      <c r="S30" s="100">
        <v>21</v>
      </c>
      <c r="T30" s="100">
        <v>20.3</v>
      </c>
      <c r="U30" s="100">
        <v>19.600000000000001</v>
      </c>
    </row>
    <row r="31" spans="1:21" x14ac:dyDescent="0.25">
      <c r="A31" s="99">
        <v>20</v>
      </c>
      <c r="B31" s="100">
        <v>285</v>
      </c>
      <c r="C31" s="100">
        <v>145.1</v>
      </c>
      <c r="D31" s="100">
        <v>98.5</v>
      </c>
      <c r="E31" s="100">
        <v>75.3</v>
      </c>
      <c r="F31" s="100">
        <v>61.3</v>
      </c>
      <c r="G31" s="100">
        <v>52</v>
      </c>
      <c r="H31" s="100">
        <v>45.4</v>
      </c>
      <c r="I31" s="100">
        <v>40.4</v>
      </c>
      <c r="J31" s="100">
        <v>36.6</v>
      </c>
      <c r="K31" s="100">
        <v>33.5</v>
      </c>
      <c r="L31" s="100">
        <v>31</v>
      </c>
      <c r="M31" s="100">
        <v>28.9</v>
      </c>
      <c r="N31" s="100">
        <v>27.1</v>
      </c>
      <c r="O31" s="100">
        <v>25.6</v>
      </c>
      <c r="P31" s="100">
        <v>24.3</v>
      </c>
      <c r="Q31" s="100">
        <v>23.2</v>
      </c>
      <c r="R31" s="100">
        <v>22.2</v>
      </c>
      <c r="S31" s="100">
        <v>21.3</v>
      </c>
      <c r="T31" s="100">
        <v>20.5</v>
      </c>
      <c r="U31" s="100">
        <v>19.8</v>
      </c>
    </row>
    <row r="32" spans="1:21" x14ac:dyDescent="0.25">
      <c r="A32" s="99">
        <v>21</v>
      </c>
      <c r="B32" s="100">
        <v>288.89999999999998</v>
      </c>
      <c r="C32" s="100">
        <v>147.1</v>
      </c>
      <c r="D32" s="100">
        <v>99.9</v>
      </c>
      <c r="E32" s="100">
        <v>76.3</v>
      </c>
      <c r="F32" s="100">
        <v>62.2</v>
      </c>
      <c r="G32" s="100">
        <v>52.7</v>
      </c>
      <c r="H32" s="100">
        <v>46</v>
      </c>
      <c r="I32" s="100">
        <v>41</v>
      </c>
      <c r="J32" s="100">
        <v>37.1</v>
      </c>
      <c r="K32" s="100">
        <v>34</v>
      </c>
      <c r="L32" s="100">
        <v>31.4</v>
      </c>
      <c r="M32" s="100">
        <v>29.3</v>
      </c>
      <c r="N32" s="100">
        <v>27.5</v>
      </c>
      <c r="O32" s="100">
        <v>26</v>
      </c>
      <c r="P32" s="100">
        <v>24.7</v>
      </c>
      <c r="Q32" s="100">
        <v>23.5</v>
      </c>
      <c r="R32" s="100">
        <v>22.5</v>
      </c>
      <c r="S32" s="100">
        <v>21.6</v>
      </c>
      <c r="T32" s="100">
        <v>20.8</v>
      </c>
      <c r="U32" s="100">
        <v>20.100000000000001</v>
      </c>
    </row>
    <row r="33" spans="1:21" x14ac:dyDescent="0.25">
      <c r="A33" s="99">
        <v>22</v>
      </c>
      <c r="B33" s="100">
        <v>292.89999999999998</v>
      </c>
      <c r="C33" s="100">
        <v>149.19999999999999</v>
      </c>
      <c r="D33" s="100">
        <v>101.3</v>
      </c>
      <c r="E33" s="100">
        <v>77.400000000000006</v>
      </c>
      <c r="F33" s="100">
        <v>63</v>
      </c>
      <c r="G33" s="100">
        <v>53.5</v>
      </c>
      <c r="H33" s="100">
        <v>46.7</v>
      </c>
      <c r="I33" s="100">
        <v>41.6</v>
      </c>
      <c r="J33" s="100">
        <v>37.6</v>
      </c>
      <c r="K33" s="100">
        <v>34.4</v>
      </c>
      <c r="L33" s="100">
        <v>31.9</v>
      </c>
      <c r="M33" s="100">
        <v>29.7</v>
      </c>
      <c r="N33" s="100">
        <v>27.9</v>
      </c>
      <c r="O33" s="100">
        <v>26.4</v>
      </c>
      <c r="P33" s="100">
        <v>25</v>
      </c>
      <c r="Q33" s="100">
        <v>23.9</v>
      </c>
      <c r="R33" s="100">
        <v>22.8</v>
      </c>
      <c r="S33" s="100">
        <v>21.9</v>
      </c>
      <c r="T33" s="100">
        <v>21.1</v>
      </c>
      <c r="U33" s="100">
        <v>20.399999999999999</v>
      </c>
    </row>
    <row r="34" spans="1:21" x14ac:dyDescent="0.25">
      <c r="A34" s="99">
        <v>23</v>
      </c>
      <c r="B34" s="100">
        <v>296.89999999999998</v>
      </c>
      <c r="C34" s="100">
        <v>151.19999999999999</v>
      </c>
      <c r="D34" s="100">
        <v>102.7</v>
      </c>
      <c r="E34" s="100">
        <v>78.400000000000006</v>
      </c>
      <c r="F34" s="100">
        <v>63.9</v>
      </c>
      <c r="G34" s="100">
        <v>54.2</v>
      </c>
      <c r="H34" s="100">
        <v>47.3</v>
      </c>
      <c r="I34" s="100">
        <v>42.1</v>
      </c>
      <c r="J34" s="100">
        <v>38.1</v>
      </c>
      <c r="K34" s="100">
        <v>34.9</v>
      </c>
      <c r="L34" s="100">
        <v>32.299999999999997</v>
      </c>
      <c r="M34" s="100">
        <v>30.1</v>
      </c>
      <c r="N34" s="100">
        <v>28.3</v>
      </c>
      <c r="O34" s="100">
        <v>26.7</v>
      </c>
      <c r="P34" s="100">
        <v>25.4</v>
      </c>
      <c r="Q34" s="100">
        <v>24.2</v>
      </c>
      <c r="R34" s="100">
        <v>23.2</v>
      </c>
      <c r="S34" s="100">
        <v>22.2</v>
      </c>
      <c r="T34" s="100">
        <v>21.4</v>
      </c>
      <c r="U34" s="100">
        <v>20.7</v>
      </c>
    </row>
    <row r="35" spans="1:21" x14ac:dyDescent="0.25">
      <c r="A35" s="99">
        <v>24</v>
      </c>
      <c r="B35" s="100">
        <v>301</v>
      </c>
      <c r="C35" s="100">
        <v>153.30000000000001</v>
      </c>
      <c r="D35" s="100">
        <v>104.1</v>
      </c>
      <c r="E35" s="100">
        <v>79.5</v>
      </c>
      <c r="F35" s="100">
        <v>64.8</v>
      </c>
      <c r="G35" s="100">
        <v>54.9</v>
      </c>
      <c r="H35" s="100">
        <v>47.9</v>
      </c>
      <c r="I35" s="100">
        <v>42.7</v>
      </c>
      <c r="J35" s="100">
        <v>38.6</v>
      </c>
      <c r="K35" s="100">
        <v>35.4</v>
      </c>
      <c r="L35" s="100">
        <v>32.700000000000003</v>
      </c>
      <c r="M35" s="100">
        <v>30.5</v>
      </c>
      <c r="N35" s="100">
        <v>28.7</v>
      </c>
      <c r="O35" s="100">
        <v>27.1</v>
      </c>
      <c r="P35" s="100">
        <v>25.7</v>
      </c>
      <c r="Q35" s="100">
        <v>24.5</v>
      </c>
      <c r="R35" s="100">
        <v>23.5</v>
      </c>
      <c r="S35" s="100">
        <v>22.6</v>
      </c>
      <c r="T35" s="100">
        <v>21.7</v>
      </c>
      <c r="U35" s="100">
        <v>21</v>
      </c>
    </row>
    <row r="36" spans="1:21" x14ac:dyDescent="0.25">
      <c r="A36" s="99">
        <v>25</v>
      </c>
      <c r="B36" s="100">
        <v>305.2</v>
      </c>
      <c r="C36" s="100">
        <v>155.4</v>
      </c>
      <c r="D36" s="100">
        <v>105.5</v>
      </c>
      <c r="E36" s="100">
        <v>80.599999999999994</v>
      </c>
      <c r="F36" s="100">
        <v>65.7</v>
      </c>
      <c r="G36" s="100">
        <v>55.7</v>
      </c>
      <c r="H36" s="100">
        <v>48.6</v>
      </c>
      <c r="I36" s="100">
        <v>43.3</v>
      </c>
      <c r="J36" s="100">
        <v>39.200000000000003</v>
      </c>
      <c r="K36" s="100">
        <v>35.9</v>
      </c>
      <c r="L36" s="100">
        <v>33.200000000000003</v>
      </c>
      <c r="M36" s="100">
        <v>31</v>
      </c>
      <c r="N36" s="100">
        <v>29.1</v>
      </c>
      <c r="O36" s="100">
        <v>27.5</v>
      </c>
      <c r="P36" s="100">
        <v>26.1</v>
      </c>
      <c r="Q36" s="100">
        <v>24.9</v>
      </c>
      <c r="R36" s="100">
        <v>23.8</v>
      </c>
      <c r="S36" s="100">
        <v>22.9</v>
      </c>
      <c r="T36" s="100">
        <v>22</v>
      </c>
      <c r="U36" s="100">
        <v>21.3</v>
      </c>
    </row>
    <row r="37" spans="1:21" x14ac:dyDescent="0.25">
      <c r="A37" s="99">
        <v>26</v>
      </c>
      <c r="B37" s="100">
        <v>309.3</v>
      </c>
      <c r="C37" s="100">
        <v>157.5</v>
      </c>
      <c r="D37" s="100">
        <v>107</v>
      </c>
      <c r="E37" s="100">
        <v>81.7</v>
      </c>
      <c r="F37" s="100">
        <v>66.599999999999994</v>
      </c>
      <c r="G37" s="100">
        <v>56.5</v>
      </c>
      <c r="H37" s="100">
        <v>49.3</v>
      </c>
      <c r="I37" s="100">
        <v>43.9</v>
      </c>
      <c r="J37" s="100">
        <v>39.700000000000003</v>
      </c>
      <c r="K37" s="100">
        <v>36.4</v>
      </c>
      <c r="L37" s="100">
        <v>33.700000000000003</v>
      </c>
      <c r="M37" s="100">
        <v>31.4</v>
      </c>
      <c r="N37" s="100">
        <v>29.5</v>
      </c>
      <c r="O37" s="100">
        <v>27.9</v>
      </c>
      <c r="P37" s="100">
        <v>26.5</v>
      </c>
      <c r="Q37" s="100">
        <v>25.2</v>
      </c>
      <c r="R37" s="100">
        <v>24.2</v>
      </c>
      <c r="S37" s="100">
        <v>23.2</v>
      </c>
      <c r="T37" s="100">
        <v>22.4</v>
      </c>
      <c r="U37" s="100">
        <v>21.6</v>
      </c>
    </row>
    <row r="38" spans="1:21" x14ac:dyDescent="0.25">
      <c r="A38" s="99">
        <v>27</v>
      </c>
      <c r="B38" s="100">
        <v>313.60000000000002</v>
      </c>
      <c r="C38" s="100">
        <v>159.69999999999999</v>
      </c>
      <c r="D38" s="100">
        <v>108.4</v>
      </c>
      <c r="E38" s="100">
        <v>82.8</v>
      </c>
      <c r="F38" s="100">
        <v>67.5</v>
      </c>
      <c r="G38" s="100">
        <v>57.3</v>
      </c>
      <c r="H38" s="100">
        <v>50</v>
      </c>
      <c r="I38" s="100">
        <v>44.5</v>
      </c>
      <c r="J38" s="100">
        <v>40.299999999999997</v>
      </c>
      <c r="K38" s="100">
        <v>36.9</v>
      </c>
      <c r="L38" s="100">
        <v>34.1</v>
      </c>
      <c r="M38" s="100">
        <v>31.8</v>
      </c>
      <c r="N38" s="100">
        <v>29.9</v>
      </c>
      <c r="O38" s="100">
        <v>28.3</v>
      </c>
      <c r="P38" s="100">
        <v>26.8</v>
      </c>
      <c r="Q38" s="100">
        <v>25.6</v>
      </c>
      <c r="R38" s="100">
        <v>24.5</v>
      </c>
      <c r="S38" s="100">
        <v>23.5</v>
      </c>
      <c r="T38" s="100">
        <v>22.7</v>
      </c>
      <c r="U38" s="100">
        <v>21.9</v>
      </c>
    </row>
    <row r="39" spans="1:21" x14ac:dyDescent="0.25">
      <c r="A39" s="99">
        <v>28</v>
      </c>
      <c r="B39" s="100">
        <v>317.89999999999998</v>
      </c>
      <c r="C39" s="100">
        <v>161.9</v>
      </c>
      <c r="D39" s="100">
        <v>109.9</v>
      </c>
      <c r="E39" s="100">
        <v>84</v>
      </c>
      <c r="F39" s="100">
        <v>68.400000000000006</v>
      </c>
      <c r="G39" s="100">
        <v>58</v>
      </c>
      <c r="H39" s="100">
        <v>50.7</v>
      </c>
      <c r="I39" s="100">
        <v>45.1</v>
      </c>
      <c r="J39" s="100">
        <v>40.799999999999997</v>
      </c>
      <c r="K39" s="100">
        <v>37.4</v>
      </c>
      <c r="L39" s="100">
        <v>34.6</v>
      </c>
      <c r="M39" s="100">
        <v>32.299999999999997</v>
      </c>
      <c r="N39" s="100">
        <v>30.3</v>
      </c>
      <c r="O39" s="100">
        <v>28.7</v>
      </c>
      <c r="P39" s="100">
        <v>27.2</v>
      </c>
      <c r="Q39" s="100">
        <v>26</v>
      </c>
      <c r="R39" s="100">
        <v>24.8</v>
      </c>
      <c r="S39" s="100">
        <v>23.9</v>
      </c>
      <c r="T39" s="100">
        <v>23</v>
      </c>
      <c r="U39" s="100">
        <v>22.2</v>
      </c>
    </row>
    <row r="40" spans="1:21" x14ac:dyDescent="0.25">
      <c r="A40" s="99">
        <v>29</v>
      </c>
      <c r="B40" s="100">
        <v>322.2</v>
      </c>
      <c r="C40" s="100">
        <v>164.1</v>
      </c>
      <c r="D40" s="100">
        <v>111.4</v>
      </c>
      <c r="E40" s="100">
        <v>85.1</v>
      </c>
      <c r="F40" s="100">
        <v>69.400000000000006</v>
      </c>
      <c r="G40" s="100">
        <v>58.8</v>
      </c>
      <c r="H40" s="100">
        <v>51.4</v>
      </c>
      <c r="I40" s="100">
        <v>45.8</v>
      </c>
      <c r="J40" s="100">
        <v>41.4</v>
      </c>
      <c r="K40" s="100">
        <v>37.9</v>
      </c>
      <c r="L40" s="100">
        <v>35.1</v>
      </c>
      <c r="M40" s="100">
        <v>32.700000000000003</v>
      </c>
      <c r="N40" s="100">
        <v>30.8</v>
      </c>
      <c r="O40" s="100">
        <v>29.1</v>
      </c>
      <c r="P40" s="100">
        <v>27.6</v>
      </c>
      <c r="Q40" s="100">
        <v>26.3</v>
      </c>
      <c r="R40" s="100">
        <v>25.2</v>
      </c>
      <c r="S40" s="100">
        <v>24.2</v>
      </c>
      <c r="T40" s="100">
        <v>23.3</v>
      </c>
      <c r="U40" s="100">
        <v>22.5</v>
      </c>
    </row>
    <row r="41" spans="1:21" x14ac:dyDescent="0.25">
      <c r="A41" s="99">
        <v>30</v>
      </c>
      <c r="B41" s="100">
        <v>326.60000000000002</v>
      </c>
      <c r="C41" s="100">
        <v>166.4</v>
      </c>
      <c r="D41" s="100">
        <v>113</v>
      </c>
      <c r="E41" s="100">
        <v>86.3</v>
      </c>
      <c r="F41" s="100">
        <v>70.3</v>
      </c>
      <c r="G41" s="100">
        <v>59.7</v>
      </c>
      <c r="H41" s="100">
        <v>52.1</v>
      </c>
      <c r="I41" s="100">
        <v>46.4</v>
      </c>
      <c r="J41" s="100">
        <v>42</v>
      </c>
      <c r="K41" s="100">
        <v>38.5</v>
      </c>
      <c r="L41" s="100">
        <v>35.6</v>
      </c>
      <c r="M41" s="100">
        <v>33.200000000000003</v>
      </c>
      <c r="N41" s="100">
        <v>31.2</v>
      </c>
      <c r="O41" s="100">
        <v>29.5</v>
      </c>
      <c r="P41" s="100">
        <v>28</v>
      </c>
      <c r="Q41" s="100">
        <v>26.7</v>
      </c>
      <c r="R41" s="100">
        <v>25.6</v>
      </c>
      <c r="S41" s="100">
        <v>24.6</v>
      </c>
      <c r="T41" s="100">
        <v>23.7</v>
      </c>
      <c r="U41" s="100">
        <v>22.9</v>
      </c>
    </row>
    <row r="42" spans="1:21" x14ac:dyDescent="0.25">
      <c r="A42" s="99">
        <v>31</v>
      </c>
      <c r="B42" s="100">
        <v>331.1</v>
      </c>
      <c r="C42" s="100">
        <v>168.6</v>
      </c>
      <c r="D42" s="100">
        <v>114.5</v>
      </c>
      <c r="E42" s="100">
        <v>87.5</v>
      </c>
      <c r="F42" s="100">
        <v>71.3</v>
      </c>
      <c r="G42" s="100">
        <v>60.5</v>
      </c>
      <c r="H42" s="100">
        <v>52.8</v>
      </c>
      <c r="I42" s="100">
        <v>47</v>
      </c>
      <c r="J42" s="100">
        <v>42.6</v>
      </c>
      <c r="K42" s="100">
        <v>39</v>
      </c>
      <c r="L42" s="100">
        <v>36.1</v>
      </c>
      <c r="M42" s="100">
        <v>33.700000000000003</v>
      </c>
      <c r="N42" s="100">
        <v>31.6</v>
      </c>
      <c r="O42" s="100">
        <v>29.9</v>
      </c>
      <c r="P42" s="100">
        <v>28.4</v>
      </c>
      <c r="Q42" s="100">
        <v>27.1</v>
      </c>
      <c r="R42" s="100">
        <v>25.9</v>
      </c>
      <c r="S42" s="100">
        <v>24.9</v>
      </c>
      <c r="T42" s="100">
        <v>24</v>
      </c>
      <c r="U42" s="100">
        <v>23.2</v>
      </c>
    </row>
    <row r="43" spans="1:21" x14ac:dyDescent="0.25">
      <c r="A43" s="99">
        <v>32</v>
      </c>
      <c r="B43" s="100">
        <v>335.6</v>
      </c>
      <c r="C43" s="100">
        <v>170.9</v>
      </c>
      <c r="D43" s="100">
        <v>116.1</v>
      </c>
      <c r="E43" s="100">
        <v>88.7</v>
      </c>
      <c r="F43" s="100">
        <v>72.3</v>
      </c>
      <c r="G43" s="100">
        <v>61.3</v>
      </c>
      <c r="H43" s="100">
        <v>53.5</v>
      </c>
      <c r="I43" s="100">
        <v>47.7</v>
      </c>
      <c r="J43" s="100">
        <v>43.2</v>
      </c>
      <c r="K43" s="100">
        <v>39.6</v>
      </c>
      <c r="L43" s="100">
        <v>36.6</v>
      </c>
      <c r="M43" s="100">
        <v>34.200000000000003</v>
      </c>
      <c r="N43" s="100">
        <v>32.1</v>
      </c>
      <c r="O43" s="100">
        <v>30.3</v>
      </c>
      <c r="P43" s="100">
        <v>28.8</v>
      </c>
      <c r="Q43" s="100">
        <v>27.5</v>
      </c>
      <c r="R43" s="100">
        <v>26.3</v>
      </c>
      <c r="S43" s="100">
        <v>25.3</v>
      </c>
      <c r="T43" s="100">
        <v>24.4</v>
      </c>
      <c r="U43" s="100">
        <v>23.6</v>
      </c>
    </row>
    <row r="44" spans="1:21" x14ac:dyDescent="0.25">
      <c r="A44" s="99">
        <v>33</v>
      </c>
      <c r="B44" s="100">
        <v>340.2</v>
      </c>
      <c r="C44" s="100">
        <v>173.3</v>
      </c>
      <c r="D44" s="100">
        <v>117.7</v>
      </c>
      <c r="E44" s="100">
        <v>89.9</v>
      </c>
      <c r="F44" s="100">
        <v>73.3</v>
      </c>
      <c r="G44" s="100">
        <v>62.2</v>
      </c>
      <c r="H44" s="100">
        <v>54.3</v>
      </c>
      <c r="I44" s="100">
        <v>48.4</v>
      </c>
      <c r="J44" s="100">
        <v>43.8</v>
      </c>
      <c r="K44" s="100">
        <v>40.1</v>
      </c>
      <c r="L44" s="100">
        <v>37.1</v>
      </c>
      <c r="M44" s="100">
        <v>34.6</v>
      </c>
      <c r="N44" s="100">
        <v>32.5</v>
      </c>
      <c r="O44" s="100">
        <v>30.8</v>
      </c>
      <c r="P44" s="100">
        <v>29.2</v>
      </c>
      <c r="Q44" s="100">
        <v>27.9</v>
      </c>
      <c r="R44" s="100">
        <v>26.7</v>
      </c>
      <c r="S44" s="100">
        <v>25.7</v>
      </c>
      <c r="T44" s="100">
        <v>24.7</v>
      </c>
      <c r="U44" s="100">
        <v>23.9</v>
      </c>
    </row>
    <row r="45" spans="1:21" x14ac:dyDescent="0.25">
      <c r="A45" s="99">
        <v>34</v>
      </c>
      <c r="B45" s="100">
        <v>344.8</v>
      </c>
      <c r="C45" s="100">
        <v>175.7</v>
      </c>
      <c r="D45" s="100">
        <v>119.3</v>
      </c>
      <c r="E45" s="100">
        <v>91.1</v>
      </c>
      <c r="F45" s="100">
        <v>74.3</v>
      </c>
      <c r="G45" s="100">
        <v>63</v>
      </c>
      <c r="H45" s="100">
        <v>55</v>
      </c>
      <c r="I45" s="100">
        <v>49</v>
      </c>
      <c r="J45" s="100">
        <v>44.4</v>
      </c>
      <c r="K45" s="100">
        <v>40.700000000000003</v>
      </c>
      <c r="L45" s="100">
        <v>37.6</v>
      </c>
      <c r="M45" s="100">
        <v>35.1</v>
      </c>
      <c r="N45" s="100">
        <v>33</v>
      </c>
      <c r="O45" s="100">
        <v>31.2</v>
      </c>
      <c r="P45" s="100">
        <v>29.6</v>
      </c>
      <c r="Q45" s="100">
        <v>28.3</v>
      </c>
      <c r="R45" s="100">
        <v>27.1</v>
      </c>
      <c r="S45" s="100">
        <v>26</v>
      </c>
      <c r="T45" s="100">
        <v>25.1</v>
      </c>
      <c r="U45" s="100">
        <v>24.3</v>
      </c>
    </row>
    <row r="46" spans="1:21" x14ac:dyDescent="0.25">
      <c r="A46" s="99">
        <v>35</v>
      </c>
      <c r="B46" s="100">
        <v>349.5</v>
      </c>
      <c r="C46" s="100">
        <v>178</v>
      </c>
      <c r="D46" s="100">
        <v>120.9</v>
      </c>
      <c r="E46" s="100">
        <v>92.4</v>
      </c>
      <c r="F46" s="100">
        <v>75.3</v>
      </c>
      <c r="G46" s="100">
        <v>63.9</v>
      </c>
      <c r="H46" s="100">
        <v>55.8</v>
      </c>
      <c r="I46" s="100">
        <v>49.7</v>
      </c>
      <c r="J46" s="100">
        <v>45</v>
      </c>
      <c r="K46" s="100">
        <v>41.2</v>
      </c>
      <c r="L46" s="100">
        <v>38.200000000000003</v>
      </c>
      <c r="M46" s="100">
        <v>35.6</v>
      </c>
      <c r="N46" s="100">
        <v>33.5</v>
      </c>
      <c r="O46" s="100">
        <v>31.6</v>
      </c>
      <c r="P46" s="100">
        <v>30.1</v>
      </c>
      <c r="Q46" s="100">
        <v>28.7</v>
      </c>
      <c r="R46" s="100">
        <v>27.5</v>
      </c>
      <c r="S46" s="100">
        <v>26.4</v>
      </c>
      <c r="T46" s="100">
        <v>25.5</v>
      </c>
      <c r="U46" s="100">
        <v>24.6</v>
      </c>
    </row>
    <row r="47" spans="1:21" x14ac:dyDescent="0.25">
      <c r="A47" s="99">
        <v>36</v>
      </c>
      <c r="B47" s="100">
        <v>354.2</v>
      </c>
      <c r="C47" s="100">
        <v>180.5</v>
      </c>
      <c r="D47" s="100">
        <v>122.6</v>
      </c>
      <c r="E47" s="100">
        <v>93.7</v>
      </c>
      <c r="F47" s="100">
        <v>76.3</v>
      </c>
      <c r="G47" s="100">
        <v>64.8</v>
      </c>
      <c r="H47" s="100">
        <v>56.6</v>
      </c>
      <c r="I47" s="100">
        <v>50.4</v>
      </c>
      <c r="J47" s="100">
        <v>45.6</v>
      </c>
      <c r="K47" s="100">
        <v>41.8</v>
      </c>
      <c r="L47" s="100">
        <v>38.700000000000003</v>
      </c>
      <c r="M47" s="100">
        <v>36.1</v>
      </c>
      <c r="N47" s="100">
        <v>34</v>
      </c>
      <c r="O47" s="100">
        <v>32.1</v>
      </c>
      <c r="P47" s="100">
        <v>30.5</v>
      </c>
      <c r="Q47" s="100">
        <v>29.1</v>
      </c>
      <c r="R47" s="100">
        <v>27.9</v>
      </c>
      <c r="S47" s="100">
        <v>26.8</v>
      </c>
      <c r="T47" s="100">
        <v>25.9</v>
      </c>
      <c r="U47" s="100">
        <v>25</v>
      </c>
    </row>
    <row r="48" spans="1:21" x14ac:dyDescent="0.25">
      <c r="A48" s="99">
        <v>37</v>
      </c>
      <c r="B48" s="100">
        <v>359</v>
      </c>
      <c r="C48" s="100">
        <v>182.9</v>
      </c>
      <c r="D48" s="100">
        <v>124.3</v>
      </c>
      <c r="E48" s="100">
        <v>95</v>
      </c>
      <c r="F48" s="100">
        <v>77.400000000000006</v>
      </c>
      <c r="G48" s="100">
        <v>65.7</v>
      </c>
      <c r="H48" s="100">
        <v>57.4</v>
      </c>
      <c r="I48" s="100">
        <v>51.1</v>
      </c>
      <c r="J48" s="100">
        <v>46.3</v>
      </c>
      <c r="K48" s="100">
        <v>42.4</v>
      </c>
      <c r="L48" s="100">
        <v>39.299999999999997</v>
      </c>
      <c r="M48" s="100">
        <v>36.700000000000003</v>
      </c>
      <c r="N48" s="100">
        <v>34.5</v>
      </c>
      <c r="O48" s="100">
        <v>32.6</v>
      </c>
      <c r="P48" s="100">
        <v>31</v>
      </c>
      <c r="Q48" s="100">
        <v>29.5</v>
      </c>
      <c r="R48" s="100">
        <v>28.3</v>
      </c>
      <c r="S48" s="100">
        <v>27.2</v>
      </c>
      <c r="T48" s="100">
        <v>26.3</v>
      </c>
      <c r="U48" s="100">
        <v>25.4</v>
      </c>
    </row>
    <row r="49" spans="1:21" x14ac:dyDescent="0.25">
      <c r="A49" s="99">
        <v>38</v>
      </c>
      <c r="B49" s="100">
        <v>363.9</v>
      </c>
      <c r="C49" s="100">
        <v>185.4</v>
      </c>
      <c r="D49" s="100">
        <v>126</v>
      </c>
      <c r="E49" s="100">
        <v>96.3</v>
      </c>
      <c r="F49" s="100">
        <v>78.5</v>
      </c>
      <c r="G49" s="100">
        <v>66.599999999999994</v>
      </c>
      <c r="H49" s="100">
        <v>58.2</v>
      </c>
      <c r="I49" s="100">
        <v>51.8</v>
      </c>
      <c r="J49" s="100">
        <v>46.9</v>
      </c>
      <c r="K49" s="100">
        <v>43</v>
      </c>
      <c r="L49" s="100">
        <v>39.799999999999997</v>
      </c>
      <c r="M49" s="100">
        <v>37.200000000000003</v>
      </c>
      <c r="N49" s="100">
        <v>35</v>
      </c>
      <c r="O49" s="100">
        <v>33.1</v>
      </c>
      <c r="P49" s="100">
        <v>31.4</v>
      </c>
      <c r="Q49" s="100">
        <v>30</v>
      </c>
      <c r="R49" s="100">
        <v>28.7</v>
      </c>
      <c r="S49" s="100">
        <v>27.6</v>
      </c>
      <c r="T49" s="100">
        <v>26.7</v>
      </c>
      <c r="U49" s="100">
        <v>25.8</v>
      </c>
    </row>
    <row r="50" spans="1:21" x14ac:dyDescent="0.25">
      <c r="A50" s="99">
        <v>39</v>
      </c>
      <c r="B50" s="100">
        <v>368.9</v>
      </c>
      <c r="C50" s="100">
        <v>188</v>
      </c>
      <c r="D50" s="100">
        <v>127.7</v>
      </c>
      <c r="E50" s="100">
        <v>97.6</v>
      </c>
      <c r="F50" s="100">
        <v>79.599999999999994</v>
      </c>
      <c r="G50" s="100">
        <v>67.5</v>
      </c>
      <c r="H50" s="100">
        <v>59</v>
      </c>
      <c r="I50" s="100">
        <v>52.6</v>
      </c>
      <c r="J50" s="100">
        <v>47.6</v>
      </c>
      <c r="K50" s="100">
        <v>43.6</v>
      </c>
      <c r="L50" s="100">
        <v>40.4</v>
      </c>
      <c r="M50" s="100">
        <v>37.700000000000003</v>
      </c>
      <c r="N50" s="100">
        <v>35.5</v>
      </c>
      <c r="O50" s="100">
        <v>33.5</v>
      </c>
      <c r="P50" s="100">
        <v>31.9</v>
      </c>
      <c r="Q50" s="100">
        <v>30.4</v>
      </c>
      <c r="R50" s="100">
        <v>29.2</v>
      </c>
      <c r="S50" s="100">
        <v>28.1</v>
      </c>
      <c r="T50" s="100">
        <v>27.1</v>
      </c>
      <c r="U50" s="100">
        <v>26.2</v>
      </c>
    </row>
    <row r="51" spans="1:21" x14ac:dyDescent="0.25">
      <c r="A51" s="99">
        <v>40</v>
      </c>
      <c r="B51" s="100">
        <v>373.9</v>
      </c>
      <c r="C51" s="100">
        <v>190.5</v>
      </c>
      <c r="D51" s="100">
        <v>129.5</v>
      </c>
      <c r="E51" s="100">
        <v>98.9</v>
      </c>
      <c r="F51" s="100">
        <v>80.7</v>
      </c>
      <c r="G51" s="100">
        <v>68.5</v>
      </c>
      <c r="H51" s="100">
        <v>59.8</v>
      </c>
      <c r="I51" s="100">
        <v>53.3</v>
      </c>
      <c r="J51" s="100">
        <v>48.3</v>
      </c>
      <c r="K51" s="100">
        <v>44.3</v>
      </c>
      <c r="L51" s="100">
        <v>41</v>
      </c>
      <c r="M51" s="100">
        <v>38.299999999999997</v>
      </c>
      <c r="N51" s="100">
        <v>36</v>
      </c>
      <c r="O51" s="100">
        <v>34.1</v>
      </c>
      <c r="P51" s="100">
        <v>32.4</v>
      </c>
      <c r="Q51" s="100">
        <v>30.9</v>
      </c>
      <c r="R51" s="100">
        <v>29.7</v>
      </c>
      <c r="S51" s="100">
        <v>28.5</v>
      </c>
      <c r="T51" s="100">
        <v>27.5</v>
      </c>
      <c r="U51" s="100"/>
    </row>
    <row r="52" spans="1:21" x14ac:dyDescent="0.25">
      <c r="A52" s="99">
        <v>41</v>
      </c>
      <c r="B52" s="100">
        <v>379</v>
      </c>
      <c r="C52" s="100">
        <v>193.2</v>
      </c>
      <c r="D52" s="100">
        <v>131.30000000000001</v>
      </c>
      <c r="E52" s="100">
        <v>100.3</v>
      </c>
      <c r="F52" s="100">
        <v>81.8</v>
      </c>
      <c r="G52" s="100">
        <v>69.5</v>
      </c>
      <c r="H52" s="100">
        <v>60.7</v>
      </c>
      <c r="I52" s="100">
        <v>54.1</v>
      </c>
      <c r="J52" s="100">
        <v>49</v>
      </c>
      <c r="K52" s="100">
        <v>44.9</v>
      </c>
      <c r="L52" s="100">
        <v>41.6</v>
      </c>
      <c r="M52" s="100">
        <v>38.9</v>
      </c>
      <c r="N52" s="100">
        <v>36.5</v>
      </c>
      <c r="O52" s="100">
        <v>34.6</v>
      </c>
      <c r="P52" s="100">
        <v>32.9</v>
      </c>
      <c r="Q52" s="100">
        <v>31.4</v>
      </c>
      <c r="R52" s="100">
        <v>30.1</v>
      </c>
      <c r="S52" s="100">
        <v>29</v>
      </c>
      <c r="T52" s="100"/>
      <c r="U52" s="100"/>
    </row>
    <row r="53" spans="1:21" x14ac:dyDescent="0.25">
      <c r="A53" s="99">
        <v>42</v>
      </c>
      <c r="B53" s="100">
        <v>384.2</v>
      </c>
      <c r="C53" s="100">
        <v>195.8</v>
      </c>
      <c r="D53" s="100">
        <v>133.1</v>
      </c>
      <c r="E53" s="100">
        <v>101.7</v>
      </c>
      <c r="F53" s="100">
        <v>83</v>
      </c>
      <c r="G53" s="100">
        <v>70.5</v>
      </c>
      <c r="H53" s="100">
        <v>61.5</v>
      </c>
      <c r="I53" s="100">
        <v>54.9</v>
      </c>
      <c r="J53" s="100">
        <v>49.7</v>
      </c>
      <c r="K53" s="100">
        <v>45.6</v>
      </c>
      <c r="L53" s="100">
        <v>42.2</v>
      </c>
      <c r="M53" s="100">
        <v>39.4</v>
      </c>
      <c r="N53" s="100">
        <v>37.1</v>
      </c>
      <c r="O53" s="100">
        <v>35.1</v>
      </c>
      <c r="P53" s="100">
        <v>33.4</v>
      </c>
      <c r="Q53" s="100">
        <v>31.9</v>
      </c>
      <c r="R53" s="100">
        <v>30.6</v>
      </c>
      <c r="S53" s="100"/>
      <c r="T53" s="100"/>
      <c r="U53" s="100"/>
    </row>
    <row r="54" spans="1:21" x14ac:dyDescent="0.25">
      <c r="A54" s="99">
        <v>43</v>
      </c>
      <c r="B54" s="100">
        <v>389.5</v>
      </c>
      <c r="C54" s="100">
        <v>198.5</v>
      </c>
      <c r="D54" s="100">
        <v>134.9</v>
      </c>
      <c r="E54" s="100">
        <v>103.2</v>
      </c>
      <c r="F54" s="100">
        <v>84.1</v>
      </c>
      <c r="G54" s="100">
        <v>71.5</v>
      </c>
      <c r="H54" s="100">
        <v>62.4</v>
      </c>
      <c r="I54" s="100">
        <v>55.7</v>
      </c>
      <c r="J54" s="100">
        <v>50.4</v>
      </c>
      <c r="K54" s="100">
        <v>46.3</v>
      </c>
      <c r="L54" s="100">
        <v>42.9</v>
      </c>
      <c r="M54" s="100">
        <v>40.1</v>
      </c>
      <c r="N54" s="100">
        <v>37.700000000000003</v>
      </c>
      <c r="O54" s="100">
        <v>35.700000000000003</v>
      </c>
      <c r="P54" s="100">
        <v>34</v>
      </c>
      <c r="Q54" s="100">
        <v>32.5</v>
      </c>
      <c r="R54" s="100"/>
      <c r="S54" s="100"/>
      <c r="T54" s="100"/>
      <c r="U54" s="100"/>
    </row>
    <row r="55" spans="1:21" x14ac:dyDescent="0.25">
      <c r="A55" s="99">
        <v>44</v>
      </c>
      <c r="B55" s="100">
        <v>394.8</v>
      </c>
      <c r="C55" s="100">
        <v>201.3</v>
      </c>
      <c r="D55" s="100">
        <v>136.80000000000001</v>
      </c>
      <c r="E55" s="100">
        <v>104.6</v>
      </c>
      <c r="F55" s="100">
        <v>85.3</v>
      </c>
      <c r="G55" s="100">
        <v>72.5</v>
      </c>
      <c r="H55" s="100">
        <v>63.3</v>
      </c>
      <c r="I55" s="100">
        <v>56.5</v>
      </c>
      <c r="J55" s="100">
        <v>51.2</v>
      </c>
      <c r="K55" s="100">
        <v>47</v>
      </c>
      <c r="L55" s="100">
        <v>43.5</v>
      </c>
      <c r="M55" s="100">
        <v>40.700000000000003</v>
      </c>
      <c r="N55" s="100">
        <v>38.299999999999997</v>
      </c>
      <c r="O55" s="100">
        <v>36.299999999999997</v>
      </c>
      <c r="P55" s="100">
        <v>34.5</v>
      </c>
      <c r="Q55" s="100"/>
      <c r="R55" s="100"/>
      <c r="S55" s="100"/>
      <c r="T55" s="100"/>
      <c r="U55" s="100"/>
    </row>
    <row r="56" spans="1:21" x14ac:dyDescent="0.25">
      <c r="A56" s="99">
        <v>45</v>
      </c>
      <c r="B56" s="100">
        <v>400.3</v>
      </c>
      <c r="C56" s="100">
        <v>204.1</v>
      </c>
      <c r="D56" s="100">
        <v>138.69999999999999</v>
      </c>
      <c r="E56" s="100">
        <v>106.1</v>
      </c>
      <c r="F56" s="100">
        <v>86.5</v>
      </c>
      <c r="G56" s="100">
        <v>73.5</v>
      </c>
      <c r="H56" s="100">
        <v>64.2</v>
      </c>
      <c r="I56" s="100">
        <v>57.3</v>
      </c>
      <c r="J56" s="100">
        <v>52</v>
      </c>
      <c r="K56" s="100">
        <v>47.7</v>
      </c>
      <c r="L56" s="100">
        <v>44.2</v>
      </c>
      <c r="M56" s="100">
        <v>41.3</v>
      </c>
      <c r="N56" s="100">
        <v>38.9</v>
      </c>
      <c r="O56" s="100">
        <v>36.9</v>
      </c>
      <c r="P56" s="100"/>
      <c r="Q56" s="100"/>
      <c r="R56" s="100"/>
      <c r="S56" s="100"/>
      <c r="T56" s="100"/>
      <c r="U56" s="100"/>
    </row>
    <row r="57" spans="1:21" x14ac:dyDescent="0.25">
      <c r="A57" s="99">
        <v>46</v>
      </c>
      <c r="B57" s="100">
        <v>405.8</v>
      </c>
      <c r="C57" s="100">
        <v>206.9</v>
      </c>
      <c r="D57" s="100">
        <v>140.69999999999999</v>
      </c>
      <c r="E57" s="100">
        <v>107.6</v>
      </c>
      <c r="F57" s="100">
        <v>87.8</v>
      </c>
      <c r="G57" s="100">
        <v>74.599999999999994</v>
      </c>
      <c r="H57" s="100">
        <v>65.2</v>
      </c>
      <c r="I57" s="100">
        <v>58.2</v>
      </c>
      <c r="J57" s="100">
        <v>52.8</v>
      </c>
      <c r="K57" s="100">
        <v>48.4</v>
      </c>
      <c r="L57" s="100">
        <v>44.9</v>
      </c>
      <c r="M57" s="100">
        <v>42</v>
      </c>
      <c r="N57" s="100">
        <v>39.6</v>
      </c>
      <c r="O57" s="100"/>
      <c r="P57" s="100"/>
      <c r="Q57" s="100"/>
      <c r="R57" s="100"/>
      <c r="S57" s="100"/>
      <c r="T57" s="100"/>
      <c r="U57" s="100"/>
    </row>
    <row r="58" spans="1:21" x14ac:dyDescent="0.25">
      <c r="A58" s="99">
        <v>47</v>
      </c>
      <c r="B58" s="100">
        <v>411.4</v>
      </c>
      <c r="C58" s="100">
        <v>209.8</v>
      </c>
      <c r="D58" s="100">
        <v>142.69999999999999</v>
      </c>
      <c r="E58" s="100">
        <v>109.1</v>
      </c>
      <c r="F58" s="100">
        <v>89</v>
      </c>
      <c r="G58" s="100">
        <v>75.7</v>
      </c>
      <c r="H58" s="100">
        <v>66.2</v>
      </c>
      <c r="I58" s="100">
        <v>59.1</v>
      </c>
      <c r="J58" s="100">
        <v>53.6</v>
      </c>
      <c r="K58" s="100">
        <v>49.2</v>
      </c>
      <c r="L58" s="100">
        <v>45.7</v>
      </c>
      <c r="M58" s="100">
        <v>42.8</v>
      </c>
      <c r="N58" s="100"/>
      <c r="O58" s="100"/>
      <c r="P58" s="100"/>
      <c r="Q58" s="100"/>
      <c r="R58" s="100"/>
      <c r="S58" s="100"/>
      <c r="T58" s="100"/>
      <c r="U58" s="100"/>
    </row>
    <row r="59" spans="1:21" x14ac:dyDescent="0.25">
      <c r="A59" s="99">
        <v>48</v>
      </c>
      <c r="B59" s="100">
        <v>417.2</v>
      </c>
      <c r="C59" s="100">
        <v>212.8</v>
      </c>
      <c r="D59" s="100">
        <v>144.69999999999999</v>
      </c>
      <c r="E59" s="100">
        <v>110.7</v>
      </c>
      <c r="F59" s="100">
        <v>90.4</v>
      </c>
      <c r="G59" s="100">
        <v>76.900000000000006</v>
      </c>
      <c r="H59" s="100">
        <v>67.2</v>
      </c>
      <c r="I59" s="100">
        <v>60.1</v>
      </c>
      <c r="J59" s="100">
        <v>54.5</v>
      </c>
      <c r="K59" s="100">
        <v>50.1</v>
      </c>
      <c r="L59" s="100">
        <v>46.5</v>
      </c>
      <c r="M59" s="100"/>
      <c r="N59" s="100"/>
      <c r="O59" s="100"/>
      <c r="P59" s="100"/>
      <c r="Q59" s="100"/>
      <c r="R59" s="100"/>
      <c r="S59" s="100"/>
      <c r="T59" s="100"/>
      <c r="U59" s="100"/>
    </row>
    <row r="60" spans="1:21" x14ac:dyDescent="0.25">
      <c r="A60" s="99">
        <v>49</v>
      </c>
      <c r="B60" s="100">
        <v>423.1</v>
      </c>
      <c r="C60" s="100">
        <v>215.9</v>
      </c>
      <c r="D60" s="100">
        <v>146.9</v>
      </c>
      <c r="E60" s="100">
        <v>112.4</v>
      </c>
      <c r="F60" s="100">
        <v>91.8</v>
      </c>
      <c r="G60" s="100">
        <v>78.099999999999994</v>
      </c>
      <c r="H60" s="100">
        <v>68.400000000000006</v>
      </c>
      <c r="I60" s="100">
        <v>61.1</v>
      </c>
      <c r="J60" s="100">
        <v>55.4</v>
      </c>
      <c r="K60" s="100">
        <v>51</v>
      </c>
      <c r="L60" s="100"/>
      <c r="M60" s="100"/>
      <c r="N60" s="100"/>
      <c r="O60" s="100"/>
      <c r="P60" s="100"/>
      <c r="Q60" s="100"/>
      <c r="R60" s="100"/>
      <c r="S60" s="100"/>
      <c r="T60" s="100"/>
      <c r="U60" s="100"/>
    </row>
    <row r="61" spans="1:21" x14ac:dyDescent="0.25">
      <c r="A61" s="99">
        <v>50</v>
      </c>
      <c r="B61" s="100">
        <v>429.2</v>
      </c>
      <c r="C61" s="100">
        <v>219.1</v>
      </c>
      <c r="D61" s="100">
        <v>149.1</v>
      </c>
      <c r="E61" s="100">
        <v>114.2</v>
      </c>
      <c r="F61" s="100">
        <v>93.3</v>
      </c>
      <c r="G61" s="100">
        <v>79.400000000000006</v>
      </c>
      <c r="H61" s="100">
        <v>69.5</v>
      </c>
      <c r="I61" s="100">
        <v>62.2</v>
      </c>
      <c r="J61" s="100">
        <v>56.5</v>
      </c>
      <c r="K61" s="100"/>
      <c r="L61" s="100"/>
      <c r="M61" s="100"/>
      <c r="N61" s="100"/>
      <c r="O61" s="100"/>
      <c r="P61" s="100"/>
      <c r="Q61" s="100"/>
      <c r="R61" s="100"/>
      <c r="S61" s="100"/>
      <c r="T61" s="100"/>
      <c r="U61" s="100"/>
    </row>
    <row r="62" spans="1:21" x14ac:dyDescent="0.25">
      <c r="A62" s="99">
        <v>51</v>
      </c>
      <c r="B62" s="100">
        <v>435.6</v>
      </c>
      <c r="C62" s="100">
        <v>222.4</v>
      </c>
      <c r="D62" s="100">
        <v>151.4</v>
      </c>
      <c r="E62" s="100">
        <v>116</v>
      </c>
      <c r="F62" s="100">
        <v>94.8</v>
      </c>
      <c r="G62" s="100">
        <v>80.8</v>
      </c>
      <c r="H62" s="100">
        <v>70.7</v>
      </c>
      <c r="I62" s="100">
        <v>63.3</v>
      </c>
      <c r="J62" s="100"/>
      <c r="K62" s="100"/>
      <c r="L62" s="100"/>
      <c r="M62" s="100"/>
      <c r="N62" s="100"/>
      <c r="O62" s="100"/>
      <c r="P62" s="100"/>
      <c r="Q62" s="100"/>
      <c r="R62" s="100"/>
      <c r="S62" s="100"/>
      <c r="T62" s="100"/>
      <c r="U62" s="100"/>
    </row>
    <row r="63" spans="1:21" x14ac:dyDescent="0.25">
      <c r="A63" s="99">
        <v>52</v>
      </c>
      <c r="B63" s="100">
        <v>442</v>
      </c>
      <c r="C63" s="100">
        <v>225.8</v>
      </c>
      <c r="D63" s="100">
        <v>153.80000000000001</v>
      </c>
      <c r="E63" s="100">
        <v>117.9</v>
      </c>
      <c r="F63" s="100">
        <v>96.4</v>
      </c>
      <c r="G63" s="100">
        <v>82.1</v>
      </c>
      <c r="H63" s="100">
        <v>72</v>
      </c>
      <c r="I63" s="100"/>
      <c r="J63" s="100"/>
      <c r="K63" s="100"/>
      <c r="L63" s="100"/>
      <c r="M63" s="100"/>
      <c r="N63" s="100"/>
      <c r="O63" s="100"/>
      <c r="P63" s="100"/>
      <c r="Q63" s="100"/>
      <c r="R63" s="100"/>
      <c r="S63" s="100"/>
      <c r="T63" s="100"/>
      <c r="U63" s="100"/>
    </row>
    <row r="64" spans="1:21" x14ac:dyDescent="0.25">
      <c r="A64" s="99">
        <v>53</v>
      </c>
      <c r="B64" s="100">
        <v>448.6</v>
      </c>
      <c r="C64" s="100">
        <v>229.3</v>
      </c>
      <c r="D64" s="100">
        <v>156.30000000000001</v>
      </c>
      <c r="E64" s="100">
        <v>119.8</v>
      </c>
      <c r="F64" s="100">
        <v>98</v>
      </c>
      <c r="G64" s="100">
        <v>83.6</v>
      </c>
      <c r="H64" s="100"/>
      <c r="I64" s="100"/>
      <c r="J64" s="100"/>
      <c r="K64" s="100"/>
      <c r="L64" s="100"/>
      <c r="M64" s="100"/>
      <c r="N64" s="100"/>
      <c r="O64" s="100"/>
      <c r="P64" s="100"/>
      <c r="Q64" s="100"/>
      <c r="R64" s="100"/>
      <c r="S64" s="100"/>
      <c r="T64" s="100"/>
      <c r="U64" s="100"/>
    </row>
    <row r="65" spans="1:21" x14ac:dyDescent="0.25">
      <c r="A65" s="99">
        <v>54</v>
      </c>
      <c r="B65" s="100">
        <v>453.3</v>
      </c>
      <c r="C65" s="100">
        <v>231.8</v>
      </c>
      <c r="D65" s="100">
        <v>158.1</v>
      </c>
      <c r="E65" s="100">
        <v>121.3</v>
      </c>
      <c r="F65" s="100">
        <v>99.3</v>
      </c>
      <c r="G65" s="100"/>
      <c r="H65" s="100"/>
      <c r="I65" s="100"/>
      <c r="J65" s="100"/>
      <c r="K65" s="100"/>
      <c r="L65" s="100"/>
      <c r="M65" s="100"/>
      <c r="N65" s="100"/>
      <c r="O65" s="100"/>
      <c r="P65" s="100"/>
      <c r="Q65" s="100"/>
      <c r="R65" s="100"/>
      <c r="S65" s="100"/>
      <c r="T65" s="100"/>
      <c r="U65" s="100"/>
    </row>
    <row r="66" spans="1:21" x14ac:dyDescent="0.25">
      <c r="A66" s="99">
        <v>55</v>
      </c>
      <c r="B66" s="100">
        <v>455.7</v>
      </c>
      <c r="C66" s="100">
        <v>233.1</v>
      </c>
      <c r="D66" s="100">
        <v>159.1</v>
      </c>
      <c r="E66" s="100">
        <v>122.1</v>
      </c>
      <c r="F66" s="100"/>
      <c r="G66" s="100"/>
      <c r="H66" s="100"/>
      <c r="I66" s="100"/>
      <c r="J66" s="100"/>
      <c r="K66" s="100"/>
      <c r="L66" s="100"/>
      <c r="M66" s="100"/>
      <c r="N66" s="100"/>
      <c r="O66" s="100"/>
      <c r="P66" s="100"/>
      <c r="Q66" s="100"/>
      <c r="R66" s="100"/>
      <c r="S66" s="100"/>
      <c r="T66" s="100"/>
      <c r="U66" s="100"/>
    </row>
    <row r="67" spans="1:21" x14ac:dyDescent="0.25">
      <c r="A67" s="99">
        <v>56</v>
      </c>
      <c r="B67" s="100">
        <v>458.2</v>
      </c>
      <c r="C67" s="100">
        <v>234.6</v>
      </c>
      <c r="D67" s="100">
        <v>160.1</v>
      </c>
      <c r="E67" s="100"/>
      <c r="F67" s="100"/>
      <c r="G67" s="100"/>
      <c r="H67" s="100"/>
      <c r="I67" s="100"/>
      <c r="J67" s="100"/>
      <c r="K67" s="100"/>
      <c r="L67" s="100"/>
      <c r="M67" s="100"/>
      <c r="N67" s="100"/>
      <c r="O67" s="100"/>
      <c r="P67" s="100"/>
      <c r="Q67" s="100"/>
      <c r="R67" s="100"/>
      <c r="S67" s="100"/>
      <c r="T67" s="100"/>
      <c r="U67" s="100"/>
    </row>
    <row r="68" spans="1:21" x14ac:dyDescent="0.25">
      <c r="A68" s="99">
        <v>57</v>
      </c>
      <c r="B68" s="100">
        <v>461.4</v>
      </c>
      <c r="C68" s="100">
        <v>236.3</v>
      </c>
      <c r="D68" s="100"/>
      <c r="E68" s="100"/>
      <c r="F68" s="100"/>
      <c r="G68" s="100"/>
      <c r="H68" s="100"/>
      <c r="I68" s="100"/>
      <c r="J68" s="100"/>
      <c r="K68" s="100"/>
      <c r="L68" s="100"/>
      <c r="M68" s="100"/>
      <c r="N68" s="100"/>
      <c r="O68" s="100"/>
      <c r="P68" s="100"/>
      <c r="Q68" s="100"/>
      <c r="R68" s="100"/>
      <c r="S68" s="100"/>
      <c r="T68" s="100"/>
      <c r="U68" s="100"/>
    </row>
    <row r="69" spans="1:21" x14ac:dyDescent="0.25">
      <c r="A69" s="99">
        <v>58</v>
      </c>
      <c r="B69" s="100">
        <v>464.3</v>
      </c>
      <c r="C69" s="100"/>
      <c r="D69" s="100"/>
      <c r="E69" s="100"/>
      <c r="F69" s="100"/>
      <c r="G69" s="100"/>
      <c r="H69" s="100"/>
      <c r="I69" s="100"/>
      <c r="J69" s="100"/>
      <c r="K69" s="100"/>
      <c r="L69" s="100"/>
      <c r="M69" s="100"/>
      <c r="N69" s="100"/>
      <c r="O69" s="100"/>
      <c r="P69" s="100"/>
      <c r="Q69" s="100"/>
      <c r="R69" s="100"/>
      <c r="S69" s="100"/>
      <c r="T69" s="100"/>
      <c r="U69" s="100"/>
    </row>
    <row r="116" spans="22:22" x14ac:dyDescent="0.25">
      <c r="V116" s="25" t="b">
        <f t="shared" ref="V116" si="0">V27=V72</f>
        <v>1</v>
      </c>
    </row>
  </sheetData>
  <sheetProtection algorithmName="SHA-512" hashValue="fWw+4HYPQo5m7n8lslZL+O3Jsya0QifozSBfkny3c91Z2fm/Z9WjxxIrvw3UQdLQkhZGB8jJ8avJbh1/Ibno+A==" saltValue="MPAwcz5eDE/DpICapBLW9w==" spinCount="100000" sheet="1" objects="1" scenarios="1"/>
  <conditionalFormatting sqref="A6:A21">
    <cfRule type="expression" dxfId="427" priority="13" stopIfTrue="1">
      <formula>MOD(ROW(),2)=0</formula>
    </cfRule>
    <cfRule type="expression" dxfId="426" priority="14" stopIfTrue="1">
      <formula>MOD(ROW(),2)&lt;&gt;0</formula>
    </cfRule>
  </conditionalFormatting>
  <conditionalFormatting sqref="A26:A69">
    <cfRule type="expression" dxfId="425" priority="3" stopIfTrue="1">
      <formula>MOD(ROW(),2)=0</formula>
    </cfRule>
    <cfRule type="expression" dxfId="424" priority="4" stopIfTrue="1">
      <formula>MOD(ROW(),2)&lt;&gt;0</formula>
    </cfRule>
  </conditionalFormatting>
  <conditionalFormatting sqref="B17:B21">
    <cfRule type="expression" dxfId="423" priority="1" stopIfTrue="1">
      <formula>MOD(ROW(),2)=0</formula>
    </cfRule>
    <cfRule type="expression" dxfId="422" priority="2" stopIfTrue="1">
      <formula>MOD(ROW(),2)&lt;&gt;0</formula>
    </cfRule>
  </conditionalFormatting>
  <conditionalFormatting sqref="B6:U21">
    <cfRule type="expression" dxfId="421" priority="23" stopIfTrue="1">
      <formula>MOD(ROW(),2)=0</formula>
    </cfRule>
    <cfRule type="expression" dxfId="420" priority="24" stopIfTrue="1">
      <formula>MOD(ROW(),2)&lt;&gt;0</formula>
    </cfRule>
  </conditionalFormatting>
  <conditionalFormatting sqref="B26:U69">
    <cfRule type="expression" dxfId="419" priority="5" stopIfTrue="1">
      <formula>MOD(ROW(),2)=0</formula>
    </cfRule>
    <cfRule type="expression" dxfId="418" priority="6" stopIfTrue="1">
      <formula>MOD(ROW(),2)&lt;&gt;0</formula>
    </cfRule>
  </conditionalFormatting>
  <hyperlinks>
    <hyperlink ref="B24" location="Assumptions!A1" display="Assumptions" xr:uid="{8AAF5305-2B11-40E1-A3FD-3907F4A646A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95"/>
  <dimension ref="A1:U69"/>
  <sheetViews>
    <sheetView showGridLines="0" zoomScale="85" zoomScaleNormal="85" workbookViewId="0">
      <selection activeCell="A4" sqref="A4"/>
    </sheetView>
  </sheetViews>
  <sheetFormatPr defaultColWidth="10" defaultRowHeight="12.5" x14ac:dyDescent="0.25"/>
  <cols>
    <col min="1" max="1" width="31.90625" style="25" customWidth="1"/>
    <col min="2" max="21" width="22.90625" style="25" customWidth="1"/>
    <col min="22" max="16384" width="10" style="25"/>
  </cols>
  <sheetData>
    <row r="1" spans="1:21" ht="20" x14ac:dyDescent="0.4">
      <c r="A1" s="36" t="s">
        <v>0</v>
      </c>
      <c r="B1" s="37"/>
      <c r="C1" s="37"/>
      <c r="D1" s="37"/>
      <c r="E1" s="37"/>
      <c r="F1" s="37"/>
      <c r="G1" s="37"/>
      <c r="H1" s="37"/>
      <c r="I1" s="37"/>
    </row>
    <row r="2" spans="1:21" ht="15.5" x14ac:dyDescent="0.35">
      <c r="A2" s="38" t="str">
        <f>IF(title="&gt; Enter workbook title here","Enter workbook title in Cover sheet",title)</f>
        <v>NHSPS_NI - Consolidated Factor Spreadsheet</v>
      </c>
      <c r="B2" s="39"/>
      <c r="C2" s="39"/>
      <c r="D2" s="39"/>
      <c r="E2" s="39"/>
      <c r="F2" s="39"/>
      <c r="G2" s="39"/>
      <c r="H2" s="39"/>
      <c r="I2" s="39"/>
    </row>
    <row r="3" spans="1:21" ht="15.5" x14ac:dyDescent="0.35">
      <c r="A3" s="40" t="str">
        <f>TABLE_FACTOR_TYPE_1&amp;" - x-"&amp;TABLE_SERIES_NUMBER_1</f>
        <v>Added pension - x-709</v>
      </c>
      <c r="B3" s="39"/>
      <c r="C3" s="39"/>
      <c r="D3" s="39"/>
      <c r="E3" s="39"/>
      <c r="F3" s="39"/>
      <c r="G3" s="39"/>
      <c r="H3" s="39"/>
      <c r="I3" s="39"/>
    </row>
    <row r="4" spans="1:21" x14ac:dyDescent="0.25">
      <c r="A4" s="41"/>
    </row>
    <row r="6" spans="1:21" ht="13" x14ac:dyDescent="0.3">
      <c r="A6" s="163" t="s">
        <v>276</v>
      </c>
      <c r="B6" s="107" t="s">
        <v>277</v>
      </c>
      <c r="C6" s="107"/>
      <c r="D6" s="107"/>
      <c r="E6" s="107"/>
      <c r="F6" s="107"/>
      <c r="G6" s="107"/>
      <c r="H6" s="107"/>
      <c r="I6" s="107"/>
      <c r="J6" s="107"/>
      <c r="K6" s="107"/>
      <c r="L6" s="107"/>
      <c r="M6" s="107"/>
      <c r="N6" s="107"/>
      <c r="O6" s="107"/>
      <c r="P6" s="107"/>
      <c r="Q6" s="107"/>
      <c r="R6" s="107"/>
      <c r="S6" s="107"/>
      <c r="T6" s="107"/>
      <c r="U6" s="107"/>
    </row>
    <row r="7" spans="1:21" x14ac:dyDescent="0.25">
      <c r="A7" s="69" t="s">
        <v>278</v>
      </c>
      <c r="B7" s="107" t="s">
        <v>310</v>
      </c>
      <c r="C7" s="107"/>
      <c r="D7" s="107"/>
      <c r="E7" s="107"/>
      <c r="F7" s="107"/>
      <c r="G7" s="107"/>
      <c r="H7" s="107"/>
      <c r="I7" s="107"/>
      <c r="J7" s="107"/>
      <c r="K7" s="107"/>
      <c r="L7" s="107"/>
      <c r="M7" s="107"/>
      <c r="N7" s="107"/>
      <c r="O7" s="107"/>
      <c r="P7" s="107"/>
      <c r="Q7" s="107"/>
      <c r="R7" s="107"/>
      <c r="S7" s="107"/>
      <c r="T7" s="107"/>
      <c r="U7" s="107"/>
    </row>
    <row r="8" spans="1:21" x14ac:dyDescent="0.25">
      <c r="A8" s="69" t="s">
        <v>280</v>
      </c>
      <c r="B8" s="107" t="s">
        <v>363</v>
      </c>
      <c r="C8" s="107"/>
      <c r="D8" s="107"/>
      <c r="E8" s="107"/>
      <c r="F8" s="107"/>
      <c r="G8" s="107"/>
      <c r="H8" s="107"/>
      <c r="I8" s="107"/>
      <c r="J8" s="107"/>
      <c r="K8" s="107"/>
      <c r="L8" s="107"/>
      <c r="M8" s="107"/>
      <c r="N8" s="107"/>
      <c r="O8" s="107"/>
      <c r="P8" s="107"/>
      <c r="Q8" s="107"/>
      <c r="R8" s="107"/>
      <c r="S8" s="107"/>
      <c r="T8" s="107"/>
      <c r="U8" s="107"/>
    </row>
    <row r="9" spans="1:21" x14ac:dyDescent="0.25">
      <c r="A9" s="69" t="s">
        <v>282</v>
      </c>
      <c r="B9" s="107" t="s">
        <v>514</v>
      </c>
      <c r="C9" s="107"/>
      <c r="D9" s="107"/>
      <c r="E9" s="107"/>
      <c r="F9" s="107"/>
      <c r="G9" s="107"/>
      <c r="H9" s="107"/>
      <c r="I9" s="107"/>
      <c r="J9" s="107"/>
      <c r="K9" s="107"/>
      <c r="L9" s="107"/>
      <c r="M9" s="107"/>
      <c r="N9" s="107"/>
      <c r="O9" s="107"/>
      <c r="P9" s="107"/>
      <c r="Q9" s="107"/>
      <c r="R9" s="107"/>
      <c r="S9" s="107"/>
      <c r="T9" s="107"/>
      <c r="U9" s="107"/>
    </row>
    <row r="10" spans="1:21" x14ac:dyDescent="0.25">
      <c r="A10" s="69" t="s">
        <v>6</v>
      </c>
      <c r="B10" s="107" t="s">
        <v>535</v>
      </c>
      <c r="C10" s="107"/>
      <c r="D10" s="107"/>
      <c r="E10" s="107"/>
      <c r="F10" s="107"/>
      <c r="G10" s="107"/>
      <c r="H10" s="107"/>
      <c r="I10" s="107"/>
      <c r="J10" s="107"/>
      <c r="K10" s="107"/>
      <c r="L10" s="107"/>
      <c r="M10" s="107"/>
      <c r="N10" s="107"/>
      <c r="O10" s="107"/>
      <c r="P10" s="107"/>
      <c r="Q10" s="107"/>
      <c r="R10" s="107"/>
      <c r="S10" s="107"/>
      <c r="T10" s="107"/>
      <c r="U10" s="107"/>
    </row>
    <row r="11" spans="1:21" x14ac:dyDescent="0.25">
      <c r="A11" s="69" t="s">
        <v>285</v>
      </c>
      <c r="B11" s="107" t="s">
        <v>359</v>
      </c>
      <c r="C11" s="107"/>
      <c r="D11" s="107"/>
      <c r="E11" s="107"/>
      <c r="F11" s="107"/>
      <c r="G11" s="107"/>
      <c r="H11" s="107"/>
      <c r="I11" s="107"/>
      <c r="J11" s="107"/>
      <c r="K11" s="107"/>
      <c r="L11" s="107"/>
      <c r="M11" s="107"/>
      <c r="N11" s="107"/>
      <c r="O11" s="107"/>
      <c r="P11" s="107"/>
      <c r="Q11" s="107"/>
      <c r="R11" s="107"/>
      <c r="S11" s="107"/>
      <c r="T11" s="107"/>
      <c r="U11" s="107"/>
    </row>
    <row r="12" spans="1:21" x14ac:dyDescent="0.25">
      <c r="A12" s="69" t="s">
        <v>287</v>
      </c>
      <c r="B12" s="107" t="s">
        <v>520</v>
      </c>
      <c r="C12" s="107"/>
      <c r="D12" s="107"/>
      <c r="E12" s="107"/>
      <c r="F12" s="107"/>
      <c r="G12" s="107"/>
      <c r="H12" s="107"/>
      <c r="I12" s="107"/>
      <c r="J12" s="107"/>
      <c r="K12" s="107"/>
      <c r="L12" s="107"/>
      <c r="M12" s="107"/>
      <c r="N12" s="107"/>
      <c r="O12" s="107"/>
      <c r="P12" s="107"/>
      <c r="Q12" s="107"/>
      <c r="R12" s="107"/>
      <c r="S12" s="107"/>
      <c r="T12" s="107"/>
      <c r="U12" s="107"/>
    </row>
    <row r="13" spans="1:21" x14ac:dyDescent="0.25">
      <c r="A13" s="69" t="s">
        <v>289</v>
      </c>
      <c r="B13" s="107">
        <v>1</v>
      </c>
      <c r="C13" s="107"/>
      <c r="D13" s="107"/>
      <c r="E13" s="107"/>
      <c r="F13" s="107"/>
      <c r="G13" s="107"/>
      <c r="H13" s="107"/>
      <c r="I13" s="107"/>
      <c r="J13" s="107"/>
      <c r="K13" s="107"/>
      <c r="L13" s="107"/>
      <c r="M13" s="107"/>
      <c r="N13" s="107"/>
      <c r="O13" s="107"/>
      <c r="P13" s="107"/>
      <c r="Q13" s="107"/>
      <c r="R13" s="107"/>
      <c r="S13" s="107"/>
      <c r="T13" s="107"/>
      <c r="U13" s="107"/>
    </row>
    <row r="14" spans="1:21" x14ac:dyDescent="0.25">
      <c r="A14" s="69" t="s">
        <v>291</v>
      </c>
      <c r="B14" s="107">
        <v>709</v>
      </c>
      <c r="C14" s="107"/>
      <c r="D14" s="107"/>
      <c r="E14" s="107"/>
      <c r="F14" s="107"/>
      <c r="G14" s="107"/>
      <c r="H14" s="107"/>
      <c r="I14" s="107"/>
      <c r="J14" s="107"/>
      <c r="K14" s="107"/>
      <c r="L14" s="107"/>
      <c r="M14" s="107"/>
      <c r="N14" s="107"/>
      <c r="O14" s="107"/>
      <c r="P14" s="107"/>
      <c r="Q14" s="107"/>
      <c r="R14" s="107"/>
      <c r="S14" s="107"/>
      <c r="T14" s="107"/>
      <c r="U14" s="107"/>
    </row>
    <row r="15" spans="1:21" x14ac:dyDescent="0.25">
      <c r="A15" s="69" t="s">
        <v>293</v>
      </c>
      <c r="B15" s="107" t="s">
        <v>536</v>
      </c>
      <c r="C15" s="107"/>
      <c r="D15" s="107"/>
      <c r="E15" s="107"/>
      <c r="F15" s="107"/>
      <c r="G15" s="107"/>
      <c r="H15" s="107"/>
      <c r="I15" s="107"/>
      <c r="J15" s="107"/>
      <c r="K15" s="107"/>
      <c r="L15" s="107"/>
      <c r="M15" s="107"/>
      <c r="N15" s="107"/>
      <c r="O15" s="107"/>
      <c r="P15" s="107"/>
      <c r="Q15" s="107"/>
      <c r="R15" s="107"/>
      <c r="S15" s="107"/>
      <c r="T15" s="107"/>
      <c r="U15" s="107"/>
    </row>
    <row r="16" spans="1:21" x14ac:dyDescent="0.25">
      <c r="A16" s="69" t="s">
        <v>295</v>
      </c>
      <c r="B16" s="107" t="s">
        <v>537</v>
      </c>
      <c r="C16" s="107"/>
      <c r="D16" s="107"/>
      <c r="E16" s="107"/>
      <c r="F16" s="107"/>
      <c r="G16" s="107"/>
      <c r="H16" s="107"/>
      <c r="I16" s="107"/>
      <c r="J16" s="107"/>
      <c r="K16" s="107"/>
      <c r="L16" s="107"/>
      <c r="M16" s="107"/>
      <c r="N16" s="107"/>
      <c r="O16" s="107"/>
      <c r="P16" s="107"/>
      <c r="Q16" s="107"/>
      <c r="R16" s="107"/>
      <c r="S16" s="107"/>
      <c r="T16" s="107"/>
      <c r="U16" s="107"/>
    </row>
    <row r="17" spans="1:21" x14ac:dyDescent="0.25">
      <c r="A17" s="69" t="s">
        <v>725</v>
      </c>
      <c r="B17" s="107"/>
      <c r="C17" s="107"/>
      <c r="D17" s="107"/>
      <c r="E17" s="107"/>
      <c r="F17" s="107"/>
      <c r="G17" s="107"/>
      <c r="H17" s="107"/>
      <c r="I17" s="107"/>
      <c r="J17" s="107"/>
      <c r="K17" s="107"/>
      <c r="L17" s="107"/>
      <c r="M17" s="107"/>
      <c r="N17" s="107"/>
      <c r="O17" s="107"/>
      <c r="P17" s="107"/>
      <c r="Q17" s="107"/>
      <c r="R17" s="107"/>
      <c r="S17" s="107"/>
      <c r="T17" s="107"/>
      <c r="U17" s="107"/>
    </row>
    <row r="18" spans="1:21" x14ac:dyDescent="0.25">
      <c r="A18" s="85" t="s">
        <v>299</v>
      </c>
      <c r="B18" s="164">
        <v>45202</v>
      </c>
      <c r="C18" s="107"/>
      <c r="D18" s="107"/>
      <c r="E18" s="107"/>
      <c r="F18" s="107"/>
      <c r="G18" s="107"/>
      <c r="H18" s="107"/>
      <c r="I18" s="107"/>
      <c r="J18" s="107"/>
      <c r="K18" s="107"/>
      <c r="L18" s="107"/>
      <c r="M18" s="107"/>
      <c r="N18" s="107"/>
      <c r="O18" s="107"/>
      <c r="P18" s="107"/>
      <c r="Q18" s="107"/>
      <c r="R18" s="107"/>
      <c r="S18" s="107"/>
      <c r="T18" s="107"/>
      <c r="U18" s="107"/>
    </row>
    <row r="19" spans="1:21" x14ac:dyDescent="0.25">
      <c r="A19" s="85" t="s">
        <v>301</v>
      </c>
      <c r="B19" s="164">
        <v>45202</v>
      </c>
      <c r="C19" s="107"/>
      <c r="D19" s="107"/>
      <c r="E19" s="107"/>
      <c r="F19" s="107"/>
      <c r="G19" s="107"/>
      <c r="H19" s="107"/>
      <c r="I19" s="107"/>
      <c r="J19" s="107"/>
      <c r="K19" s="107"/>
      <c r="L19" s="107"/>
      <c r="M19" s="107"/>
      <c r="N19" s="107"/>
      <c r="O19" s="107"/>
      <c r="P19" s="107"/>
      <c r="Q19" s="107"/>
      <c r="R19" s="107"/>
      <c r="S19" s="107"/>
      <c r="T19" s="107"/>
      <c r="U19" s="107"/>
    </row>
    <row r="20" spans="1:21" x14ac:dyDescent="0.25">
      <c r="A20" s="85" t="s">
        <v>303</v>
      </c>
      <c r="B20" s="107" t="s">
        <v>317</v>
      </c>
      <c r="C20" s="107"/>
      <c r="D20" s="107"/>
      <c r="E20" s="107"/>
      <c r="F20" s="107"/>
      <c r="G20" s="107"/>
      <c r="H20" s="107"/>
      <c r="I20" s="107"/>
      <c r="J20" s="107"/>
      <c r="K20" s="107"/>
      <c r="L20" s="107"/>
      <c r="M20" s="107"/>
      <c r="N20" s="107"/>
      <c r="O20" s="107"/>
      <c r="P20" s="107"/>
      <c r="Q20" s="107"/>
      <c r="R20" s="107"/>
      <c r="S20" s="107"/>
      <c r="T20" s="107"/>
      <c r="U20" s="107"/>
    </row>
    <row r="21" spans="1:21" x14ac:dyDescent="0.25">
      <c r="A21" s="85" t="s">
        <v>309</v>
      </c>
      <c r="B21" s="107" t="s">
        <v>318</v>
      </c>
      <c r="C21" s="107"/>
      <c r="D21" s="107"/>
      <c r="E21" s="107"/>
      <c r="F21" s="107"/>
      <c r="G21" s="107"/>
      <c r="H21" s="107"/>
      <c r="I21" s="107"/>
      <c r="J21" s="107"/>
      <c r="K21" s="107"/>
      <c r="L21" s="107"/>
      <c r="M21" s="107"/>
      <c r="N21" s="107"/>
      <c r="O21" s="107"/>
      <c r="P21" s="107"/>
      <c r="Q21" s="107"/>
      <c r="R21" s="107"/>
      <c r="S21" s="107"/>
      <c r="T21" s="107"/>
      <c r="U21" s="107"/>
    </row>
    <row r="23" spans="1:21" x14ac:dyDescent="0.25">
      <c r="B23" s="103" t="str">
        <f>HYPERLINK("#'Factor List'!A1","Back to Factor List")</f>
        <v>Back to Factor List</v>
      </c>
    </row>
    <row r="24" spans="1:21" x14ac:dyDescent="0.25">
      <c r="B24" s="103" t="s">
        <v>15</v>
      </c>
    </row>
    <row r="26" spans="1:21" ht="13" x14ac:dyDescent="0.25">
      <c r="A26" s="98" t="s">
        <v>408</v>
      </c>
      <c r="B26" s="98" t="s">
        <v>778</v>
      </c>
      <c r="C26" s="98" t="s">
        <v>779</v>
      </c>
      <c r="D26" s="98" t="s">
        <v>780</v>
      </c>
      <c r="E26" s="98" t="s">
        <v>781</v>
      </c>
      <c r="F26" s="98" t="s">
        <v>782</v>
      </c>
      <c r="G26" s="98" t="s">
        <v>783</v>
      </c>
      <c r="H26" s="98" t="s">
        <v>784</v>
      </c>
      <c r="I26" s="98" t="s">
        <v>785</v>
      </c>
      <c r="J26" s="98" t="s">
        <v>786</v>
      </c>
      <c r="K26" s="98" t="s">
        <v>787</v>
      </c>
      <c r="L26" s="98" t="s">
        <v>788</v>
      </c>
      <c r="M26" s="98" t="s">
        <v>789</v>
      </c>
      <c r="N26" s="98" t="s">
        <v>790</v>
      </c>
      <c r="O26" s="98" t="s">
        <v>791</v>
      </c>
      <c r="P26" s="98" t="s">
        <v>792</v>
      </c>
      <c r="Q26" s="98" t="s">
        <v>793</v>
      </c>
      <c r="R26" s="98" t="s">
        <v>794</v>
      </c>
      <c r="S26" s="98" t="s">
        <v>795</v>
      </c>
      <c r="T26" s="98" t="s">
        <v>796</v>
      </c>
      <c r="U26" s="98" t="s">
        <v>797</v>
      </c>
    </row>
    <row r="27" spans="1:21" x14ac:dyDescent="0.25">
      <c r="A27" s="99">
        <v>16</v>
      </c>
      <c r="B27" s="100">
        <v>284.8</v>
      </c>
      <c r="C27" s="100">
        <v>145</v>
      </c>
      <c r="D27" s="100">
        <v>98.5</v>
      </c>
      <c r="E27" s="100">
        <v>75.2</v>
      </c>
      <c r="F27" s="100">
        <v>61.2</v>
      </c>
      <c r="G27" s="100">
        <v>52</v>
      </c>
      <c r="H27" s="100">
        <v>45.3</v>
      </c>
      <c r="I27" s="100">
        <v>40.4</v>
      </c>
      <c r="J27" s="100">
        <v>36.5</v>
      </c>
      <c r="K27" s="100">
        <v>33.5</v>
      </c>
      <c r="L27" s="100">
        <v>30.9</v>
      </c>
      <c r="M27" s="100">
        <v>28.9</v>
      </c>
      <c r="N27" s="100">
        <v>27.1</v>
      </c>
      <c r="O27" s="100">
        <v>25.6</v>
      </c>
      <c r="P27" s="100">
        <v>24.3</v>
      </c>
      <c r="Q27" s="100">
        <v>23.2</v>
      </c>
      <c r="R27" s="100">
        <v>22.2</v>
      </c>
      <c r="S27" s="100">
        <v>21.3</v>
      </c>
      <c r="T27" s="100">
        <v>20.5</v>
      </c>
      <c r="U27" s="100">
        <v>19.8</v>
      </c>
    </row>
    <row r="28" spans="1:21" x14ac:dyDescent="0.25">
      <c r="A28" s="99">
        <v>17</v>
      </c>
      <c r="B28" s="100">
        <v>289.10000000000002</v>
      </c>
      <c r="C28" s="100">
        <v>147.19999999999999</v>
      </c>
      <c r="D28" s="100">
        <v>99.9</v>
      </c>
      <c r="E28" s="100">
        <v>76.3</v>
      </c>
      <c r="F28" s="100">
        <v>62.2</v>
      </c>
      <c r="G28" s="100">
        <v>52.8</v>
      </c>
      <c r="H28" s="100">
        <v>46</v>
      </c>
      <c r="I28" s="100">
        <v>41</v>
      </c>
      <c r="J28" s="100">
        <v>37.1</v>
      </c>
      <c r="K28" s="100">
        <v>34</v>
      </c>
      <c r="L28" s="100">
        <v>31.4</v>
      </c>
      <c r="M28" s="100">
        <v>29.3</v>
      </c>
      <c r="N28" s="100">
        <v>27.5</v>
      </c>
      <c r="O28" s="100">
        <v>26</v>
      </c>
      <c r="P28" s="100">
        <v>24.7</v>
      </c>
      <c r="Q28" s="100">
        <v>23.5</v>
      </c>
      <c r="R28" s="100">
        <v>22.5</v>
      </c>
      <c r="S28" s="100">
        <v>21.6</v>
      </c>
      <c r="T28" s="100">
        <v>20.8</v>
      </c>
      <c r="U28" s="100">
        <v>20.100000000000001</v>
      </c>
    </row>
    <row r="29" spans="1:21" x14ac:dyDescent="0.25">
      <c r="A29" s="99">
        <v>18</v>
      </c>
      <c r="B29" s="100">
        <v>293.60000000000002</v>
      </c>
      <c r="C29" s="100">
        <v>149.5</v>
      </c>
      <c r="D29" s="100">
        <v>101.5</v>
      </c>
      <c r="E29" s="100">
        <v>77.5</v>
      </c>
      <c r="F29" s="100">
        <v>63.2</v>
      </c>
      <c r="G29" s="100">
        <v>53.6</v>
      </c>
      <c r="H29" s="100">
        <v>46.8</v>
      </c>
      <c r="I29" s="100">
        <v>41.6</v>
      </c>
      <c r="J29" s="100">
        <v>37.700000000000003</v>
      </c>
      <c r="K29" s="100">
        <v>34.5</v>
      </c>
      <c r="L29" s="100">
        <v>31.9</v>
      </c>
      <c r="M29" s="100">
        <v>29.8</v>
      </c>
      <c r="N29" s="100">
        <v>28</v>
      </c>
      <c r="O29" s="100">
        <v>26.4</v>
      </c>
      <c r="P29" s="100">
        <v>25.1</v>
      </c>
      <c r="Q29" s="100">
        <v>23.9</v>
      </c>
      <c r="R29" s="100">
        <v>22.9</v>
      </c>
      <c r="S29" s="100">
        <v>22</v>
      </c>
      <c r="T29" s="100">
        <v>21.2</v>
      </c>
      <c r="U29" s="100">
        <v>20.399999999999999</v>
      </c>
    </row>
    <row r="30" spans="1:21" x14ac:dyDescent="0.25">
      <c r="A30" s="99">
        <v>19</v>
      </c>
      <c r="B30" s="100">
        <v>298.10000000000002</v>
      </c>
      <c r="C30" s="100">
        <v>151.80000000000001</v>
      </c>
      <c r="D30" s="100">
        <v>103.1</v>
      </c>
      <c r="E30" s="100">
        <v>78.7</v>
      </c>
      <c r="F30" s="100">
        <v>64.099999999999994</v>
      </c>
      <c r="G30" s="100">
        <v>54.4</v>
      </c>
      <c r="H30" s="100">
        <v>47.5</v>
      </c>
      <c r="I30" s="100">
        <v>42.3</v>
      </c>
      <c r="J30" s="100">
        <v>38.200000000000003</v>
      </c>
      <c r="K30" s="100">
        <v>35</v>
      </c>
      <c r="L30" s="100">
        <v>32.4</v>
      </c>
      <c r="M30" s="100">
        <v>30.2</v>
      </c>
      <c r="N30" s="100">
        <v>28.4</v>
      </c>
      <c r="O30" s="100">
        <v>26.8</v>
      </c>
      <c r="P30" s="100">
        <v>25.4</v>
      </c>
      <c r="Q30" s="100">
        <v>24.3</v>
      </c>
      <c r="R30" s="100">
        <v>23.2</v>
      </c>
      <c r="S30" s="100">
        <v>22.3</v>
      </c>
      <c r="T30" s="100">
        <v>21.5</v>
      </c>
      <c r="U30" s="100">
        <v>20.7</v>
      </c>
    </row>
    <row r="31" spans="1:21" x14ac:dyDescent="0.25">
      <c r="A31" s="99">
        <v>20</v>
      </c>
      <c r="B31" s="100">
        <v>302.2</v>
      </c>
      <c r="C31" s="100">
        <v>153.9</v>
      </c>
      <c r="D31" s="100">
        <v>104.5</v>
      </c>
      <c r="E31" s="100">
        <v>79.8</v>
      </c>
      <c r="F31" s="100">
        <v>65</v>
      </c>
      <c r="G31" s="100">
        <v>55.1</v>
      </c>
      <c r="H31" s="100">
        <v>48.1</v>
      </c>
      <c r="I31" s="100">
        <v>42.9</v>
      </c>
      <c r="J31" s="100">
        <v>38.799999999999997</v>
      </c>
      <c r="K31" s="100">
        <v>35.5</v>
      </c>
      <c r="L31" s="100">
        <v>32.9</v>
      </c>
      <c r="M31" s="100">
        <v>30.6</v>
      </c>
      <c r="N31" s="100">
        <v>28.8</v>
      </c>
      <c r="O31" s="100">
        <v>27.2</v>
      </c>
      <c r="P31" s="100">
        <v>25.8</v>
      </c>
      <c r="Q31" s="100">
        <v>24.6</v>
      </c>
      <c r="R31" s="100">
        <v>23.5</v>
      </c>
      <c r="S31" s="100">
        <v>22.6</v>
      </c>
      <c r="T31" s="100">
        <v>21.8</v>
      </c>
      <c r="U31" s="100">
        <v>21</v>
      </c>
    </row>
    <row r="32" spans="1:21" x14ac:dyDescent="0.25">
      <c r="A32" s="99">
        <v>21</v>
      </c>
      <c r="B32" s="100">
        <v>306.3</v>
      </c>
      <c r="C32" s="100">
        <v>156</v>
      </c>
      <c r="D32" s="100">
        <v>105.9</v>
      </c>
      <c r="E32" s="100">
        <v>80.900000000000006</v>
      </c>
      <c r="F32" s="100">
        <v>65.900000000000006</v>
      </c>
      <c r="G32" s="100">
        <v>55.9</v>
      </c>
      <c r="H32" s="100">
        <v>48.8</v>
      </c>
      <c r="I32" s="100">
        <v>43.4</v>
      </c>
      <c r="J32" s="100">
        <v>39.299999999999997</v>
      </c>
      <c r="K32" s="100">
        <v>36</v>
      </c>
      <c r="L32" s="100">
        <v>33.299999999999997</v>
      </c>
      <c r="M32" s="100">
        <v>31.1</v>
      </c>
      <c r="N32" s="100">
        <v>29.2</v>
      </c>
      <c r="O32" s="100">
        <v>27.6</v>
      </c>
      <c r="P32" s="100">
        <v>26.2</v>
      </c>
      <c r="Q32" s="100">
        <v>24.9</v>
      </c>
      <c r="R32" s="100">
        <v>23.9</v>
      </c>
      <c r="S32" s="100">
        <v>22.9</v>
      </c>
      <c r="T32" s="100">
        <v>22.1</v>
      </c>
      <c r="U32" s="100">
        <v>21.3</v>
      </c>
    </row>
    <row r="33" spans="1:21" x14ac:dyDescent="0.25">
      <c r="A33" s="99">
        <v>22</v>
      </c>
      <c r="B33" s="100">
        <v>310.5</v>
      </c>
      <c r="C33" s="100">
        <v>158.1</v>
      </c>
      <c r="D33" s="100">
        <v>107.4</v>
      </c>
      <c r="E33" s="100">
        <v>82</v>
      </c>
      <c r="F33" s="100">
        <v>66.8</v>
      </c>
      <c r="G33" s="100">
        <v>56.7</v>
      </c>
      <c r="H33" s="100">
        <v>49.5</v>
      </c>
      <c r="I33" s="100">
        <v>44</v>
      </c>
      <c r="J33" s="100">
        <v>39.799999999999997</v>
      </c>
      <c r="K33" s="100">
        <v>36.5</v>
      </c>
      <c r="L33" s="100">
        <v>33.799999999999997</v>
      </c>
      <c r="M33" s="100">
        <v>31.5</v>
      </c>
      <c r="N33" s="100">
        <v>29.6</v>
      </c>
      <c r="O33" s="100">
        <v>27.9</v>
      </c>
      <c r="P33" s="100">
        <v>26.5</v>
      </c>
      <c r="Q33" s="100">
        <v>25.3</v>
      </c>
      <c r="R33" s="100">
        <v>24.2</v>
      </c>
      <c r="S33" s="100">
        <v>23.3</v>
      </c>
      <c r="T33" s="100">
        <v>22.4</v>
      </c>
      <c r="U33" s="100">
        <v>21.6</v>
      </c>
    </row>
    <row r="34" spans="1:21" x14ac:dyDescent="0.25">
      <c r="A34" s="99">
        <v>23</v>
      </c>
      <c r="B34" s="100">
        <v>314.7</v>
      </c>
      <c r="C34" s="100">
        <v>160.30000000000001</v>
      </c>
      <c r="D34" s="100">
        <v>108.8</v>
      </c>
      <c r="E34" s="100">
        <v>83.1</v>
      </c>
      <c r="F34" s="100">
        <v>67.7</v>
      </c>
      <c r="G34" s="100">
        <v>57.5</v>
      </c>
      <c r="H34" s="100">
        <v>50.1</v>
      </c>
      <c r="I34" s="100">
        <v>44.7</v>
      </c>
      <c r="J34" s="100">
        <v>40.4</v>
      </c>
      <c r="K34" s="100">
        <v>37</v>
      </c>
      <c r="L34" s="100">
        <v>34.200000000000003</v>
      </c>
      <c r="M34" s="100">
        <v>31.9</v>
      </c>
      <c r="N34" s="100">
        <v>30</v>
      </c>
      <c r="O34" s="100">
        <v>28.3</v>
      </c>
      <c r="P34" s="100">
        <v>26.9</v>
      </c>
      <c r="Q34" s="100">
        <v>25.6</v>
      </c>
      <c r="R34" s="100">
        <v>24.5</v>
      </c>
      <c r="S34" s="100">
        <v>23.6</v>
      </c>
      <c r="T34" s="100">
        <v>22.7</v>
      </c>
      <c r="U34" s="100">
        <v>21.9</v>
      </c>
    </row>
    <row r="35" spans="1:21" x14ac:dyDescent="0.25">
      <c r="A35" s="99">
        <v>24</v>
      </c>
      <c r="B35" s="100">
        <v>319</v>
      </c>
      <c r="C35" s="100">
        <v>162.5</v>
      </c>
      <c r="D35" s="100">
        <v>110.3</v>
      </c>
      <c r="E35" s="100">
        <v>84.3</v>
      </c>
      <c r="F35" s="100">
        <v>68.599999999999994</v>
      </c>
      <c r="G35" s="100">
        <v>58.2</v>
      </c>
      <c r="H35" s="100">
        <v>50.8</v>
      </c>
      <c r="I35" s="100">
        <v>45.3</v>
      </c>
      <c r="J35" s="100">
        <v>41</v>
      </c>
      <c r="K35" s="100">
        <v>37.5</v>
      </c>
      <c r="L35" s="100">
        <v>34.700000000000003</v>
      </c>
      <c r="M35" s="100">
        <v>32.4</v>
      </c>
      <c r="N35" s="100">
        <v>30.4</v>
      </c>
      <c r="O35" s="100">
        <v>28.7</v>
      </c>
      <c r="P35" s="100">
        <v>27.3</v>
      </c>
      <c r="Q35" s="100">
        <v>26</v>
      </c>
      <c r="R35" s="100">
        <v>24.9</v>
      </c>
      <c r="S35" s="100">
        <v>23.9</v>
      </c>
      <c r="T35" s="100">
        <v>23</v>
      </c>
      <c r="U35" s="100">
        <v>22.2</v>
      </c>
    </row>
    <row r="36" spans="1:21" x14ac:dyDescent="0.25">
      <c r="A36" s="99">
        <v>25</v>
      </c>
      <c r="B36" s="100">
        <v>323.39999999999998</v>
      </c>
      <c r="C36" s="100">
        <v>164.7</v>
      </c>
      <c r="D36" s="100">
        <v>111.8</v>
      </c>
      <c r="E36" s="100">
        <v>85.4</v>
      </c>
      <c r="F36" s="100">
        <v>69.599999999999994</v>
      </c>
      <c r="G36" s="100">
        <v>59</v>
      </c>
      <c r="H36" s="100">
        <v>51.5</v>
      </c>
      <c r="I36" s="100">
        <v>45.9</v>
      </c>
      <c r="J36" s="100">
        <v>41.5</v>
      </c>
      <c r="K36" s="100">
        <v>38</v>
      </c>
      <c r="L36" s="100">
        <v>35.200000000000003</v>
      </c>
      <c r="M36" s="100">
        <v>32.799999999999997</v>
      </c>
      <c r="N36" s="100">
        <v>30.8</v>
      </c>
      <c r="O36" s="100">
        <v>29.1</v>
      </c>
      <c r="P36" s="100">
        <v>27.6</v>
      </c>
      <c r="Q36" s="100">
        <v>26.4</v>
      </c>
      <c r="R36" s="100">
        <v>25.2</v>
      </c>
      <c r="S36" s="100">
        <v>24.2</v>
      </c>
      <c r="T36" s="100">
        <v>23.4</v>
      </c>
      <c r="U36" s="100">
        <v>22.6</v>
      </c>
    </row>
    <row r="37" spans="1:21" x14ac:dyDescent="0.25">
      <c r="A37" s="99">
        <v>26</v>
      </c>
      <c r="B37" s="100">
        <v>327.8</v>
      </c>
      <c r="C37" s="100">
        <v>166.9</v>
      </c>
      <c r="D37" s="100">
        <v>113.4</v>
      </c>
      <c r="E37" s="100">
        <v>86.6</v>
      </c>
      <c r="F37" s="100">
        <v>70.5</v>
      </c>
      <c r="G37" s="100">
        <v>59.8</v>
      </c>
      <c r="H37" s="100">
        <v>52.2</v>
      </c>
      <c r="I37" s="100">
        <v>46.5</v>
      </c>
      <c r="J37" s="100">
        <v>42.1</v>
      </c>
      <c r="K37" s="100">
        <v>38.6</v>
      </c>
      <c r="L37" s="100">
        <v>35.700000000000003</v>
      </c>
      <c r="M37" s="100">
        <v>33.299999999999997</v>
      </c>
      <c r="N37" s="100">
        <v>31.3</v>
      </c>
      <c r="O37" s="100">
        <v>29.5</v>
      </c>
      <c r="P37" s="100">
        <v>28</v>
      </c>
      <c r="Q37" s="100">
        <v>26.7</v>
      </c>
      <c r="R37" s="100">
        <v>25.6</v>
      </c>
      <c r="S37" s="100">
        <v>24.6</v>
      </c>
      <c r="T37" s="100">
        <v>23.7</v>
      </c>
      <c r="U37" s="100">
        <v>22.9</v>
      </c>
    </row>
    <row r="38" spans="1:21" x14ac:dyDescent="0.25">
      <c r="A38" s="99">
        <v>27</v>
      </c>
      <c r="B38" s="100">
        <v>332.3</v>
      </c>
      <c r="C38" s="100">
        <v>169.2</v>
      </c>
      <c r="D38" s="100">
        <v>114.9</v>
      </c>
      <c r="E38" s="100">
        <v>87.8</v>
      </c>
      <c r="F38" s="100">
        <v>71.5</v>
      </c>
      <c r="G38" s="100">
        <v>60.7</v>
      </c>
      <c r="H38" s="100">
        <v>52.9</v>
      </c>
      <c r="I38" s="100">
        <v>47.2</v>
      </c>
      <c r="J38" s="100">
        <v>42.7</v>
      </c>
      <c r="K38" s="100">
        <v>39.1</v>
      </c>
      <c r="L38" s="100">
        <v>36.200000000000003</v>
      </c>
      <c r="M38" s="100">
        <v>33.700000000000003</v>
      </c>
      <c r="N38" s="100">
        <v>31.7</v>
      </c>
      <c r="O38" s="100">
        <v>29.9</v>
      </c>
      <c r="P38" s="100">
        <v>28.4</v>
      </c>
      <c r="Q38" s="100">
        <v>27.1</v>
      </c>
      <c r="R38" s="100">
        <v>26</v>
      </c>
      <c r="S38" s="100">
        <v>24.9</v>
      </c>
      <c r="T38" s="100">
        <v>24</v>
      </c>
      <c r="U38" s="100">
        <v>23.2</v>
      </c>
    </row>
    <row r="39" spans="1:21" x14ac:dyDescent="0.25">
      <c r="A39" s="99">
        <v>28</v>
      </c>
      <c r="B39" s="100">
        <v>336.8</v>
      </c>
      <c r="C39" s="100">
        <v>171.5</v>
      </c>
      <c r="D39" s="100">
        <v>116.5</v>
      </c>
      <c r="E39" s="100">
        <v>89</v>
      </c>
      <c r="F39" s="100">
        <v>72.5</v>
      </c>
      <c r="G39" s="100">
        <v>61.5</v>
      </c>
      <c r="H39" s="100">
        <v>53.7</v>
      </c>
      <c r="I39" s="100">
        <v>47.8</v>
      </c>
      <c r="J39" s="100">
        <v>43.3</v>
      </c>
      <c r="K39" s="100">
        <v>39.6</v>
      </c>
      <c r="L39" s="100">
        <v>36.700000000000003</v>
      </c>
      <c r="M39" s="100">
        <v>34.200000000000003</v>
      </c>
      <c r="N39" s="100">
        <v>32.1</v>
      </c>
      <c r="O39" s="100">
        <v>30.4</v>
      </c>
      <c r="P39" s="100">
        <v>28.8</v>
      </c>
      <c r="Q39" s="100">
        <v>27.5</v>
      </c>
      <c r="R39" s="100">
        <v>26.3</v>
      </c>
      <c r="S39" s="100">
        <v>25.3</v>
      </c>
      <c r="T39" s="100">
        <v>24.4</v>
      </c>
      <c r="U39" s="100">
        <v>23.5</v>
      </c>
    </row>
    <row r="40" spans="1:21" x14ac:dyDescent="0.25">
      <c r="A40" s="99">
        <v>29</v>
      </c>
      <c r="B40" s="100">
        <v>341.3</v>
      </c>
      <c r="C40" s="100">
        <v>173.9</v>
      </c>
      <c r="D40" s="100">
        <v>118.1</v>
      </c>
      <c r="E40" s="100">
        <v>90.2</v>
      </c>
      <c r="F40" s="100">
        <v>73.5</v>
      </c>
      <c r="G40" s="100">
        <v>62.3</v>
      </c>
      <c r="H40" s="100">
        <v>54.4</v>
      </c>
      <c r="I40" s="100">
        <v>48.5</v>
      </c>
      <c r="J40" s="100">
        <v>43.9</v>
      </c>
      <c r="K40" s="100">
        <v>40.200000000000003</v>
      </c>
      <c r="L40" s="100">
        <v>37.200000000000003</v>
      </c>
      <c r="M40" s="100">
        <v>34.700000000000003</v>
      </c>
      <c r="N40" s="100">
        <v>32.6</v>
      </c>
      <c r="O40" s="100">
        <v>30.8</v>
      </c>
      <c r="P40" s="100">
        <v>29.2</v>
      </c>
      <c r="Q40" s="100">
        <v>27.9</v>
      </c>
      <c r="R40" s="100">
        <v>26.7</v>
      </c>
      <c r="S40" s="100">
        <v>25.7</v>
      </c>
      <c r="T40" s="100">
        <v>24.7</v>
      </c>
      <c r="U40" s="100">
        <v>23.9</v>
      </c>
    </row>
    <row r="41" spans="1:21" x14ac:dyDescent="0.25">
      <c r="A41" s="99">
        <v>30</v>
      </c>
      <c r="B41" s="100">
        <v>346</v>
      </c>
      <c r="C41" s="100">
        <v>176.2</v>
      </c>
      <c r="D41" s="100">
        <v>119.7</v>
      </c>
      <c r="E41" s="100">
        <v>91.4</v>
      </c>
      <c r="F41" s="100">
        <v>74.5</v>
      </c>
      <c r="G41" s="100">
        <v>63.2</v>
      </c>
      <c r="H41" s="100">
        <v>55.2</v>
      </c>
      <c r="I41" s="100">
        <v>49.1</v>
      </c>
      <c r="J41" s="100">
        <v>44.5</v>
      </c>
      <c r="K41" s="100">
        <v>40.700000000000003</v>
      </c>
      <c r="L41" s="100">
        <v>37.700000000000003</v>
      </c>
      <c r="M41" s="100">
        <v>35.200000000000003</v>
      </c>
      <c r="N41" s="100">
        <v>33</v>
      </c>
      <c r="O41" s="100">
        <v>31.2</v>
      </c>
      <c r="P41" s="100">
        <v>29.7</v>
      </c>
      <c r="Q41" s="100">
        <v>28.3</v>
      </c>
      <c r="R41" s="100">
        <v>27.1</v>
      </c>
      <c r="S41" s="100">
        <v>26</v>
      </c>
      <c r="T41" s="100">
        <v>25.1</v>
      </c>
      <c r="U41" s="100">
        <v>24.2</v>
      </c>
    </row>
    <row r="42" spans="1:21" x14ac:dyDescent="0.25">
      <c r="A42" s="99">
        <v>31</v>
      </c>
      <c r="B42" s="100">
        <v>350.7</v>
      </c>
      <c r="C42" s="100">
        <v>178.6</v>
      </c>
      <c r="D42" s="100">
        <v>121.3</v>
      </c>
      <c r="E42" s="100">
        <v>92.7</v>
      </c>
      <c r="F42" s="100">
        <v>75.5</v>
      </c>
      <c r="G42" s="100">
        <v>64.099999999999994</v>
      </c>
      <c r="H42" s="100">
        <v>55.9</v>
      </c>
      <c r="I42" s="100">
        <v>49.8</v>
      </c>
      <c r="J42" s="100">
        <v>45.1</v>
      </c>
      <c r="K42" s="100">
        <v>41.3</v>
      </c>
      <c r="L42" s="100">
        <v>38.200000000000003</v>
      </c>
      <c r="M42" s="100">
        <v>35.700000000000003</v>
      </c>
      <c r="N42" s="100">
        <v>33.5</v>
      </c>
      <c r="O42" s="100">
        <v>31.7</v>
      </c>
      <c r="P42" s="100">
        <v>30.1</v>
      </c>
      <c r="Q42" s="100">
        <v>28.7</v>
      </c>
      <c r="R42" s="100">
        <v>27.5</v>
      </c>
      <c r="S42" s="100">
        <v>26.4</v>
      </c>
      <c r="T42" s="100">
        <v>25.4</v>
      </c>
      <c r="U42" s="100">
        <v>24.6</v>
      </c>
    </row>
    <row r="43" spans="1:21" x14ac:dyDescent="0.25">
      <c r="A43" s="99">
        <v>32</v>
      </c>
      <c r="B43" s="100">
        <v>355.4</v>
      </c>
      <c r="C43" s="100">
        <v>181</v>
      </c>
      <c r="D43" s="100">
        <v>123</v>
      </c>
      <c r="E43" s="100">
        <v>93.9</v>
      </c>
      <c r="F43" s="100">
        <v>76.5</v>
      </c>
      <c r="G43" s="100">
        <v>65</v>
      </c>
      <c r="H43" s="100">
        <v>56.7</v>
      </c>
      <c r="I43" s="100">
        <v>50.5</v>
      </c>
      <c r="J43" s="100">
        <v>45.7</v>
      </c>
      <c r="K43" s="100">
        <v>41.9</v>
      </c>
      <c r="L43" s="100">
        <v>38.799999999999997</v>
      </c>
      <c r="M43" s="100">
        <v>36.200000000000003</v>
      </c>
      <c r="N43" s="100">
        <v>34</v>
      </c>
      <c r="O43" s="100">
        <v>32.1</v>
      </c>
      <c r="P43" s="100">
        <v>30.5</v>
      </c>
      <c r="Q43" s="100">
        <v>29.1</v>
      </c>
      <c r="R43" s="100">
        <v>27.9</v>
      </c>
      <c r="S43" s="100">
        <v>26.8</v>
      </c>
      <c r="T43" s="100">
        <v>25.8</v>
      </c>
      <c r="U43" s="100">
        <v>24.9</v>
      </c>
    </row>
    <row r="44" spans="1:21" x14ac:dyDescent="0.25">
      <c r="A44" s="99">
        <v>33</v>
      </c>
      <c r="B44" s="100">
        <v>360.2</v>
      </c>
      <c r="C44" s="100">
        <v>183.5</v>
      </c>
      <c r="D44" s="100">
        <v>124.6</v>
      </c>
      <c r="E44" s="100">
        <v>95.2</v>
      </c>
      <c r="F44" s="100">
        <v>77.599999999999994</v>
      </c>
      <c r="G44" s="100">
        <v>65.8</v>
      </c>
      <c r="H44" s="100">
        <v>57.5</v>
      </c>
      <c r="I44" s="100">
        <v>51.2</v>
      </c>
      <c r="J44" s="100">
        <v>46.3</v>
      </c>
      <c r="K44" s="100">
        <v>42.5</v>
      </c>
      <c r="L44" s="100">
        <v>39.299999999999997</v>
      </c>
      <c r="M44" s="100">
        <v>36.700000000000003</v>
      </c>
      <c r="N44" s="100">
        <v>34.5</v>
      </c>
      <c r="O44" s="100">
        <v>32.6</v>
      </c>
      <c r="P44" s="100">
        <v>30.9</v>
      </c>
      <c r="Q44" s="100">
        <v>29.5</v>
      </c>
      <c r="R44" s="100">
        <v>28.3</v>
      </c>
      <c r="S44" s="100">
        <v>27.2</v>
      </c>
      <c r="T44" s="100">
        <v>26.2</v>
      </c>
      <c r="U44" s="100">
        <v>25.3</v>
      </c>
    </row>
    <row r="45" spans="1:21" x14ac:dyDescent="0.25">
      <c r="A45" s="99">
        <v>34</v>
      </c>
      <c r="B45" s="100">
        <v>365</v>
      </c>
      <c r="C45" s="100">
        <v>186</v>
      </c>
      <c r="D45" s="100">
        <v>126.3</v>
      </c>
      <c r="E45" s="100">
        <v>96.5</v>
      </c>
      <c r="F45" s="100">
        <v>78.599999999999994</v>
      </c>
      <c r="G45" s="100">
        <v>66.7</v>
      </c>
      <c r="H45" s="100">
        <v>58.3</v>
      </c>
      <c r="I45" s="100">
        <v>51.9</v>
      </c>
      <c r="J45" s="100">
        <v>47</v>
      </c>
      <c r="K45" s="100">
        <v>43.1</v>
      </c>
      <c r="L45" s="100">
        <v>39.9</v>
      </c>
      <c r="M45" s="100">
        <v>37.200000000000003</v>
      </c>
      <c r="N45" s="100">
        <v>34.9</v>
      </c>
      <c r="O45" s="100">
        <v>33</v>
      </c>
      <c r="P45" s="100">
        <v>31.4</v>
      </c>
      <c r="Q45" s="100">
        <v>29.9</v>
      </c>
      <c r="R45" s="100">
        <v>28.7</v>
      </c>
      <c r="S45" s="100">
        <v>27.6</v>
      </c>
      <c r="T45" s="100">
        <v>26.6</v>
      </c>
      <c r="U45" s="100">
        <v>25.7</v>
      </c>
    </row>
    <row r="46" spans="1:21" x14ac:dyDescent="0.25">
      <c r="A46" s="99">
        <v>35</v>
      </c>
      <c r="B46" s="100">
        <v>369.9</v>
      </c>
      <c r="C46" s="100">
        <v>188.5</v>
      </c>
      <c r="D46" s="100">
        <v>128</v>
      </c>
      <c r="E46" s="100">
        <v>97.8</v>
      </c>
      <c r="F46" s="100">
        <v>79.7</v>
      </c>
      <c r="G46" s="100">
        <v>67.7</v>
      </c>
      <c r="H46" s="100">
        <v>59.1</v>
      </c>
      <c r="I46" s="100">
        <v>52.6</v>
      </c>
      <c r="J46" s="100">
        <v>47.6</v>
      </c>
      <c r="K46" s="100">
        <v>43.7</v>
      </c>
      <c r="L46" s="100">
        <v>40.4</v>
      </c>
      <c r="M46" s="100">
        <v>37.700000000000003</v>
      </c>
      <c r="N46" s="100">
        <v>35.4</v>
      </c>
      <c r="O46" s="100">
        <v>33.5</v>
      </c>
      <c r="P46" s="100">
        <v>31.8</v>
      </c>
      <c r="Q46" s="100">
        <v>30.4</v>
      </c>
      <c r="R46" s="100">
        <v>29.1</v>
      </c>
      <c r="S46" s="100">
        <v>28</v>
      </c>
      <c r="T46" s="100">
        <v>27</v>
      </c>
      <c r="U46" s="100">
        <v>26.1</v>
      </c>
    </row>
    <row r="47" spans="1:21" x14ac:dyDescent="0.25">
      <c r="A47" s="99">
        <v>36</v>
      </c>
      <c r="B47" s="100">
        <v>374.9</v>
      </c>
      <c r="C47" s="100">
        <v>191</v>
      </c>
      <c r="D47" s="100">
        <v>129.69999999999999</v>
      </c>
      <c r="E47" s="100">
        <v>99.1</v>
      </c>
      <c r="F47" s="100">
        <v>80.8</v>
      </c>
      <c r="G47" s="100">
        <v>68.599999999999994</v>
      </c>
      <c r="H47" s="100">
        <v>59.9</v>
      </c>
      <c r="I47" s="100">
        <v>53.4</v>
      </c>
      <c r="J47" s="100">
        <v>48.3</v>
      </c>
      <c r="K47" s="100">
        <v>44.3</v>
      </c>
      <c r="L47" s="100">
        <v>41</v>
      </c>
      <c r="M47" s="100">
        <v>38.200000000000003</v>
      </c>
      <c r="N47" s="100">
        <v>35.9</v>
      </c>
      <c r="O47" s="100">
        <v>34</v>
      </c>
      <c r="P47" s="100">
        <v>32.299999999999997</v>
      </c>
      <c r="Q47" s="100">
        <v>30.8</v>
      </c>
      <c r="R47" s="100">
        <v>29.5</v>
      </c>
      <c r="S47" s="100">
        <v>28.4</v>
      </c>
      <c r="T47" s="100">
        <v>27.4</v>
      </c>
      <c r="U47" s="100">
        <v>26.5</v>
      </c>
    </row>
    <row r="48" spans="1:21" x14ac:dyDescent="0.25">
      <c r="A48" s="99">
        <v>37</v>
      </c>
      <c r="B48" s="100">
        <v>379.9</v>
      </c>
      <c r="C48" s="100">
        <v>193.6</v>
      </c>
      <c r="D48" s="100">
        <v>131.5</v>
      </c>
      <c r="E48" s="100">
        <v>100.5</v>
      </c>
      <c r="F48" s="100">
        <v>81.900000000000006</v>
      </c>
      <c r="G48" s="100">
        <v>69.5</v>
      </c>
      <c r="H48" s="100">
        <v>60.7</v>
      </c>
      <c r="I48" s="100">
        <v>54.1</v>
      </c>
      <c r="J48" s="100">
        <v>49</v>
      </c>
      <c r="K48" s="100">
        <v>44.9</v>
      </c>
      <c r="L48" s="100">
        <v>41.6</v>
      </c>
      <c r="M48" s="100">
        <v>38.799999999999997</v>
      </c>
      <c r="N48" s="100">
        <v>36.5</v>
      </c>
      <c r="O48" s="100">
        <v>34.5</v>
      </c>
      <c r="P48" s="100">
        <v>32.799999999999997</v>
      </c>
      <c r="Q48" s="100">
        <v>31.3</v>
      </c>
      <c r="R48" s="100">
        <v>30</v>
      </c>
      <c r="S48" s="100">
        <v>28.8</v>
      </c>
      <c r="T48" s="100">
        <v>27.8</v>
      </c>
      <c r="U48" s="100">
        <v>26.9</v>
      </c>
    </row>
    <row r="49" spans="1:21" x14ac:dyDescent="0.25">
      <c r="A49" s="99">
        <v>38</v>
      </c>
      <c r="B49" s="100">
        <v>385</v>
      </c>
      <c r="C49" s="100">
        <v>196.2</v>
      </c>
      <c r="D49" s="100">
        <v>133.30000000000001</v>
      </c>
      <c r="E49" s="100">
        <v>101.8</v>
      </c>
      <c r="F49" s="100">
        <v>83</v>
      </c>
      <c r="G49" s="100">
        <v>70.5</v>
      </c>
      <c r="H49" s="100">
        <v>61.5</v>
      </c>
      <c r="I49" s="100">
        <v>54.8</v>
      </c>
      <c r="J49" s="100">
        <v>49.7</v>
      </c>
      <c r="K49" s="100">
        <v>45.5</v>
      </c>
      <c r="L49" s="100">
        <v>42.1</v>
      </c>
      <c r="M49" s="100">
        <v>39.299999999999997</v>
      </c>
      <c r="N49" s="100">
        <v>37</v>
      </c>
      <c r="O49" s="100">
        <v>35</v>
      </c>
      <c r="P49" s="100">
        <v>33.200000000000003</v>
      </c>
      <c r="Q49" s="100">
        <v>31.7</v>
      </c>
      <c r="R49" s="100">
        <v>30.4</v>
      </c>
      <c r="S49" s="100">
        <v>29.2</v>
      </c>
      <c r="T49" s="100">
        <v>28.2</v>
      </c>
      <c r="U49" s="100">
        <v>27.3</v>
      </c>
    </row>
    <row r="50" spans="1:21" x14ac:dyDescent="0.25">
      <c r="A50" s="99">
        <v>39</v>
      </c>
      <c r="B50" s="100">
        <v>390.1</v>
      </c>
      <c r="C50" s="100">
        <v>198.8</v>
      </c>
      <c r="D50" s="100">
        <v>135.1</v>
      </c>
      <c r="E50" s="100">
        <v>103.2</v>
      </c>
      <c r="F50" s="100">
        <v>84.1</v>
      </c>
      <c r="G50" s="100">
        <v>71.400000000000006</v>
      </c>
      <c r="H50" s="100">
        <v>62.4</v>
      </c>
      <c r="I50" s="100">
        <v>55.6</v>
      </c>
      <c r="J50" s="100">
        <v>50.4</v>
      </c>
      <c r="K50" s="100">
        <v>46.2</v>
      </c>
      <c r="L50" s="100">
        <v>42.7</v>
      </c>
      <c r="M50" s="100">
        <v>39.9</v>
      </c>
      <c r="N50" s="100">
        <v>37.5</v>
      </c>
      <c r="O50" s="100">
        <v>35.5</v>
      </c>
      <c r="P50" s="100">
        <v>33.700000000000003</v>
      </c>
      <c r="Q50" s="100">
        <v>32.200000000000003</v>
      </c>
      <c r="R50" s="100">
        <v>30.9</v>
      </c>
      <c r="S50" s="100">
        <v>29.7</v>
      </c>
      <c r="T50" s="100">
        <v>28.7</v>
      </c>
      <c r="U50" s="100">
        <v>27.7</v>
      </c>
    </row>
    <row r="51" spans="1:21" x14ac:dyDescent="0.25">
      <c r="A51" s="99">
        <v>40</v>
      </c>
      <c r="B51" s="100">
        <v>395.4</v>
      </c>
      <c r="C51" s="100">
        <v>201.5</v>
      </c>
      <c r="D51" s="100">
        <v>136.9</v>
      </c>
      <c r="E51" s="100">
        <v>104.6</v>
      </c>
      <c r="F51" s="100">
        <v>85.3</v>
      </c>
      <c r="G51" s="100">
        <v>72.400000000000006</v>
      </c>
      <c r="H51" s="100">
        <v>63.3</v>
      </c>
      <c r="I51" s="100">
        <v>56.4</v>
      </c>
      <c r="J51" s="100">
        <v>51.1</v>
      </c>
      <c r="K51" s="100">
        <v>46.8</v>
      </c>
      <c r="L51" s="100">
        <v>43.4</v>
      </c>
      <c r="M51" s="100">
        <v>40.5</v>
      </c>
      <c r="N51" s="100">
        <v>38.1</v>
      </c>
      <c r="O51" s="100">
        <v>36</v>
      </c>
      <c r="P51" s="100">
        <v>34.200000000000003</v>
      </c>
      <c r="Q51" s="100">
        <v>32.700000000000003</v>
      </c>
      <c r="R51" s="100">
        <v>31.4</v>
      </c>
      <c r="S51" s="100">
        <v>30.2</v>
      </c>
      <c r="T51" s="100">
        <v>29.1</v>
      </c>
      <c r="U51" s="100"/>
    </row>
    <row r="52" spans="1:21" x14ac:dyDescent="0.25">
      <c r="A52" s="99">
        <v>41</v>
      </c>
      <c r="B52" s="100">
        <v>400.7</v>
      </c>
      <c r="C52" s="100">
        <v>204.2</v>
      </c>
      <c r="D52" s="100">
        <v>138.80000000000001</v>
      </c>
      <c r="E52" s="100">
        <v>106.1</v>
      </c>
      <c r="F52" s="100">
        <v>86.5</v>
      </c>
      <c r="G52" s="100">
        <v>73.400000000000006</v>
      </c>
      <c r="H52" s="100">
        <v>64.099999999999994</v>
      </c>
      <c r="I52" s="100">
        <v>57.2</v>
      </c>
      <c r="J52" s="100">
        <v>51.8</v>
      </c>
      <c r="K52" s="100">
        <v>47.5</v>
      </c>
      <c r="L52" s="100">
        <v>44</v>
      </c>
      <c r="M52" s="100">
        <v>41.1</v>
      </c>
      <c r="N52" s="100">
        <v>38.6</v>
      </c>
      <c r="O52" s="100">
        <v>36.6</v>
      </c>
      <c r="P52" s="100">
        <v>34.799999999999997</v>
      </c>
      <c r="Q52" s="100">
        <v>33.200000000000003</v>
      </c>
      <c r="R52" s="100">
        <v>31.9</v>
      </c>
      <c r="S52" s="100">
        <v>30.7</v>
      </c>
      <c r="T52" s="100"/>
      <c r="U52" s="100"/>
    </row>
    <row r="53" spans="1:21" x14ac:dyDescent="0.25">
      <c r="A53" s="99">
        <v>42</v>
      </c>
      <c r="B53" s="100">
        <v>406.1</v>
      </c>
      <c r="C53" s="100">
        <v>207</v>
      </c>
      <c r="D53" s="100">
        <v>140.69999999999999</v>
      </c>
      <c r="E53" s="100">
        <v>107.5</v>
      </c>
      <c r="F53" s="100">
        <v>87.7</v>
      </c>
      <c r="G53" s="100">
        <v>74.5</v>
      </c>
      <c r="H53" s="100">
        <v>65</v>
      </c>
      <c r="I53" s="100">
        <v>58</v>
      </c>
      <c r="J53" s="100">
        <v>52.5</v>
      </c>
      <c r="K53" s="100">
        <v>48.2</v>
      </c>
      <c r="L53" s="100">
        <v>44.6</v>
      </c>
      <c r="M53" s="100">
        <v>41.7</v>
      </c>
      <c r="N53" s="100">
        <v>39.200000000000003</v>
      </c>
      <c r="O53" s="100">
        <v>37.1</v>
      </c>
      <c r="P53" s="100">
        <v>35.299999999999997</v>
      </c>
      <c r="Q53" s="100">
        <v>33.700000000000003</v>
      </c>
      <c r="R53" s="100">
        <v>32.4</v>
      </c>
      <c r="S53" s="100"/>
      <c r="T53" s="100"/>
      <c r="U53" s="100"/>
    </row>
    <row r="54" spans="1:21" x14ac:dyDescent="0.25">
      <c r="A54" s="99">
        <v>43</v>
      </c>
      <c r="B54" s="100">
        <v>411.5</v>
      </c>
      <c r="C54" s="100">
        <v>209.8</v>
      </c>
      <c r="D54" s="100">
        <v>142.6</v>
      </c>
      <c r="E54" s="100">
        <v>109</v>
      </c>
      <c r="F54" s="100">
        <v>88.9</v>
      </c>
      <c r="G54" s="100">
        <v>75.5</v>
      </c>
      <c r="H54" s="100">
        <v>66</v>
      </c>
      <c r="I54" s="100">
        <v>58.8</v>
      </c>
      <c r="J54" s="100">
        <v>53.3</v>
      </c>
      <c r="K54" s="100">
        <v>48.9</v>
      </c>
      <c r="L54" s="100">
        <v>45.3</v>
      </c>
      <c r="M54" s="100">
        <v>42.3</v>
      </c>
      <c r="N54" s="100">
        <v>39.799999999999997</v>
      </c>
      <c r="O54" s="100">
        <v>37.700000000000003</v>
      </c>
      <c r="P54" s="100">
        <v>35.9</v>
      </c>
      <c r="Q54" s="100">
        <v>34.299999999999997</v>
      </c>
      <c r="R54" s="100"/>
      <c r="S54" s="100"/>
      <c r="T54" s="100"/>
      <c r="U54" s="100"/>
    </row>
    <row r="55" spans="1:21" x14ac:dyDescent="0.25">
      <c r="A55" s="99">
        <v>44</v>
      </c>
      <c r="B55" s="100">
        <v>417</v>
      </c>
      <c r="C55" s="100">
        <v>212.6</v>
      </c>
      <c r="D55" s="100">
        <v>144.5</v>
      </c>
      <c r="E55" s="100">
        <v>110.5</v>
      </c>
      <c r="F55" s="100">
        <v>90.1</v>
      </c>
      <c r="G55" s="100">
        <v>76.5</v>
      </c>
      <c r="H55" s="100">
        <v>66.900000000000006</v>
      </c>
      <c r="I55" s="100">
        <v>59.7</v>
      </c>
      <c r="J55" s="100">
        <v>54.1</v>
      </c>
      <c r="K55" s="100">
        <v>49.6</v>
      </c>
      <c r="L55" s="100">
        <v>46</v>
      </c>
      <c r="M55" s="100">
        <v>43</v>
      </c>
      <c r="N55" s="100">
        <v>40.4</v>
      </c>
      <c r="O55" s="100">
        <v>38.299999999999997</v>
      </c>
      <c r="P55" s="100">
        <v>36.5</v>
      </c>
      <c r="Q55" s="100"/>
      <c r="R55" s="100"/>
      <c r="S55" s="100"/>
      <c r="T55" s="100"/>
      <c r="U55" s="100"/>
    </row>
    <row r="56" spans="1:21" x14ac:dyDescent="0.25">
      <c r="A56" s="99">
        <v>45</v>
      </c>
      <c r="B56" s="100">
        <v>422.6</v>
      </c>
      <c r="C56" s="100">
        <v>215.5</v>
      </c>
      <c r="D56" s="100">
        <v>146.5</v>
      </c>
      <c r="E56" s="100">
        <v>112</v>
      </c>
      <c r="F56" s="100">
        <v>91.4</v>
      </c>
      <c r="G56" s="100">
        <v>77.599999999999994</v>
      </c>
      <c r="H56" s="100">
        <v>67.8</v>
      </c>
      <c r="I56" s="100">
        <v>60.5</v>
      </c>
      <c r="J56" s="100">
        <v>54.9</v>
      </c>
      <c r="K56" s="100">
        <v>50.3</v>
      </c>
      <c r="L56" s="100">
        <v>46.7</v>
      </c>
      <c r="M56" s="100">
        <v>43.6</v>
      </c>
      <c r="N56" s="100">
        <v>41.1</v>
      </c>
      <c r="O56" s="100">
        <v>38.9</v>
      </c>
      <c r="P56" s="100"/>
      <c r="Q56" s="100"/>
      <c r="R56" s="100"/>
      <c r="S56" s="100"/>
      <c r="T56" s="100"/>
      <c r="U56" s="100"/>
    </row>
    <row r="57" spans="1:21" x14ac:dyDescent="0.25">
      <c r="A57" s="99">
        <v>46</v>
      </c>
      <c r="B57" s="100">
        <v>428.3</v>
      </c>
      <c r="C57" s="100">
        <v>218.4</v>
      </c>
      <c r="D57" s="100">
        <v>148.5</v>
      </c>
      <c r="E57" s="100">
        <v>113.5</v>
      </c>
      <c r="F57" s="100">
        <v>92.6</v>
      </c>
      <c r="G57" s="100">
        <v>78.7</v>
      </c>
      <c r="H57" s="100">
        <v>68.8</v>
      </c>
      <c r="I57" s="100">
        <v>61.4</v>
      </c>
      <c r="J57" s="100">
        <v>55.7</v>
      </c>
      <c r="K57" s="100">
        <v>51.1</v>
      </c>
      <c r="L57" s="100">
        <v>47.4</v>
      </c>
      <c r="M57" s="100">
        <v>44.4</v>
      </c>
      <c r="N57" s="100">
        <v>41.8</v>
      </c>
      <c r="O57" s="100"/>
      <c r="P57" s="100"/>
      <c r="Q57" s="100"/>
      <c r="R57" s="100"/>
      <c r="S57" s="100"/>
      <c r="T57" s="100"/>
      <c r="U57" s="100"/>
    </row>
    <row r="58" spans="1:21" x14ac:dyDescent="0.25">
      <c r="A58" s="99">
        <v>47</v>
      </c>
      <c r="B58" s="100">
        <v>434.1</v>
      </c>
      <c r="C58" s="100">
        <v>221.4</v>
      </c>
      <c r="D58" s="100">
        <v>150.5</v>
      </c>
      <c r="E58" s="100">
        <v>115.1</v>
      </c>
      <c r="F58" s="100">
        <v>93.9</v>
      </c>
      <c r="G58" s="100">
        <v>79.900000000000006</v>
      </c>
      <c r="H58" s="100">
        <v>69.8</v>
      </c>
      <c r="I58" s="100">
        <v>62.3</v>
      </c>
      <c r="J58" s="100">
        <v>56.6</v>
      </c>
      <c r="K58" s="100">
        <v>51.9</v>
      </c>
      <c r="L58" s="100">
        <v>48.2</v>
      </c>
      <c r="M58" s="100">
        <v>45.1</v>
      </c>
      <c r="N58" s="100"/>
      <c r="O58" s="100"/>
      <c r="P58" s="100"/>
      <c r="Q58" s="100"/>
      <c r="R58" s="100"/>
      <c r="S58" s="100"/>
      <c r="T58" s="100"/>
      <c r="U58" s="100"/>
    </row>
    <row r="59" spans="1:21" x14ac:dyDescent="0.25">
      <c r="A59" s="99">
        <v>48</v>
      </c>
      <c r="B59" s="100">
        <v>440</v>
      </c>
      <c r="C59" s="100">
        <v>224.4</v>
      </c>
      <c r="D59" s="100">
        <v>152.6</v>
      </c>
      <c r="E59" s="100">
        <v>116.8</v>
      </c>
      <c r="F59" s="100">
        <v>95.3</v>
      </c>
      <c r="G59" s="100">
        <v>81.099999999999994</v>
      </c>
      <c r="H59" s="100">
        <v>70.900000000000006</v>
      </c>
      <c r="I59" s="100">
        <v>63.3</v>
      </c>
      <c r="J59" s="100">
        <v>57.5</v>
      </c>
      <c r="K59" s="100">
        <v>52.8</v>
      </c>
      <c r="L59" s="100">
        <v>49</v>
      </c>
      <c r="M59" s="100"/>
      <c r="N59" s="100"/>
      <c r="O59" s="100"/>
      <c r="P59" s="100"/>
      <c r="Q59" s="100"/>
      <c r="R59" s="100"/>
      <c r="S59" s="100"/>
      <c r="T59" s="100"/>
      <c r="U59" s="100"/>
    </row>
    <row r="60" spans="1:21" x14ac:dyDescent="0.25">
      <c r="A60" s="99">
        <v>49</v>
      </c>
      <c r="B60" s="100">
        <v>446</v>
      </c>
      <c r="C60" s="100">
        <v>227.5</v>
      </c>
      <c r="D60" s="100">
        <v>154.80000000000001</v>
      </c>
      <c r="E60" s="100">
        <v>118.5</v>
      </c>
      <c r="F60" s="100">
        <v>96.8</v>
      </c>
      <c r="G60" s="100">
        <v>82.3</v>
      </c>
      <c r="H60" s="100">
        <v>72</v>
      </c>
      <c r="I60" s="100">
        <v>64.400000000000006</v>
      </c>
      <c r="J60" s="100">
        <v>58.4</v>
      </c>
      <c r="K60" s="100">
        <v>53.7</v>
      </c>
      <c r="L60" s="100"/>
      <c r="M60" s="100"/>
      <c r="N60" s="100"/>
      <c r="O60" s="100"/>
      <c r="P60" s="100"/>
      <c r="Q60" s="100"/>
      <c r="R60" s="100"/>
      <c r="S60" s="100"/>
      <c r="T60" s="100"/>
      <c r="U60" s="100"/>
    </row>
    <row r="61" spans="1:21" x14ac:dyDescent="0.25">
      <c r="A61" s="99">
        <v>50</v>
      </c>
      <c r="B61" s="100">
        <v>452.2</v>
      </c>
      <c r="C61" s="100">
        <v>230.8</v>
      </c>
      <c r="D61" s="100">
        <v>157.1</v>
      </c>
      <c r="E61" s="100">
        <v>120.3</v>
      </c>
      <c r="F61" s="100">
        <v>98.3</v>
      </c>
      <c r="G61" s="100">
        <v>83.7</v>
      </c>
      <c r="H61" s="100">
        <v>73.3</v>
      </c>
      <c r="I61" s="100">
        <v>65.5</v>
      </c>
      <c r="J61" s="100">
        <v>59.5</v>
      </c>
      <c r="K61" s="100"/>
      <c r="L61" s="100"/>
      <c r="M61" s="100"/>
      <c r="N61" s="100"/>
      <c r="O61" s="100"/>
      <c r="P61" s="100"/>
      <c r="Q61" s="100"/>
      <c r="R61" s="100"/>
      <c r="S61" s="100"/>
      <c r="T61" s="100"/>
      <c r="U61" s="100"/>
    </row>
    <row r="62" spans="1:21" x14ac:dyDescent="0.25">
      <c r="A62" s="99">
        <v>51</v>
      </c>
      <c r="B62" s="100">
        <v>458.6</v>
      </c>
      <c r="C62" s="100">
        <v>234.2</v>
      </c>
      <c r="D62" s="100">
        <v>159.5</v>
      </c>
      <c r="E62" s="100">
        <v>122.2</v>
      </c>
      <c r="F62" s="100">
        <v>99.9</v>
      </c>
      <c r="G62" s="100">
        <v>85</v>
      </c>
      <c r="H62" s="100">
        <v>74.5</v>
      </c>
      <c r="I62" s="100">
        <v>66.599999999999994</v>
      </c>
      <c r="J62" s="100"/>
      <c r="K62" s="100"/>
      <c r="L62" s="100"/>
      <c r="M62" s="100"/>
      <c r="N62" s="100"/>
      <c r="O62" s="100"/>
      <c r="P62" s="100"/>
      <c r="Q62" s="100"/>
      <c r="R62" s="100"/>
      <c r="S62" s="100"/>
      <c r="T62" s="100"/>
      <c r="U62" s="100"/>
    </row>
    <row r="63" spans="1:21" x14ac:dyDescent="0.25">
      <c r="A63" s="99">
        <v>52</v>
      </c>
      <c r="B63" s="100">
        <v>465.1</v>
      </c>
      <c r="C63" s="100">
        <v>237.6</v>
      </c>
      <c r="D63" s="100">
        <v>161.9</v>
      </c>
      <c r="E63" s="100">
        <v>124.1</v>
      </c>
      <c r="F63" s="100">
        <v>101.5</v>
      </c>
      <c r="G63" s="100">
        <v>86.4</v>
      </c>
      <c r="H63" s="100">
        <v>75.8</v>
      </c>
      <c r="I63" s="100"/>
      <c r="J63" s="100"/>
      <c r="K63" s="100"/>
      <c r="L63" s="100"/>
      <c r="M63" s="100"/>
      <c r="N63" s="100"/>
      <c r="O63" s="100"/>
      <c r="P63" s="100"/>
      <c r="Q63" s="100"/>
      <c r="R63" s="100"/>
      <c r="S63" s="100"/>
      <c r="T63" s="100"/>
      <c r="U63" s="100"/>
    </row>
    <row r="64" spans="1:21" x14ac:dyDescent="0.25">
      <c r="A64" s="99">
        <v>53</v>
      </c>
      <c r="B64" s="100">
        <v>471.8</v>
      </c>
      <c r="C64" s="100">
        <v>241.1</v>
      </c>
      <c r="D64" s="100">
        <v>164.3</v>
      </c>
      <c r="E64" s="100">
        <v>126</v>
      </c>
      <c r="F64" s="100">
        <v>103.1</v>
      </c>
      <c r="G64" s="100">
        <v>87.9</v>
      </c>
      <c r="H64" s="100"/>
      <c r="I64" s="100"/>
      <c r="J64" s="100"/>
      <c r="K64" s="100"/>
      <c r="L64" s="100"/>
      <c r="M64" s="100"/>
      <c r="N64" s="100"/>
      <c r="O64" s="100"/>
      <c r="P64" s="100"/>
      <c r="Q64" s="100"/>
      <c r="R64" s="100"/>
      <c r="S64" s="100"/>
      <c r="T64" s="100"/>
      <c r="U64" s="100"/>
    </row>
    <row r="65" spans="1:21" x14ac:dyDescent="0.25">
      <c r="A65" s="99">
        <v>54</v>
      </c>
      <c r="B65" s="100">
        <v>476.4</v>
      </c>
      <c r="C65" s="100">
        <v>243.6</v>
      </c>
      <c r="D65" s="100">
        <v>166.1</v>
      </c>
      <c r="E65" s="100">
        <v>127.5</v>
      </c>
      <c r="F65" s="100">
        <v>104.4</v>
      </c>
      <c r="G65" s="100"/>
      <c r="H65" s="100"/>
      <c r="I65" s="100"/>
      <c r="J65" s="100"/>
      <c r="K65" s="100"/>
      <c r="L65" s="100"/>
      <c r="M65" s="100"/>
      <c r="N65" s="100"/>
      <c r="O65" s="100"/>
      <c r="P65" s="100"/>
      <c r="Q65" s="100"/>
      <c r="R65" s="100"/>
      <c r="S65" s="100"/>
      <c r="T65" s="100"/>
      <c r="U65" s="100"/>
    </row>
    <row r="66" spans="1:21" x14ac:dyDescent="0.25">
      <c r="A66" s="99">
        <v>55</v>
      </c>
      <c r="B66" s="100">
        <v>478.5</v>
      </c>
      <c r="C66" s="100">
        <v>244.8</v>
      </c>
      <c r="D66" s="100">
        <v>167</v>
      </c>
      <c r="E66" s="100">
        <v>128.19999999999999</v>
      </c>
      <c r="F66" s="100"/>
      <c r="G66" s="100"/>
      <c r="H66" s="100"/>
      <c r="I66" s="100"/>
      <c r="J66" s="100"/>
      <c r="K66" s="100"/>
      <c r="L66" s="100"/>
      <c r="M66" s="100"/>
      <c r="N66" s="100"/>
      <c r="O66" s="100"/>
      <c r="P66" s="100"/>
      <c r="Q66" s="100"/>
      <c r="R66" s="100"/>
      <c r="S66" s="100"/>
      <c r="T66" s="100"/>
      <c r="U66" s="100"/>
    </row>
    <row r="67" spans="1:21" x14ac:dyDescent="0.25">
      <c r="A67" s="99">
        <v>56</v>
      </c>
      <c r="B67" s="100">
        <v>480.7</v>
      </c>
      <c r="C67" s="100">
        <v>246.1</v>
      </c>
      <c r="D67" s="100">
        <v>168</v>
      </c>
      <c r="E67" s="100"/>
      <c r="F67" s="100"/>
      <c r="G67" s="100"/>
      <c r="H67" s="100"/>
      <c r="I67" s="100"/>
      <c r="J67" s="100"/>
      <c r="K67" s="100"/>
      <c r="L67" s="100"/>
      <c r="M67" s="100"/>
      <c r="N67" s="100"/>
      <c r="O67" s="100"/>
      <c r="P67" s="100"/>
      <c r="Q67" s="100"/>
      <c r="R67" s="100"/>
      <c r="S67" s="100"/>
      <c r="T67" s="100"/>
      <c r="U67" s="100"/>
    </row>
    <row r="68" spans="1:21" x14ac:dyDescent="0.25">
      <c r="A68" s="99">
        <v>57</v>
      </c>
      <c r="B68" s="100">
        <v>483.6</v>
      </c>
      <c r="C68" s="100">
        <v>247.7</v>
      </c>
      <c r="D68" s="100"/>
      <c r="E68" s="100"/>
      <c r="F68" s="100"/>
      <c r="G68" s="100"/>
      <c r="H68" s="100"/>
      <c r="I68" s="100"/>
      <c r="J68" s="100"/>
      <c r="K68" s="100"/>
      <c r="L68" s="100"/>
      <c r="M68" s="100"/>
      <c r="N68" s="100"/>
      <c r="O68" s="100"/>
      <c r="P68" s="100"/>
      <c r="Q68" s="100"/>
      <c r="R68" s="100"/>
      <c r="S68" s="100"/>
      <c r="T68" s="100"/>
      <c r="U68" s="100"/>
    </row>
    <row r="69" spans="1:21" x14ac:dyDescent="0.25">
      <c r="A69" s="99">
        <v>58</v>
      </c>
      <c r="B69" s="100">
        <v>486.2</v>
      </c>
      <c r="C69" s="100"/>
      <c r="D69" s="100"/>
      <c r="E69" s="100"/>
      <c r="F69" s="100"/>
      <c r="G69" s="100"/>
      <c r="H69" s="100"/>
      <c r="I69" s="100"/>
      <c r="J69" s="100"/>
      <c r="K69" s="100"/>
      <c r="L69" s="100"/>
      <c r="M69" s="100"/>
      <c r="N69" s="100"/>
      <c r="O69" s="100"/>
      <c r="P69" s="100"/>
      <c r="Q69" s="100"/>
      <c r="R69" s="100"/>
      <c r="S69" s="100"/>
      <c r="T69" s="100"/>
      <c r="U69" s="100"/>
    </row>
  </sheetData>
  <sheetProtection algorithmName="SHA-512" hashValue="3VdJsuClp9uJl0m1QQ9qXg6+qaJZoQ+PP0FE2ihX6+5vj/Bb6gNpq3z4Aw9JlFwRJ5bQ0hDxlnz/EJn9RAyHLQ==" saltValue="gq2T4HsxS39eF+j4bUMAnA==" spinCount="100000" sheet="1" objects="1" scenarios="1"/>
  <conditionalFormatting sqref="A6:A21">
    <cfRule type="expression" dxfId="417" priority="13" stopIfTrue="1">
      <formula>MOD(ROW(),2)=0</formula>
    </cfRule>
    <cfRule type="expression" dxfId="416" priority="14" stopIfTrue="1">
      <formula>MOD(ROW(),2)&lt;&gt;0</formula>
    </cfRule>
  </conditionalFormatting>
  <conditionalFormatting sqref="A26:A69">
    <cfRule type="expression" dxfId="415" priority="3" stopIfTrue="1">
      <formula>MOD(ROW(),2)=0</formula>
    </cfRule>
    <cfRule type="expression" dxfId="414" priority="4" stopIfTrue="1">
      <formula>MOD(ROW(),2)&lt;&gt;0</formula>
    </cfRule>
  </conditionalFormatting>
  <conditionalFormatting sqref="B17:B21">
    <cfRule type="expression" dxfId="413" priority="1" stopIfTrue="1">
      <formula>MOD(ROW(),2)=0</formula>
    </cfRule>
    <cfRule type="expression" dxfId="412" priority="2" stopIfTrue="1">
      <formula>MOD(ROW(),2)&lt;&gt;0</formula>
    </cfRule>
  </conditionalFormatting>
  <conditionalFormatting sqref="B6:U21">
    <cfRule type="expression" dxfId="411" priority="23" stopIfTrue="1">
      <formula>MOD(ROW(),2)=0</formula>
    </cfRule>
    <cfRule type="expression" dxfId="410" priority="24" stopIfTrue="1">
      <formula>MOD(ROW(),2)&lt;&gt;0</formula>
    </cfRule>
  </conditionalFormatting>
  <conditionalFormatting sqref="B26:U69">
    <cfRule type="expression" dxfId="409" priority="5" stopIfTrue="1">
      <formula>MOD(ROW(),2)=0</formula>
    </cfRule>
    <cfRule type="expression" dxfId="408" priority="6" stopIfTrue="1">
      <formula>MOD(ROW(),2)&lt;&gt;0</formula>
    </cfRule>
  </conditionalFormatting>
  <hyperlinks>
    <hyperlink ref="B24" location="Assumptions!A1" display="Assumptions" xr:uid="{AB131368-FE08-48F7-A5D9-FF3EF29F221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96"/>
  <dimension ref="A1:V172"/>
  <sheetViews>
    <sheetView showGridLines="0" zoomScale="85" zoomScaleNormal="85" workbookViewId="0">
      <selection activeCell="A4" sqref="A4"/>
    </sheetView>
  </sheetViews>
  <sheetFormatPr defaultColWidth="10" defaultRowHeight="12.5" x14ac:dyDescent="0.25"/>
  <cols>
    <col min="1" max="1" width="31.90625" style="25" customWidth="1"/>
    <col min="2" max="21" width="22.90625" style="25" customWidth="1"/>
    <col min="22" max="16384" width="10" style="25"/>
  </cols>
  <sheetData>
    <row r="1" spans="1:21" ht="20" x14ac:dyDescent="0.4">
      <c r="A1" s="36" t="s">
        <v>0</v>
      </c>
      <c r="B1" s="37"/>
      <c r="C1" s="37"/>
      <c r="D1" s="37"/>
      <c r="E1" s="37"/>
      <c r="F1" s="37"/>
      <c r="G1" s="37"/>
      <c r="H1" s="37"/>
      <c r="I1" s="37"/>
    </row>
    <row r="2" spans="1:21" ht="15.5" x14ac:dyDescent="0.35">
      <c r="A2" s="38" t="str">
        <f>IF(title="&gt; Enter workbook title here","Enter workbook title in Cover sheet",title)</f>
        <v>NHSPS_NI - Consolidated Factor Spreadsheet</v>
      </c>
      <c r="B2" s="39"/>
      <c r="C2" s="39"/>
      <c r="D2" s="39"/>
      <c r="E2" s="39"/>
      <c r="F2" s="39"/>
      <c r="G2" s="39"/>
      <c r="H2" s="39"/>
      <c r="I2" s="39"/>
    </row>
    <row r="3" spans="1:21" ht="15.5" x14ac:dyDescent="0.35">
      <c r="A3" s="40" t="str">
        <f>TABLE_FACTOR_TYPE_1&amp;" - x-"&amp;TABLE_SERIES_NUMBER_1</f>
        <v>Added pension - x-710</v>
      </c>
      <c r="B3" s="39"/>
      <c r="C3" s="39"/>
      <c r="D3" s="39"/>
      <c r="E3" s="39"/>
      <c r="F3" s="39"/>
      <c r="G3" s="39"/>
      <c r="H3" s="39"/>
      <c r="I3" s="39"/>
    </row>
    <row r="4" spans="1:21" x14ac:dyDescent="0.25">
      <c r="A4" s="41"/>
    </row>
    <row r="6" spans="1:21" ht="13" x14ac:dyDescent="0.3">
      <c r="A6" s="163" t="s">
        <v>276</v>
      </c>
      <c r="B6" s="107" t="s">
        <v>277</v>
      </c>
      <c r="C6" s="107"/>
      <c r="D6" s="107"/>
      <c r="E6" s="107"/>
      <c r="F6" s="107"/>
      <c r="G6" s="107"/>
      <c r="H6" s="107"/>
      <c r="I6" s="107"/>
      <c r="J6" s="107"/>
      <c r="K6" s="107"/>
      <c r="L6" s="107"/>
      <c r="M6" s="107"/>
      <c r="N6" s="107"/>
      <c r="O6" s="107"/>
      <c r="P6" s="107"/>
      <c r="Q6" s="107"/>
      <c r="R6" s="107"/>
      <c r="S6" s="107"/>
      <c r="T6" s="107"/>
      <c r="U6" s="107"/>
    </row>
    <row r="7" spans="1:21" x14ac:dyDescent="0.25">
      <c r="A7" s="69" t="s">
        <v>278</v>
      </c>
      <c r="B7" s="107" t="s">
        <v>310</v>
      </c>
      <c r="C7" s="107"/>
      <c r="D7" s="107"/>
      <c r="E7" s="107"/>
      <c r="F7" s="107"/>
      <c r="G7" s="107"/>
      <c r="H7" s="107"/>
      <c r="I7" s="107"/>
      <c r="J7" s="107"/>
      <c r="K7" s="107"/>
      <c r="L7" s="107"/>
      <c r="M7" s="107"/>
      <c r="N7" s="107"/>
      <c r="O7" s="107"/>
      <c r="P7" s="107"/>
      <c r="Q7" s="107"/>
      <c r="R7" s="107"/>
      <c r="S7" s="107"/>
      <c r="T7" s="107"/>
      <c r="U7" s="107"/>
    </row>
    <row r="8" spans="1:21" x14ac:dyDescent="0.25">
      <c r="A8" s="69" t="s">
        <v>280</v>
      </c>
      <c r="B8" s="107" t="s">
        <v>363</v>
      </c>
      <c r="C8" s="107"/>
      <c r="D8" s="107"/>
      <c r="E8" s="107"/>
      <c r="F8" s="107"/>
      <c r="G8" s="107"/>
      <c r="H8" s="107"/>
      <c r="I8" s="107"/>
      <c r="J8" s="107"/>
      <c r="K8" s="107"/>
      <c r="L8" s="107"/>
      <c r="M8" s="107"/>
      <c r="N8" s="107"/>
      <c r="O8" s="107"/>
      <c r="P8" s="107"/>
      <c r="Q8" s="107"/>
      <c r="R8" s="107"/>
      <c r="S8" s="107"/>
      <c r="T8" s="107"/>
      <c r="U8" s="107"/>
    </row>
    <row r="9" spans="1:21" x14ac:dyDescent="0.25">
      <c r="A9" s="69" t="s">
        <v>282</v>
      </c>
      <c r="B9" s="107" t="s">
        <v>514</v>
      </c>
      <c r="C9" s="107"/>
      <c r="D9" s="107"/>
      <c r="E9" s="107"/>
      <c r="F9" s="107"/>
      <c r="G9" s="107"/>
      <c r="H9" s="107"/>
      <c r="I9" s="107"/>
      <c r="J9" s="107"/>
      <c r="K9" s="107"/>
      <c r="L9" s="107"/>
      <c r="M9" s="107"/>
      <c r="N9" s="107"/>
      <c r="O9" s="107"/>
      <c r="P9" s="107"/>
      <c r="Q9" s="107"/>
      <c r="R9" s="107"/>
      <c r="S9" s="107"/>
      <c r="T9" s="107"/>
      <c r="U9" s="107"/>
    </row>
    <row r="10" spans="1:21" x14ac:dyDescent="0.25">
      <c r="A10" s="69" t="s">
        <v>6</v>
      </c>
      <c r="B10" s="107" t="s">
        <v>538</v>
      </c>
      <c r="C10" s="107"/>
      <c r="D10" s="107"/>
      <c r="E10" s="107"/>
      <c r="F10" s="107"/>
      <c r="G10" s="107"/>
      <c r="H10" s="107"/>
      <c r="I10" s="107"/>
      <c r="J10" s="107"/>
      <c r="K10" s="107"/>
      <c r="L10" s="107"/>
      <c r="M10" s="107"/>
      <c r="N10" s="107"/>
      <c r="O10" s="107"/>
      <c r="P10" s="107"/>
      <c r="Q10" s="107"/>
      <c r="R10" s="107"/>
      <c r="S10" s="107"/>
      <c r="T10" s="107"/>
      <c r="U10" s="107"/>
    </row>
    <row r="11" spans="1:21" x14ac:dyDescent="0.25">
      <c r="A11" s="69" t="s">
        <v>285</v>
      </c>
      <c r="B11" s="107" t="s">
        <v>359</v>
      </c>
      <c r="C11" s="107"/>
      <c r="D11" s="107"/>
      <c r="E11" s="107"/>
      <c r="F11" s="107"/>
      <c r="G11" s="107"/>
      <c r="H11" s="107"/>
      <c r="I11" s="107"/>
      <c r="J11" s="107"/>
      <c r="K11" s="107"/>
      <c r="L11" s="107"/>
      <c r="M11" s="107"/>
      <c r="N11" s="107"/>
      <c r="O11" s="107"/>
      <c r="P11" s="107"/>
      <c r="Q11" s="107"/>
      <c r="R11" s="107"/>
      <c r="S11" s="107"/>
      <c r="T11" s="107"/>
      <c r="U11" s="107"/>
    </row>
    <row r="12" spans="1:21" x14ac:dyDescent="0.25">
      <c r="A12" s="69" t="s">
        <v>287</v>
      </c>
      <c r="B12" s="107" t="s">
        <v>520</v>
      </c>
      <c r="C12" s="107"/>
      <c r="D12" s="107"/>
      <c r="E12" s="107"/>
      <c r="F12" s="107"/>
      <c r="G12" s="107"/>
      <c r="H12" s="107"/>
      <c r="I12" s="107"/>
      <c r="J12" s="107"/>
      <c r="K12" s="107"/>
      <c r="L12" s="107"/>
      <c r="M12" s="107"/>
      <c r="N12" s="107"/>
      <c r="O12" s="107"/>
      <c r="P12" s="107"/>
      <c r="Q12" s="107"/>
      <c r="R12" s="107"/>
      <c r="S12" s="107"/>
      <c r="T12" s="107"/>
      <c r="U12" s="107"/>
    </row>
    <row r="13" spans="1:21" x14ac:dyDescent="0.25">
      <c r="A13" s="69" t="s">
        <v>289</v>
      </c>
      <c r="B13" s="107">
        <v>2</v>
      </c>
      <c r="C13" s="107"/>
      <c r="D13" s="107"/>
      <c r="E13" s="107"/>
      <c r="F13" s="107"/>
      <c r="G13" s="107"/>
      <c r="H13" s="107"/>
      <c r="I13" s="107"/>
      <c r="J13" s="107"/>
      <c r="K13" s="107"/>
      <c r="L13" s="107"/>
      <c r="M13" s="107"/>
      <c r="N13" s="107"/>
      <c r="O13" s="107"/>
      <c r="P13" s="107"/>
      <c r="Q13" s="107"/>
      <c r="R13" s="107"/>
      <c r="S13" s="107"/>
      <c r="T13" s="107"/>
      <c r="U13" s="107"/>
    </row>
    <row r="14" spans="1:21" x14ac:dyDescent="0.25">
      <c r="A14" s="69" t="s">
        <v>291</v>
      </c>
      <c r="B14" s="107">
        <v>710</v>
      </c>
      <c r="C14" s="107"/>
      <c r="D14" s="107"/>
      <c r="E14" s="107"/>
      <c r="F14" s="107"/>
      <c r="G14" s="107"/>
      <c r="H14" s="107"/>
      <c r="I14" s="107"/>
      <c r="J14" s="107"/>
      <c r="K14" s="107"/>
      <c r="L14" s="107"/>
      <c r="M14" s="107"/>
      <c r="N14" s="107"/>
      <c r="O14" s="107"/>
      <c r="P14" s="107"/>
      <c r="Q14" s="107"/>
      <c r="R14" s="107"/>
      <c r="S14" s="107"/>
      <c r="T14" s="107"/>
      <c r="U14" s="107"/>
    </row>
    <row r="15" spans="1:21" x14ac:dyDescent="0.25">
      <c r="A15" s="69" t="s">
        <v>293</v>
      </c>
      <c r="B15" s="107" t="s">
        <v>539</v>
      </c>
      <c r="C15" s="107"/>
      <c r="D15" s="107"/>
      <c r="E15" s="107"/>
      <c r="F15" s="107"/>
      <c r="G15" s="107"/>
      <c r="H15" s="107"/>
      <c r="I15" s="107"/>
      <c r="J15" s="107"/>
      <c r="K15" s="107"/>
      <c r="L15" s="107"/>
      <c r="M15" s="107"/>
      <c r="N15" s="107"/>
      <c r="O15" s="107"/>
      <c r="P15" s="107"/>
      <c r="Q15" s="107"/>
      <c r="R15" s="107"/>
      <c r="S15" s="107"/>
      <c r="T15" s="107"/>
      <c r="U15" s="107"/>
    </row>
    <row r="16" spans="1:21" x14ac:dyDescent="0.25">
      <c r="A16" s="69" t="s">
        <v>295</v>
      </c>
      <c r="B16" s="107" t="s">
        <v>540</v>
      </c>
      <c r="C16" s="107"/>
      <c r="D16" s="107"/>
      <c r="E16" s="107"/>
      <c r="F16" s="107"/>
      <c r="G16" s="107"/>
      <c r="H16" s="107"/>
      <c r="I16" s="107"/>
      <c r="J16" s="107"/>
      <c r="K16" s="107"/>
      <c r="L16" s="107"/>
      <c r="M16" s="107"/>
      <c r="N16" s="107"/>
      <c r="O16" s="107"/>
      <c r="P16" s="107"/>
      <c r="Q16" s="107"/>
      <c r="R16" s="107"/>
      <c r="S16" s="107"/>
      <c r="T16" s="107"/>
      <c r="U16" s="107"/>
    </row>
    <row r="17" spans="1:21" x14ac:dyDescent="0.25">
      <c r="A17" s="69" t="s">
        <v>725</v>
      </c>
      <c r="B17" s="107"/>
      <c r="C17" s="107"/>
      <c r="D17" s="107"/>
      <c r="E17" s="107"/>
      <c r="F17" s="107"/>
      <c r="G17" s="107"/>
      <c r="H17" s="107"/>
      <c r="I17" s="107"/>
      <c r="J17" s="107"/>
      <c r="K17" s="107"/>
      <c r="L17" s="107"/>
      <c r="M17" s="107"/>
      <c r="N17" s="107"/>
      <c r="O17" s="107"/>
      <c r="P17" s="107"/>
      <c r="Q17" s="107"/>
      <c r="R17" s="107"/>
      <c r="S17" s="107"/>
      <c r="T17" s="107"/>
      <c r="U17" s="107"/>
    </row>
    <row r="18" spans="1:21" x14ac:dyDescent="0.25">
      <c r="A18" s="85" t="s">
        <v>299</v>
      </c>
      <c r="B18" s="164">
        <v>45202</v>
      </c>
      <c r="C18" s="107"/>
      <c r="D18" s="107"/>
      <c r="E18" s="107"/>
      <c r="F18" s="107"/>
      <c r="G18" s="107"/>
      <c r="H18" s="107"/>
      <c r="I18" s="107"/>
      <c r="J18" s="107"/>
      <c r="K18" s="107"/>
      <c r="L18" s="107"/>
      <c r="M18" s="107"/>
      <c r="N18" s="107"/>
      <c r="O18" s="107"/>
      <c r="P18" s="107"/>
      <c r="Q18" s="107"/>
      <c r="R18" s="107"/>
      <c r="S18" s="107"/>
      <c r="T18" s="107"/>
      <c r="U18" s="107"/>
    </row>
    <row r="19" spans="1:21" x14ac:dyDescent="0.25">
      <c r="A19" s="85" t="s">
        <v>301</v>
      </c>
      <c r="B19" s="164">
        <v>45202</v>
      </c>
      <c r="C19" s="107"/>
      <c r="D19" s="107"/>
      <c r="E19" s="107"/>
      <c r="F19" s="107"/>
      <c r="G19" s="107"/>
      <c r="H19" s="107"/>
      <c r="I19" s="107"/>
      <c r="J19" s="107"/>
      <c r="K19" s="107"/>
      <c r="L19" s="107"/>
      <c r="M19" s="107"/>
      <c r="N19" s="107"/>
      <c r="O19" s="107"/>
      <c r="P19" s="107"/>
      <c r="Q19" s="107"/>
      <c r="R19" s="107"/>
      <c r="S19" s="107"/>
      <c r="T19" s="107"/>
      <c r="U19" s="107"/>
    </row>
    <row r="20" spans="1:21" x14ac:dyDescent="0.25">
      <c r="A20" s="85" t="s">
        <v>303</v>
      </c>
      <c r="B20" s="107" t="s">
        <v>317</v>
      </c>
      <c r="C20" s="107"/>
      <c r="D20" s="107"/>
      <c r="E20" s="107"/>
      <c r="F20" s="107"/>
      <c r="G20" s="107"/>
      <c r="H20" s="107"/>
      <c r="I20" s="107"/>
      <c r="J20" s="107"/>
      <c r="K20" s="107"/>
      <c r="L20" s="107"/>
      <c r="M20" s="107"/>
      <c r="N20" s="107"/>
      <c r="O20" s="107"/>
      <c r="P20" s="107"/>
      <c r="Q20" s="107"/>
      <c r="R20" s="107"/>
      <c r="S20" s="107"/>
      <c r="T20" s="107"/>
      <c r="U20" s="107"/>
    </row>
    <row r="21" spans="1:21" x14ac:dyDescent="0.25">
      <c r="A21" s="85" t="s">
        <v>309</v>
      </c>
      <c r="B21" s="107" t="s">
        <v>318</v>
      </c>
      <c r="C21" s="107"/>
      <c r="D21" s="107"/>
      <c r="E21" s="107"/>
      <c r="F21" s="107"/>
      <c r="G21" s="107"/>
      <c r="H21" s="107"/>
      <c r="I21" s="107"/>
      <c r="J21" s="107"/>
      <c r="K21" s="107"/>
      <c r="L21" s="107"/>
      <c r="M21" s="107"/>
      <c r="N21" s="107"/>
      <c r="O21" s="107"/>
      <c r="P21" s="107"/>
      <c r="Q21" s="107"/>
      <c r="R21" s="107"/>
      <c r="S21" s="107"/>
      <c r="T21" s="107"/>
      <c r="U21" s="107"/>
    </row>
    <row r="23" spans="1:21" x14ac:dyDescent="0.25">
      <c r="B23" s="103" t="str">
        <f>HYPERLINK("#'Factor List'!A1","Back to Factor List")</f>
        <v>Back to Factor List</v>
      </c>
    </row>
    <row r="24" spans="1:21" x14ac:dyDescent="0.25">
      <c r="B24" s="103" t="s">
        <v>15</v>
      </c>
    </row>
    <row r="26" spans="1:21" ht="13" x14ac:dyDescent="0.25">
      <c r="A26" s="98" t="s">
        <v>408</v>
      </c>
      <c r="B26" s="98" t="s">
        <v>778</v>
      </c>
      <c r="C26" s="98" t="s">
        <v>779</v>
      </c>
      <c r="D26" s="98" t="s">
        <v>780</v>
      </c>
      <c r="E26" s="98" t="s">
        <v>781</v>
      </c>
      <c r="F26" s="98" t="s">
        <v>782</v>
      </c>
      <c r="G26" s="98" t="s">
        <v>783</v>
      </c>
      <c r="H26" s="98" t="s">
        <v>784</v>
      </c>
      <c r="I26" s="98" t="s">
        <v>785</v>
      </c>
      <c r="J26" s="98" t="s">
        <v>786</v>
      </c>
      <c r="K26" s="98" t="s">
        <v>787</v>
      </c>
      <c r="L26" s="98" t="s">
        <v>788</v>
      </c>
      <c r="M26" s="98" t="s">
        <v>789</v>
      </c>
      <c r="N26" s="98" t="s">
        <v>790</v>
      </c>
      <c r="O26" s="98" t="s">
        <v>791</v>
      </c>
      <c r="P26" s="98" t="s">
        <v>792</v>
      </c>
      <c r="Q26" s="98" t="s">
        <v>793</v>
      </c>
      <c r="R26" s="98" t="s">
        <v>794</v>
      </c>
      <c r="S26" s="98" t="s">
        <v>795</v>
      </c>
      <c r="T26" s="98" t="s">
        <v>796</v>
      </c>
      <c r="U26" s="98" t="s">
        <v>797</v>
      </c>
    </row>
    <row r="27" spans="1:21" x14ac:dyDescent="0.25">
      <c r="A27" s="99">
        <v>16</v>
      </c>
      <c r="B27" s="100">
        <v>222.2</v>
      </c>
      <c r="C27" s="100">
        <v>113.2</v>
      </c>
      <c r="D27" s="100">
        <v>76.8</v>
      </c>
      <c r="E27" s="100">
        <v>58.7</v>
      </c>
      <c r="F27" s="100">
        <v>47.8</v>
      </c>
      <c r="G27" s="100">
        <v>40.5</v>
      </c>
      <c r="H27" s="100">
        <v>35.4</v>
      </c>
      <c r="I27" s="100">
        <v>31.5</v>
      </c>
      <c r="J27" s="100">
        <v>28.5</v>
      </c>
      <c r="K27" s="100">
        <v>26.1</v>
      </c>
      <c r="L27" s="100">
        <v>24.1</v>
      </c>
      <c r="M27" s="100">
        <v>22.5</v>
      </c>
      <c r="N27" s="100">
        <v>21.1</v>
      </c>
      <c r="O27" s="100">
        <v>20</v>
      </c>
      <c r="P27" s="100">
        <v>19</v>
      </c>
      <c r="Q27" s="100">
        <v>18.100000000000001</v>
      </c>
      <c r="R27" s="100">
        <v>17.3</v>
      </c>
      <c r="S27" s="100">
        <v>16.600000000000001</v>
      </c>
      <c r="T27" s="100">
        <v>16</v>
      </c>
      <c r="U27" s="100">
        <v>15.5</v>
      </c>
    </row>
    <row r="28" spans="1:21" x14ac:dyDescent="0.25">
      <c r="A28" s="99">
        <v>17</v>
      </c>
      <c r="B28" s="100">
        <v>225.3</v>
      </c>
      <c r="C28" s="100">
        <v>114.7</v>
      </c>
      <c r="D28" s="100">
        <v>77.900000000000006</v>
      </c>
      <c r="E28" s="100">
        <v>59.5</v>
      </c>
      <c r="F28" s="100">
        <v>48.5</v>
      </c>
      <c r="G28" s="100">
        <v>41.1</v>
      </c>
      <c r="H28" s="100">
        <v>35.9</v>
      </c>
      <c r="I28" s="100">
        <v>31.9</v>
      </c>
      <c r="J28" s="100">
        <v>28.9</v>
      </c>
      <c r="K28" s="100">
        <v>26.5</v>
      </c>
      <c r="L28" s="100">
        <v>24.5</v>
      </c>
      <c r="M28" s="100">
        <v>22.8</v>
      </c>
      <c r="N28" s="100">
        <v>21.4</v>
      </c>
      <c r="O28" s="100">
        <v>20.3</v>
      </c>
      <c r="P28" s="100">
        <v>19.2</v>
      </c>
      <c r="Q28" s="100">
        <v>18.3</v>
      </c>
      <c r="R28" s="100">
        <v>17.5</v>
      </c>
      <c r="S28" s="100">
        <v>16.8</v>
      </c>
      <c r="T28" s="100">
        <v>16.2</v>
      </c>
      <c r="U28" s="100">
        <v>15.7</v>
      </c>
    </row>
    <row r="29" spans="1:21" x14ac:dyDescent="0.25">
      <c r="A29" s="99">
        <v>18</v>
      </c>
      <c r="B29" s="100">
        <v>228.3</v>
      </c>
      <c r="C29" s="100">
        <v>116.3</v>
      </c>
      <c r="D29" s="100">
        <v>79</v>
      </c>
      <c r="E29" s="100">
        <v>60.3</v>
      </c>
      <c r="F29" s="100">
        <v>49.1</v>
      </c>
      <c r="G29" s="100">
        <v>41.7</v>
      </c>
      <c r="H29" s="100">
        <v>36.4</v>
      </c>
      <c r="I29" s="100">
        <v>32.4</v>
      </c>
      <c r="J29" s="100">
        <v>29.3</v>
      </c>
      <c r="K29" s="100">
        <v>26.8</v>
      </c>
      <c r="L29" s="100">
        <v>24.8</v>
      </c>
      <c r="M29" s="100">
        <v>23.1</v>
      </c>
      <c r="N29" s="100">
        <v>21.7</v>
      </c>
      <c r="O29" s="100">
        <v>20.5</v>
      </c>
      <c r="P29" s="100">
        <v>19.5</v>
      </c>
      <c r="Q29" s="100">
        <v>18.600000000000001</v>
      </c>
      <c r="R29" s="100">
        <v>17.8</v>
      </c>
      <c r="S29" s="100">
        <v>17.100000000000001</v>
      </c>
      <c r="T29" s="100">
        <v>16.5</v>
      </c>
      <c r="U29" s="100">
        <v>15.9</v>
      </c>
    </row>
    <row r="30" spans="1:21" x14ac:dyDescent="0.25">
      <c r="A30" s="99">
        <v>19</v>
      </c>
      <c r="B30" s="100">
        <v>231.4</v>
      </c>
      <c r="C30" s="100">
        <v>117.9</v>
      </c>
      <c r="D30" s="100">
        <v>80</v>
      </c>
      <c r="E30" s="100">
        <v>61.1</v>
      </c>
      <c r="F30" s="100">
        <v>49.8</v>
      </c>
      <c r="G30" s="100">
        <v>42.2</v>
      </c>
      <c r="H30" s="100">
        <v>36.9</v>
      </c>
      <c r="I30" s="100">
        <v>32.799999999999997</v>
      </c>
      <c r="J30" s="100">
        <v>29.7</v>
      </c>
      <c r="K30" s="100">
        <v>27.2</v>
      </c>
      <c r="L30" s="100">
        <v>25.2</v>
      </c>
      <c r="M30" s="100">
        <v>23.5</v>
      </c>
      <c r="N30" s="100">
        <v>22</v>
      </c>
      <c r="O30" s="100">
        <v>20.8</v>
      </c>
      <c r="P30" s="100">
        <v>19.8</v>
      </c>
      <c r="Q30" s="100">
        <v>18.8</v>
      </c>
      <c r="R30" s="100">
        <v>18</v>
      </c>
      <c r="S30" s="100">
        <v>17.3</v>
      </c>
      <c r="T30" s="100">
        <v>16.7</v>
      </c>
      <c r="U30" s="100">
        <v>16.100000000000001</v>
      </c>
    </row>
    <row r="31" spans="1:21" x14ac:dyDescent="0.25">
      <c r="A31" s="99">
        <v>20</v>
      </c>
      <c r="B31" s="100">
        <v>234.6</v>
      </c>
      <c r="C31" s="100">
        <v>119.5</v>
      </c>
      <c r="D31" s="100">
        <v>81.099999999999994</v>
      </c>
      <c r="E31" s="100">
        <v>61.9</v>
      </c>
      <c r="F31" s="100">
        <v>50.5</v>
      </c>
      <c r="G31" s="100">
        <v>42.8</v>
      </c>
      <c r="H31" s="100">
        <v>37.4</v>
      </c>
      <c r="I31" s="100">
        <v>33.299999999999997</v>
      </c>
      <c r="J31" s="100">
        <v>30.1</v>
      </c>
      <c r="K31" s="100">
        <v>27.6</v>
      </c>
      <c r="L31" s="100">
        <v>25.5</v>
      </c>
      <c r="M31" s="100">
        <v>23.8</v>
      </c>
      <c r="N31" s="100">
        <v>22.3</v>
      </c>
      <c r="O31" s="100">
        <v>21.1</v>
      </c>
      <c r="P31" s="100">
        <v>20</v>
      </c>
      <c r="Q31" s="100">
        <v>19.100000000000001</v>
      </c>
      <c r="R31" s="100">
        <v>18.3</v>
      </c>
      <c r="S31" s="100">
        <v>17.600000000000001</v>
      </c>
      <c r="T31" s="100">
        <v>16.899999999999999</v>
      </c>
      <c r="U31" s="100">
        <v>16.3</v>
      </c>
    </row>
    <row r="32" spans="1:21" x14ac:dyDescent="0.25">
      <c r="A32" s="99">
        <v>21</v>
      </c>
      <c r="B32" s="100">
        <v>237.7</v>
      </c>
      <c r="C32" s="100">
        <v>121</v>
      </c>
      <c r="D32" s="100">
        <v>82.2</v>
      </c>
      <c r="E32" s="100">
        <v>62.8</v>
      </c>
      <c r="F32" s="100">
        <v>51.1</v>
      </c>
      <c r="G32" s="100">
        <v>43.4</v>
      </c>
      <c r="H32" s="100">
        <v>37.9</v>
      </c>
      <c r="I32" s="100">
        <v>33.700000000000003</v>
      </c>
      <c r="J32" s="100">
        <v>30.5</v>
      </c>
      <c r="K32" s="100">
        <v>27.9</v>
      </c>
      <c r="L32" s="100">
        <v>25.8</v>
      </c>
      <c r="M32" s="100">
        <v>24.1</v>
      </c>
      <c r="N32" s="100">
        <v>22.6</v>
      </c>
      <c r="O32" s="100">
        <v>21.4</v>
      </c>
      <c r="P32" s="100">
        <v>20.3</v>
      </c>
      <c r="Q32" s="100">
        <v>19.399999999999999</v>
      </c>
      <c r="R32" s="100">
        <v>18.5</v>
      </c>
      <c r="S32" s="100">
        <v>17.8</v>
      </c>
      <c r="T32" s="100">
        <v>17.100000000000001</v>
      </c>
      <c r="U32" s="100">
        <v>16.600000000000001</v>
      </c>
    </row>
    <row r="33" spans="1:21" x14ac:dyDescent="0.25">
      <c r="A33" s="99">
        <v>22</v>
      </c>
      <c r="B33" s="100">
        <v>240.8</v>
      </c>
      <c r="C33" s="100">
        <v>122.7</v>
      </c>
      <c r="D33" s="100">
        <v>83.3</v>
      </c>
      <c r="E33" s="100">
        <v>63.6</v>
      </c>
      <c r="F33" s="100">
        <v>51.8</v>
      </c>
      <c r="G33" s="100">
        <v>44</v>
      </c>
      <c r="H33" s="100">
        <v>38.4</v>
      </c>
      <c r="I33" s="100">
        <v>34.200000000000003</v>
      </c>
      <c r="J33" s="100">
        <v>30.9</v>
      </c>
      <c r="K33" s="100">
        <v>28.3</v>
      </c>
      <c r="L33" s="100">
        <v>26.2</v>
      </c>
      <c r="M33" s="100">
        <v>24.4</v>
      </c>
      <c r="N33" s="100">
        <v>22.9</v>
      </c>
      <c r="O33" s="100">
        <v>21.7</v>
      </c>
      <c r="P33" s="100">
        <v>20.6</v>
      </c>
      <c r="Q33" s="100">
        <v>19.600000000000001</v>
      </c>
      <c r="R33" s="100">
        <v>18.8</v>
      </c>
      <c r="S33" s="100">
        <v>18</v>
      </c>
      <c r="T33" s="100">
        <v>17.399999999999999</v>
      </c>
      <c r="U33" s="100">
        <v>16.8</v>
      </c>
    </row>
    <row r="34" spans="1:21" x14ac:dyDescent="0.25">
      <c r="A34" s="99">
        <v>23</v>
      </c>
      <c r="B34" s="100">
        <v>244</v>
      </c>
      <c r="C34" s="100">
        <v>124.3</v>
      </c>
      <c r="D34" s="100">
        <v>84.4</v>
      </c>
      <c r="E34" s="100">
        <v>64.5</v>
      </c>
      <c r="F34" s="100">
        <v>52.5</v>
      </c>
      <c r="G34" s="100">
        <v>44.5</v>
      </c>
      <c r="H34" s="100">
        <v>38.9</v>
      </c>
      <c r="I34" s="100">
        <v>34.6</v>
      </c>
      <c r="J34" s="100">
        <v>31.3</v>
      </c>
      <c r="K34" s="100">
        <v>28.7</v>
      </c>
      <c r="L34" s="100">
        <v>26.5</v>
      </c>
      <c r="M34" s="100">
        <v>24.8</v>
      </c>
      <c r="N34" s="100">
        <v>23.3</v>
      </c>
      <c r="O34" s="100">
        <v>22</v>
      </c>
      <c r="P34" s="100">
        <v>20.9</v>
      </c>
      <c r="Q34" s="100">
        <v>19.899999999999999</v>
      </c>
      <c r="R34" s="100">
        <v>19</v>
      </c>
      <c r="S34" s="100">
        <v>18.3</v>
      </c>
      <c r="T34" s="100">
        <v>17.600000000000001</v>
      </c>
      <c r="U34" s="100">
        <v>17</v>
      </c>
    </row>
    <row r="35" spans="1:21" x14ac:dyDescent="0.25">
      <c r="A35" s="99">
        <v>24</v>
      </c>
      <c r="B35" s="100">
        <v>247.3</v>
      </c>
      <c r="C35" s="100">
        <v>125.9</v>
      </c>
      <c r="D35" s="100">
        <v>85.5</v>
      </c>
      <c r="E35" s="100">
        <v>65.3</v>
      </c>
      <c r="F35" s="100">
        <v>53.2</v>
      </c>
      <c r="G35" s="100">
        <v>45.1</v>
      </c>
      <c r="H35" s="100">
        <v>39.4</v>
      </c>
      <c r="I35" s="100">
        <v>35.1</v>
      </c>
      <c r="J35" s="100">
        <v>31.7</v>
      </c>
      <c r="K35" s="100">
        <v>29.1</v>
      </c>
      <c r="L35" s="100">
        <v>26.9</v>
      </c>
      <c r="M35" s="100">
        <v>25.1</v>
      </c>
      <c r="N35" s="100">
        <v>23.6</v>
      </c>
      <c r="O35" s="100">
        <v>22.3</v>
      </c>
      <c r="P35" s="100">
        <v>21.1</v>
      </c>
      <c r="Q35" s="100">
        <v>20.2</v>
      </c>
      <c r="R35" s="100">
        <v>19.3</v>
      </c>
      <c r="S35" s="100">
        <v>18.5</v>
      </c>
      <c r="T35" s="100">
        <v>17.899999999999999</v>
      </c>
      <c r="U35" s="100">
        <v>17.2</v>
      </c>
    </row>
    <row r="36" spans="1:21" x14ac:dyDescent="0.25">
      <c r="A36" s="99">
        <v>25</v>
      </c>
      <c r="B36" s="100">
        <v>250.6</v>
      </c>
      <c r="C36" s="100">
        <v>127.6</v>
      </c>
      <c r="D36" s="100">
        <v>86.6</v>
      </c>
      <c r="E36" s="100">
        <v>66.2</v>
      </c>
      <c r="F36" s="100">
        <v>53.9</v>
      </c>
      <c r="G36" s="100">
        <v>45.7</v>
      </c>
      <c r="H36" s="100">
        <v>39.9</v>
      </c>
      <c r="I36" s="100">
        <v>35.6</v>
      </c>
      <c r="J36" s="100">
        <v>32.200000000000003</v>
      </c>
      <c r="K36" s="100">
        <v>29.5</v>
      </c>
      <c r="L36" s="100">
        <v>27.3</v>
      </c>
      <c r="M36" s="100">
        <v>25.4</v>
      </c>
      <c r="N36" s="100">
        <v>23.9</v>
      </c>
      <c r="O36" s="100">
        <v>22.6</v>
      </c>
      <c r="P36" s="100">
        <v>21.4</v>
      </c>
      <c r="Q36" s="100">
        <v>20.399999999999999</v>
      </c>
      <c r="R36" s="100">
        <v>19.600000000000001</v>
      </c>
      <c r="S36" s="100">
        <v>18.8</v>
      </c>
      <c r="T36" s="100">
        <v>18.100000000000001</v>
      </c>
      <c r="U36" s="100">
        <v>17.5</v>
      </c>
    </row>
    <row r="37" spans="1:21" x14ac:dyDescent="0.25">
      <c r="A37" s="99">
        <v>26</v>
      </c>
      <c r="B37" s="100">
        <v>253.9</v>
      </c>
      <c r="C37" s="100">
        <v>129.30000000000001</v>
      </c>
      <c r="D37" s="100">
        <v>87.8</v>
      </c>
      <c r="E37" s="100">
        <v>67.099999999999994</v>
      </c>
      <c r="F37" s="100">
        <v>54.6</v>
      </c>
      <c r="G37" s="100">
        <v>46.3</v>
      </c>
      <c r="H37" s="100">
        <v>40.4</v>
      </c>
      <c r="I37" s="100">
        <v>36</v>
      </c>
      <c r="J37" s="100">
        <v>32.6</v>
      </c>
      <c r="K37" s="100">
        <v>29.9</v>
      </c>
      <c r="L37" s="100">
        <v>27.6</v>
      </c>
      <c r="M37" s="100">
        <v>25.8</v>
      </c>
      <c r="N37" s="100">
        <v>24.2</v>
      </c>
      <c r="O37" s="100">
        <v>22.9</v>
      </c>
      <c r="P37" s="100">
        <v>21.7</v>
      </c>
      <c r="Q37" s="100">
        <v>20.7</v>
      </c>
      <c r="R37" s="100">
        <v>19.8</v>
      </c>
      <c r="S37" s="100">
        <v>19</v>
      </c>
      <c r="T37" s="100">
        <v>18.3</v>
      </c>
      <c r="U37" s="100">
        <v>17.7</v>
      </c>
    </row>
    <row r="38" spans="1:21" x14ac:dyDescent="0.25">
      <c r="A38" s="99">
        <v>27</v>
      </c>
      <c r="B38" s="100">
        <v>257.2</v>
      </c>
      <c r="C38" s="100">
        <v>131</v>
      </c>
      <c r="D38" s="100">
        <v>88.9</v>
      </c>
      <c r="E38" s="100">
        <v>67.900000000000006</v>
      </c>
      <c r="F38" s="100">
        <v>55.3</v>
      </c>
      <c r="G38" s="100">
        <v>47</v>
      </c>
      <c r="H38" s="100">
        <v>41</v>
      </c>
      <c r="I38" s="100">
        <v>36.5</v>
      </c>
      <c r="J38" s="100">
        <v>33</v>
      </c>
      <c r="K38" s="100">
        <v>30.3</v>
      </c>
      <c r="L38" s="100">
        <v>28</v>
      </c>
      <c r="M38" s="100">
        <v>26.1</v>
      </c>
      <c r="N38" s="100">
        <v>24.5</v>
      </c>
      <c r="O38" s="100">
        <v>23.2</v>
      </c>
      <c r="P38" s="100">
        <v>22</v>
      </c>
      <c r="Q38" s="100">
        <v>21</v>
      </c>
      <c r="R38" s="100">
        <v>20.100000000000001</v>
      </c>
      <c r="S38" s="100">
        <v>19.3</v>
      </c>
      <c r="T38" s="100">
        <v>18.600000000000001</v>
      </c>
      <c r="U38" s="100">
        <v>18</v>
      </c>
    </row>
    <row r="39" spans="1:21" x14ac:dyDescent="0.25">
      <c r="A39" s="99">
        <v>28</v>
      </c>
      <c r="B39" s="100">
        <v>260.60000000000002</v>
      </c>
      <c r="C39" s="100">
        <v>132.69999999999999</v>
      </c>
      <c r="D39" s="100">
        <v>90.1</v>
      </c>
      <c r="E39" s="100">
        <v>68.8</v>
      </c>
      <c r="F39" s="100">
        <v>56.1</v>
      </c>
      <c r="G39" s="100">
        <v>47.6</v>
      </c>
      <c r="H39" s="100">
        <v>41.5</v>
      </c>
      <c r="I39" s="100">
        <v>37</v>
      </c>
      <c r="J39" s="100">
        <v>33.5</v>
      </c>
      <c r="K39" s="100">
        <v>30.7</v>
      </c>
      <c r="L39" s="100">
        <v>28.4</v>
      </c>
      <c r="M39" s="100">
        <v>26.5</v>
      </c>
      <c r="N39" s="100">
        <v>24.9</v>
      </c>
      <c r="O39" s="100">
        <v>23.5</v>
      </c>
      <c r="P39" s="100">
        <v>22.3</v>
      </c>
      <c r="Q39" s="100">
        <v>21.3</v>
      </c>
      <c r="R39" s="100">
        <v>20.399999999999999</v>
      </c>
      <c r="S39" s="100">
        <v>19.600000000000001</v>
      </c>
      <c r="T39" s="100">
        <v>18.899999999999999</v>
      </c>
      <c r="U39" s="100">
        <v>18.2</v>
      </c>
    </row>
    <row r="40" spans="1:21" x14ac:dyDescent="0.25">
      <c r="A40" s="99">
        <v>29</v>
      </c>
      <c r="B40" s="100">
        <v>264</v>
      </c>
      <c r="C40" s="100">
        <v>134.5</v>
      </c>
      <c r="D40" s="100">
        <v>91.3</v>
      </c>
      <c r="E40" s="100">
        <v>69.7</v>
      </c>
      <c r="F40" s="100">
        <v>56.8</v>
      </c>
      <c r="G40" s="100">
        <v>48.2</v>
      </c>
      <c r="H40" s="100">
        <v>42.1</v>
      </c>
      <c r="I40" s="100">
        <v>37.5</v>
      </c>
      <c r="J40" s="100">
        <v>33.9</v>
      </c>
      <c r="K40" s="100">
        <v>31.1</v>
      </c>
      <c r="L40" s="100">
        <v>28.8</v>
      </c>
      <c r="M40" s="100">
        <v>26.8</v>
      </c>
      <c r="N40" s="100">
        <v>25.2</v>
      </c>
      <c r="O40" s="100">
        <v>23.8</v>
      </c>
      <c r="P40" s="100">
        <v>22.6</v>
      </c>
      <c r="Q40" s="100">
        <v>21.6</v>
      </c>
      <c r="R40" s="100">
        <v>20.7</v>
      </c>
      <c r="S40" s="100">
        <v>19.8</v>
      </c>
      <c r="T40" s="100">
        <v>19.100000000000001</v>
      </c>
      <c r="U40" s="100">
        <v>18.5</v>
      </c>
    </row>
    <row r="41" spans="1:21" x14ac:dyDescent="0.25">
      <c r="A41" s="99">
        <v>30</v>
      </c>
      <c r="B41" s="100">
        <v>267.5</v>
      </c>
      <c r="C41" s="100">
        <v>136.19999999999999</v>
      </c>
      <c r="D41" s="100">
        <v>92.5</v>
      </c>
      <c r="E41" s="100">
        <v>70.7</v>
      </c>
      <c r="F41" s="100">
        <v>57.6</v>
      </c>
      <c r="G41" s="100">
        <v>48.9</v>
      </c>
      <c r="H41" s="100">
        <v>42.6</v>
      </c>
      <c r="I41" s="100">
        <v>38</v>
      </c>
      <c r="J41" s="100">
        <v>34.4</v>
      </c>
      <c r="K41" s="100">
        <v>31.5</v>
      </c>
      <c r="L41" s="100">
        <v>29.1</v>
      </c>
      <c r="M41" s="100">
        <v>27.2</v>
      </c>
      <c r="N41" s="100">
        <v>25.5</v>
      </c>
      <c r="O41" s="100">
        <v>24.1</v>
      </c>
      <c r="P41" s="100">
        <v>22.9</v>
      </c>
      <c r="Q41" s="100">
        <v>21.9</v>
      </c>
      <c r="R41" s="100">
        <v>20.9</v>
      </c>
      <c r="S41" s="100">
        <v>20.100000000000001</v>
      </c>
      <c r="T41" s="100">
        <v>19.399999999999999</v>
      </c>
      <c r="U41" s="100">
        <v>18.7</v>
      </c>
    </row>
    <row r="42" spans="1:21" x14ac:dyDescent="0.25">
      <c r="A42" s="99">
        <v>31</v>
      </c>
      <c r="B42" s="100">
        <v>271</v>
      </c>
      <c r="C42" s="100">
        <v>138</v>
      </c>
      <c r="D42" s="100">
        <v>93.7</v>
      </c>
      <c r="E42" s="100">
        <v>71.599999999999994</v>
      </c>
      <c r="F42" s="100">
        <v>58.3</v>
      </c>
      <c r="G42" s="100">
        <v>49.5</v>
      </c>
      <c r="H42" s="100">
        <v>43.2</v>
      </c>
      <c r="I42" s="100">
        <v>38.5</v>
      </c>
      <c r="J42" s="100">
        <v>34.799999999999997</v>
      </c>
      <c r="K42" s="100">
        <v>31.9</v>
      </c>
      <c r="L42" s="100">
        <v>29.5</v>
      </c>
      <c r="M42" s="100">
        <v>27.6</v>
      </c>
      <c r="N42" s="100">
        <v>25.9</v>
      </c>
      <c r="O42" s="100">
        <v>24.5</v>
      </c>
      <c r="P42" s="100">
        <v>23.2</v>
      </c>
      <c r="Q42" s="100">
        <v>22.2</v>
      </c>
      <c r="R42" s="100">
        <v>21.2</v>
      </c>
      <c r="S42" s="100">
        <v>20.399999999999999</v>
      </c>
      <c r="T42" s="100">
        <v>19.7</v>
      </c>
      <c r="U42" s="100">
        <v>19</v>
      </c>
    </row>
    <row r="43" spans="1:21" x14ac:dyDescent="0.25">
      <c r="A43" s="99">
        <v>32</v>
      </c>
      <c r="B43" s="100">
        <v>274.5</v>
      </c>
      <c r="C43" s="100">
        <v>139.80000000000001</v>
      </c>
      <c r="D43" s="100">
        <v>95</v>
      </c>
      <c r="E43" s="100">
        <v>72.599999999999994</v>
      </c>
      <c r="F43" s="100">
        <v>59.1</v>
      </c>
      <c r="G43" s="100">
        <v>50.2</v>
      </c>
      <c r="H43" s="100">
        <v>43.8</v>
      </c>
      <c r="I43" s="100">
        <v>39</v>
      </c>
      <c r="J43" s="100">
        <v>35.299999999999997</v>
      </c>
      <c r="K43" s="100">
        <v>32.4</v>
      </c>
      <c r="L43" s="100">
        <v>29.9</v>
      </c>
      <c r="M43" s="100">
        <v>27.9</v>
      </c>
      <c r="N43" s="100">
        <v>26.2</v>
      </c>
      <c r="O43" s="100">
        <v>24.8</v>
      </c>
      <c r="P43" s="100">
        <v>23.6</v>
      </c>
      <c r="Q43" s="100">
        <v>22.5</v>
      </c>
      <c r="R43" s="100">
        <v>21.5</v>
      </c>
      <c r="S43" s="100">
        <v>20.7</v>
      </c>
      <c r="T43" s="100">
        <v>19.899999999999999</v>
      </c>
      <c r="U43" s="100">
        <v>19.3</v>
      </c>
    </row>
    <row r="44" spans="1:21" x14ac:dyDescent="0.25">
      <c r="A44" s="99">
        <v>33</v>
      </c>
      <c r="B44" s="100">
        <v>278.10000000000002</v>
      </c>
      <c r="C44" s="100">
        <v>141.69999999999999</v>
      </c>
      <c r="D44" s="100">
        <v>96.2</v>
      </c>
      <c r="E44" s="100">
        <v>73.5</v>
      </c>
      <c r="F44" s="100">
        <v>59.9</v>
      </c>
      <c r="G44" s="100">
        <v>50.8</v>
      </c>
      <c r="H44" s="100">
        <v>44.4</v>
      </c>
      <c r="I44" s="100">
        <v>39.5</v>
      </c>
      <c r="J44" s="100">
        <v>35.799999999999997</v>
      </c>
      <c r="K44" s="100">
        <v>32.799999999999997</v>
      </c>
      <c r="L44" s="100">
        <v>30.3</v>
      </c>
      <c r="M44" s="100">
        <v>28.3</v>
      </c>
      <c r="N44" s="100">
        <v>26.6</v>
      </c>
      <c r="O44" s="100">
        <v>25.1</v>
      </c>
      <c r="P44" s="100">
        <v>23.9</v>
      </c>
      <c r="Q44" s="100">
        <v>22.8</v>
      </c>
      <c r="R44" s="100">
        <v>21.8</v>
      </c>
      <c r="S44" s="100">
        <v>21</v>
      </c>
      <c r="T44" s="100">
        <v>20.2</v>
      </c>
      <c r="U44" s="100">
        <v>19.5</v>
      </c>
    </row>
    <row r="45" spans="1:21" x14ac:dyDescent="0.25">
      <c r="A45" s="99">
        <v>34</v>
      </c>
      <c r="B45" s="100">
        <v>281.7</v>
      </c>
      <c r="C45" s="100">
        <v>143.5</v>
      </c>
      <c r="D45" s="100">
        <v>97.5</v>
      </c>
      <c r="E45" s="100">
        <v>74.5</v>
      </c>
      <c r="F45" s="100">
        <v>60.7</v>
      </c>
      <c r="G45" s="100">
        <v>51.5</v>
      </c>
      <c r="H45" s="100">
        <v>45</v>
      </c>
      <c r="I45" s="100">
        <v>40.1</v>
      </c>
      <c r="J45" s="100">
        <v>36.299999999999997</v>
      </c>
      <c r="K45" s="100">
        <v>33.200000000000003</v>
      </c>
      <c r="L45" s="100">
        <v>30.8</v>
      </c>
      <c r="M45" s="100">
        <v>28.7</v>
      </c>
      <c r="N45" s="100">
        <v>27</v>
      </c>
      <c r="O45" s="100">
        <v>25.5</v>
      </c>
      <c r="P45" s="100">
        <v>24.2</v>
      </c>
      <c r="Q45" s="100">
        <v>23.1</v>
      </c>
      <c r="R45" s="100">
        <v>22.1</v>
      </c>
      <c r="S45" s="100">
        <v>21.3</v>
      </c>
      <c r="T45" s="100">
        <v>20.5</v>
      </c>
      <c r="U45" s="100">
        <v>19.8</v>
      </c>
    </row>
    <row r="46" spans="1:21" x14ac:dyDescent="0.25">
      <c r="A46" s="99">
        <v>35</v>
      </c>
      <c r="B46" s="100">
        <v>285.3</v>
      </c>
      <c r="C46" s="100">
        <v>145.4</v>
      </c>
      <c r="D46" s="100">
        <v>98.7</v>
      </c>
      <c r="E46" s="100">
        <v>75.400000000000006</v>
      </c>
      <c r="F46" s="100">
        <v>61.5</v>
      </c>
      <c r="G46" s="100">
        <v>52.2</v>
      </c>
      <c r="H46" s="100">
        <v>45.6</v>
      </c>
      <c r="I46" s="100">
        <v>40.6</v>
      </c>
      <c r="J46" s="100">
        <v>36.700000000000003</v>
      </c>
      <c r="K46" s="100">
        <v>33.700000000000003</v>
      </c>
      <c r="L46" s="100">
        <v>31.2</v>
      </c>
      <c r="M46" s="100">
        <v>29.1</v>
      </c>
      <c r="N46" s="100">
        <v>27.3</v>
      </c>
      <c r="O46" s="100">
        <v>25.8</v>
      </c>
      <c r="P46" s="100">
        <v>24.5</v>
      </c>
      <c r="Q46" s="100">
        <v>23.4</v>
      </c>
      <c r="R46" s="100">
        <v>22.4</v>
      </c>
      <c r="S46" s="100">
        <v>21.6</v>
      </c>
      <c r="T46" s="100">
        <v>20.8</v>
      </c>
      <c r="U46" s="100">
        <v>20.100000000000001</v>
      </c>
    </row>
    <row r="47" spans="1:21" x14ac:dyDescent="0.25">
      <c r="A47" s="99">
        <v>36</v>
      </c>
      <c r="B47" s="100">
        <v>289</v>
      </c>
      <c r="C47" s="100">
        <v>147.30000000000001</v>
      </c>
      <c r="D47" s="100">
        <v>100</v>
      </c>
      <c r="E47" s="100">
        <v>76.400000000000006</v>
      </c>
      <c r="F47" s="100">
        <v>62.3</v>
      </c>
      <c r="G47" s="100">
        <v>52.9</v>
      </c>
      <c r="H47" s="100">
        <v>46.2</v>
      </c>
      <c r="I47" s="100">
        <v>41.1</v>
      </c>
      <c r="J47" s="100">
        <v>37.200000000000003</v>
      </c>
      <c r="K47" s="100">
        <v>34.1</v>
      </c>
      <c r="L47" s="100">
        <v>31.6</v>
      </c>
      <c r="M47" s="100">
        <v>29.5</v>
      </c>
      <c r="N47" s="100">
        <v>27.7</v>
      </c>
      <c r="O47" s="100">
        <v>26.2</v>
      </c>
      <c r="P47" s="100">
        <v>24.9</v>
      </c>
      <c r="Q47" s="100">
        <v>23.8</v>
      </c>
      <c r="R47" s="100">
        <v>22.8</v>
      </c>
      <c r="S47" s="100">
        <v>21.9</v>
      </c>
      <c r="T47" s="100">
        <v>21.1</v>
      </c>
      <c r="U47" s="100">
        <v>20.399999999999999</v>
      </c>
    </row>
    <row r="48" spans="1:21" x14ac:dyDescent="0.25">
      <c r="A48" s="99">
        <v>37</v>
      </c>
      <c r="B48" s="100">
        <v>292.7</v>
      </c>
      <c r="C48" s="100">
        <v>149.19999999999999</v>
      </c>
      <c r="D48" s="100">
        <v>101.3</v>
      </c>
      <c r="E48" s="100">
        <v>77.400000000000006</v>
      </c>
      <c r="F48" s="100">
        <v>63.1</v>
      </c>
      <c r="G48" s="100">
        <v>53.6</v>
      </c>
      <c r="H48" s="100">
        <v>46.8</v>
      </c>
      <c r="I48" s="100">
        <v>41.7</v>
      </c>
      <c r="J48" s="100">
        <v>37.700000000000003</v>
      </c>
      <c r="K48" s="100">
        <v>34.6</v>
      </c>
      <c r="L48" s="100">
        <v>32</v>
      </c>
      <c r="M48" s="100">
        <v>29.9</v>
      </c>
      <c r="N48" s="100">
        <v>28.1</v>
      </c>
      <c r="O48" s="100">
        <v>26.6</v>
      </c>
      <c r="P48" s="100">
        <v>25.2</v>
      </c>
      <c r="Q48" s="100">
        <v>24.1</v>
      </c>
      <c r="R48" s="100">
        <v>23.1</v>
      </c>
      <c r="S48" s="100">
        <v>22.2</v>
      </c>
      <c r="T48" s="100">
        <v>21.4</v>
      </c>
      <c r="U48" s="100">
        <v>20.7</v>
      </c>
    </row>
    <row r="49" spans="1:21" x14ac:dyDescent="0.25">
      <c r="A49" s="99">
        <v>38</v>
      </c>
      <c r="B49" s="100">
        <v>296.5</v>
      </c>
      <c r="C49" s="100">
        <v>151.1</v>
      </c>
      <c r="D49" s="100">
        <v>102.6</v>
      </c>
      <c r="E49" s="100">
        <v>78.400000000000006</v>
      </c>
      <c r="F49" s="100">
        <v>63.9</v>
      </c>
      <c r="G49" s="100">
        <v>54.3</v>
      </c>
      <c r="H49" s="100">
        <v>47.4</v>
      </c>
      <c r="I49" s="100">
        <v>42.2</v>
      </c>
      <c r="J49" s="100">
        <v>38.200000000000003</v>
      </c>
      <c r="K49" s="100">
        <v>35.1</v>
      </c>
      <c r="L49" s="100">
        <v>32.5</v>
      </c>
      <c r="M49" s="100">
        <v>30.3</v>
      </c>
      <c r="N49" s="100">
        <v>28.5</v>
      </c>
      <c r="O49" s="100">
        <v>26.9</v>
      </c>
      <c r="P49" s="100">
        <v>25.6</v>
      </c>
      <c r="Q49" s="100">
        <v>24.4</v>
      </c>
      <c r="R49" s="100">
        <v>23.4</v>
      </c>
      <c r="S49" s="100">
        <v>22.5</v>
      </c>
      <c r="T49" s="100">
        <v>21.7</v>
      </c>
      <c r="U49" s="100">
        <v>21</v>
      </c>
    </row>
    <row r="50" spans="1:21" x14ac:dyDescent="0.25">
      <c r="A50" s="99">
        <v>39</v>
      </c>
      <c r="B50" s="100">
        <v>300.3</v>
      </c>
      <c r="C50" s="100">
        <v>153</v>
      </c>
      <c r="D50" s="100">
        <v>104</v>
      </c>
      <c r="E50" s="100">
        <v>79.5</v>
      </c>
      <c r="F50" s="100">
        <v>64.8</v>
      </c>
      <c r="G50" s="100">
        <v>55</v>
      </c>
      <c r="H50" s="100">
        <v>48</v>
      </c>
      <c r="I50" s="100">
        <v>42.8</v>
      </c>
      <c r="J50" s="100">
        <v>38.799999999999997</v>
      </c>
      <c r="K50" s="100">
        <v>35.5</v>
      </c>
      <c r="L50" s="100">
        <v>32.9</v>
      </c>
      <c r="M50" s="100">
        <v>30.7</v>
      </c>
      <c r="N50" s="100">
        <v>28.9</v>
      </c>
      <c r="O50" s="100">
        <v>27.3</v>
      </c>
      <c r="P50" s="100">
        <v>26</v>
      </c>
      <c r="Q50" s="100">
        <v>24.8</v>
      </c>
      <c r="R50" s="100">
        <v>23.8</v>
      </c>
      <c r="S50" s="100">
        <v>22.9</v>
      </c>
      <c r="T50" s="100">
        <v>22.1</v>
      </c>
      <c r="U50" s="100">
        <v>21.4</v>
      </c>
    </row>
    <row r="51" spans="1:21" x14ac:dyDescent="0.25">
      <c r="A51" s="99">
        <v>40</v>
      </c>
      <c r="B51" s="100">
        <v>304.2</v>
      </c>
      <c r="C51" s="100">
        <v>155</v>
      </c>
      <c r="D51" s="100">
        <v>105.3</v>
      </c>
      <c r="E51" s="100">
        <v>80.5</v>
      </c>
      <c r="F51" s="100">
        <v>65.599999999999994</v>
      </c>
      <c r="G51" s="100">
        <v>55.7</v>
      </c>
      <c r="H51" s="100">
        <v>48.7</v>
      </c>
      <c r="I51" s="100">
        <v>43.4</v>
      </c>
      <c r="J51" s="100">
        <v>39.299999999999997</v>
      </c>
      <c r="K51" s="100">
        <v>36</v>
      </c>
      <c r="L51" s="100">
        <v>33.4</v>
      </c>
      <c r="M51" s="100">
        <v>31.1</v>
      </c>
      <c r="N51" s="100">
        <v>29.3</v>
      </c>
      <c r="O51" s="100">
        <v>27.7</v>
      </c>
      <c r="P51" s="100">
        <v>26.3</v>
      </c>
      <c r="Q51" s="100">
        <v>25.2</v>
      </c>
      <c r="R51" s="100">
        <v>24.1</v>
      </c>
      <c r="S51" s="100">
        <v>23.2</v>
      </c>
      <c r="T51" s="100">
        <v>22.4</v>
      </c>
      <c r="U51" s="100">
        <v>21.7</v>
      </c>
    </row>
    <row r="52" spans="1:21" x14ac:dyDescent="0.25">
      <c r="A52" s="99">
        <v>41</v>
      </c>
      <c r="B52" s="100">
        <v>308.10000000000002</v>
      </c>
      <c r="C52" s="100">
        <v>157</v>
      </c>
      <c r="D52" s="100">
        <v>106.7</v>
      </c>
      <c r="E52" s="100">
        <v>81.599999999999994</v>
      </c>
      <c r="F52" s="100">
        <v>66.5</v>
      </c>
      <c r="G52" s="100">
        <v>56.5</v>
      </c>
      <c r="H52" s="100">
        <v>49.3</v>
      </c>
      <c r="I52" s="100">
        <v>44</v>
      </c>
      <c r="J52" s="100">
        <v>39.799999999999997</v>
      </c>
      <c r="K52" s="100">
        <v>36.5</v>
      </c>
      <c r="L52" s="100">
        <v>33.799999999999997</v>
      </c>
      <c r="M52" s="100">
        <v>31.6</v>
      </c>
      <c r="N52" s="100">
        <v>29.7</v>
      </c>
      <c r="O52" s="100">
        <v>28.1</v>
      </c>
      <c r="P52" s="100">
        <v>26.7</v>
      </c>
      <c r="Q52" s="100">
        <v>25.5</v>
      </c>
      <c r="R52" s="100">
        <v>24.5</v>
      </c>
      <c r="S52" s="100">
        <v>23.6</v>
      </c>
      <c r="T52" s="100">
        <v>22.8</v>
      </c>
      <c r="U52" s="100">
        <v>22.1</v>
      </c>
    </row>
    <row r="53" spans="1:21" x14ac:dyDescent="0.25">
      <c r="A53" s="99">
        <v>42</v>
      </c>
      <c r="B53" s="100">
        <v>312</v>
      </c>
      <c r="C53" s="100">
        <v>159.1</v>
      </c>
      <c r="D53" s="100">
        <v>108.1</v>
      </c>
      <c r="E53" s="100">
        <v>82.6</v>
      </c>
      <c r="F53" s="100">
        <v>67.400000000000006</v>
      </c>
      <c r="G53" s="100">
        <v>57.2</v>
      </c>
      <c r="H53" s="100">
        <v>50</v>
      </c>
      <c r="I53" s="100">
        <v>44.6</v>
      </c>
      <c r="J53" s="100">
        <v>40.4</v>
      </c>
      <c r="K53" s="100">
        <v>37</v>
      </c>
      <c r="L53" s="100">
        <v>34.299999999999997</v>
      </c>
      <c r="M53" s="100">
        <v>32</v>
      </c>
      <c r="N53" s="100">
        <v>30.1</v>
      </c>
      <c r="O53" s="100">
        <v>28.5</v>
      </c>
      <c r="P53" s="100">
        <v>27.1</v>
      </c>
      <c r="Q53" s="100">
        <v>25.9</v>
      </c>
      <c r="R53" s="100">
        <v>24.9</v>
      </c>
      <c r="S53" s="100">
        <v>24</v>
      </c>
      <c r="T53" s="100">
        <v>23.1</v>
      </c>
      <c r="U53" s="100">
        <v>22.4</v>
      </c>
    </row>
    <row r="54" spans="1:21" x14ac:dyDescent="0.25">
      <c r="A54" s="99">
        <v>43</v>
      </c>
      <c r="B54" s="100">
        <v>316</v>
      </c>
      <c r="C54" s="100">
        <v>161.1</v>
      </c>
      <c r="D54" s="100">
        <v>109.5</v>
      </c>
      <c r="E54" s="100">
        <v>83.7</v>
      </c>
      <c r="F54" s="100">
        <v>68.3</v>
      </c>
      <c r="G54" s="100">
        <v>58</v>
      </c>
      <c r="H54" s="100">
        <v>50.7</v>
      </c>
      <c r="I54" s="100">
        <v>45.2</v>
      </c>
      <c r="J54" s="100">
        <v>40.9</v>
      </c>
      <c r="K54" s="100">
        <v>37.5</v>
      </c>
      <c r="L54" s="100">
        <v>34.799999999999997</v>
      </c>
      <c r="M54" s="100">
        <v>32.5</v>
      </c>
      <c r="N54" s="100">
        <v>30.6</v>
      </c>
      <c r="O54" s="100">
        <v>29</v>
      </c>
      <c r="P54" s="100">
        <v>27.6</v>
      </c>
      <c r="Q54" s="100">
        <v>26.3</v>
      </c>
      <c r="R54" s="100">
        <v>25.3</v>
      </c>
      <c r="S54" s="100">
        <v>24.4</v>
      </c>
      <c r="T54" s="100">
        <v>23.5</v>
      </c>
      <c r="U54" s="100">
        <v>22.8</v>
      </c>
    </row>
    <row r="55" spans="1:21" x14ac:dyDescent="0.25">
      <c r="A55" s="99">
        <v>44</v>
      </c>
      <c r="B55" s="100">
        <v>320.10000000000002</v>
      </c>
      <c r="C55" s="100">
        <v>163.19999999999999</v>
      </c>
      <c r="D55" s="100">
        <v>110.9</v>
      </c>
      <c r="E55" s="100">
        <v>84.8</v>
      </c>
      <c r="F55" s="100">
        <v>69.2</v>
      </c>
      <c r="G55" s="100">
        <v>58.8</v>
      </c>
      <c r="H55" s="100">
        <v>51.3</v>
      </c>
      <c r="I55" s="100">
        <v>45.8</v>
      </c>
      <c r="J55" s="100">
        <v>41.5</v>
      </c>
      <c r="K55" s="100">
        <v>38.1</v>
      </c>
      <c r="L55" s="100">
        <v>35.299999999999997</v>
      </c>
      <c r="M55" s="100">
        <v>33</v>
      </c>
      <c r="N55" s="100">
        <v>31</v>
      </c>
      <c r="O55" s="100">
        <v>29.4</v>
      </c>
      <c r="P55" s="100">
        <v>28</v>
      </c>
      <c r="Q55" s="100">
        <v>26.8</v>
      </c>
      <c r="R55" s="100">
        <v>25.7</v>
      </c>
      <c r="S55" s="100">
        <v>24.8</v>
      </c>
      <c r="T55" s="100">
        <v>23.9</v>
      </c>
      <c r="U55" s="100">
        <v>23.2</v>
      </c>
    </row>
    <row r="56" spans="1:21" x14ac:dyDescent="0.25">
      <c r="A56" s="99">
        <v>45</v>
      </c>
      <c r="B56" s="100">
        <v>324.2</v>
      </c>
      <c r="C56" s="100">
        <v>165.3</v>
      </c>
      <c r="D56" s="100">
        <v>112.4</v>
      </c>
      <c r="E56" s="100">
        <v>85.9</v>
      </c>
      <c r="F56" s="100">
        <v>70.099999999999994</v>
      </c>
      <c r="G56" s="100">
        <v>59.5</v>
      </c>
      <c r="H56" s="100">
        <v>52</v>
      </c>
      <c r="I56" s="100">
        <v>46.4</v>
      </c>
      <c r="J56" s="100">
        <v>42.1</v>
      </c>
      <c r="K56" s="100">
        <v>38.6</v>
      </c>
      <c r="L56" s="100">
        <v>35.799999999999997</v>
      </c>
      <c r="M56" s="100">
        <v>33.5</v>
      </c>
      <c r="N56" s="100">
        <v>31.5</v>
      </c>
      <c r="O56" s="100">
        <v>29.9</v>
      </c>
      <c r="P56" s="100">
        <v>28.4</v>
      </c>
      <c r="Q56" s="100">
        <v>27.2</v>
      </c>
      <c r="R56" s="100">
        <v>26.1</v>
      </c>
      <c r="S56" s="100">
        <v>25.2</v>
      </c>
      <c r="T56" s="100">
        <v>24.4</v>
      </c>
      <c r="U56" s="100"/>
    </row>
    <row r="57" spans="1:21" x14ac:dyDescent="0.25">
      <c r="A57" s="99">
        <v>46</v>
      </c>
      <c r="B57" s="100">
        <v>328.3</v>
      </c>
      <c r="C57" s="100">
        <v>167.4</v>
      </c>
      <c r="D57" s="100">
        <v>113.8</v>
      </c>
      <c r="E57" s="100">
        <v>87</v>
      </c>
      <c r="F57" s="100">
        <v>71</v>
      </c>
      <c r="G57" s="100">
        <v>60.3</v>
      </c>
      <c r="H57" s="100">
        <v>52.8</v>
      </c>
      <c r="I57" s="100">
        <v>47.1</v>
      </c>
      <c r="J57" s="100">
        <v>42.7</v>
      </c>
      <c r="K57" s="100">
        <v>39.200000000000003</v>
      </c>
      <c r="L57" s="100">
        <v>36.4</v>
      </c>
      <c r="M57" s="100">
        <v>34</v>
      </c>
      <c r="N57" s="100">
        <v>32</v>
      </c>
      <c r="O57" s="100">
        <v>30.4</v>
      </c>
      <c r="P57" s="100">
        <v>28.9</v>
      </c>
      <c r="Q57" s="100">
        <v>27.7</v>
      </c>
      <c r="R57" s="100">
        <v>26.6</v>
      </c>
      <c r="S57" s="100">
        <v>25.7</v>
      </c>
      <c r="T57" s="100"/>
      <c r="U57" s="100"/>
    </row>
    <row r="58" spans="1:21" x14ac:dyDescent="0.25">
      <c r="A58" s="99">
        <v>47</v>
      </c>
      <c r="B58" s="100">
        <v>332.6</v>
      </c>
      <c r="C58" s="100">
        <v>169.6</v>
      </c>
      <c r="D58" s="100">
        <v>115.3</v>
      </c>
      <c r="E58" s="100">
        <v>88.2</v>
      </c>
      <c r="F58" s="100">
        <v>72</v>
      </c>
      <c r="G58" s="100">
        <v>61.2</v>
      </c>
      <c r="H58" s="100">
        <v>53.5</v>
      </c>
      <c r="I58" s="100">
        <v>47.8</v>
      </c>
      <c r="J58" s="100">
        <v>43.3</v>
      </c>
      <c r="K58" s="100">
        <v>39.799999999999997</v>
      </c>
      <c r="L58" s="100">
        <v>36.9</v>
      </c>
      <c r="M58" s="100">
        <v>34.6</v>
      </c>
      <c r="N58" s="100">
        <v>32.6</v>
      </c>
      <c r="O58" s="100">
        <v>30.9</v>
      </c>
      <c r="P58" s="100">
        <v>29.4</v>
      </c>
      <c r="Q58" s="100">
        <v>28.2</v>
      </c>
      <c r="R58" s="100">
        <v>27.1</v>
      </c>
      <c r="S58" s="100"/>
      <c r="T58" s="100"/>
      <c r="U58" s="100"/>
    </row>
    <row r="59" spans="1:21" x14ac:dyDescent="0.25">
      <c r="A59" s="99">
        <v>48</v>
      </c>
      <c r="B59" s="100">
        <v>336.9</v>
      </c>
      <c r="C59" s="100">
        <v>171.8</v>
      </c>
      <c r="D59" s="100">
        <v>116.8</v>
      </c>
      <c r="E59" s="100">
        <v>89.4</v>
      </c>
      <c r="F59" s="100">
        <v>73</v>
      </c>
      <c r="G59" s="100">
        <v>62.1</v>
      </c>
      <c r="H59" s="100">
        <v>54.3</v>
      </c>
      <c r="I59" s="100">
        <v>48.5</v>
      </c>
      <c r="J59" s="100">
        <v>44</v>
      </c>
      <c r="K59" s="100">
        <v>40.4</v>
      </c>
      <c r="L59" s="100">
        <v>37.5</v>
      </c>
      <c r="M59" s="100">
        <v>35.1</v>
      </c>
      <c r="N59" s="100">
        <v>33.1</v>
      </c>
      <c r="O59" s="100">
        <v>31.4</v>
      </c>
      <c r="P59" s="100">
        <v>30</v>
      </c>
      <c r="Q59" s="100">
        <v>28.7</v>
      </c>
      <c r="R59" s="100"/>
      <c r="S59" s="100"/>
      <c r="T59" s="100"/>
      <c r="U59" s="100"/>
    </row>
    <row r="60" spans="1:21" x14ac:dyDescent="0.25">
      <c r="A60" s="99">
        <v>49</v>
      </c>
      <c r="B60" s="100">
        <v>341.2</v>
      </c>
      <c r="C60" s="100">
        <v>174.1</v>
      </c>
      <c r="D60" s="100">
        <v>118.4</v>
      </c>
      <c r="E60" s="100">
        <v>90.7</v>
      </c>
      <c r="F60" s="100">
        <v>74</v>
      </c>
      <c r="G60" s="100">
        <v>63</v>
      </c>
      <c r="H60" s="100">
        <v>55.1</v>
      </c>
      <c r="I60" s="100">
        <v>49.3</v>
      </c>
      <c r="J60" s="100">
        <v>44.7</v>
      </c>
      <c r="K60" s="100">
        <v>41.1</v>
      </c>
      <c r="L60" s="100">
        <v>38.200000000000003</v>
      </c>
      <c r="M60" s="100">
        <v>35.799999999999997</v>
      </c>
      <c r="N60" s="100">
        <v>33.700000000000003</v>
      </c>
      <c r="O60" s="100">
        <v>32</v>
      </c>
      <c r="P60" s="100">
        <v>30.5</v>
      </c>
      <c r="Q60" s="100"/>
      <c r="R60" s="100"/>
      <c r="S60" s="100"/>
      <c r="T60" s="100"/>
      <c r="U60" s="100"/>
    </row>
    <row r="61" spans="1:21" x14ac:dyDescent="0.25">
      <c r="A61" s="99">
        <v>50</v>
      </c>
      <c r="B61" s="100">
        <v>345.8</v>
      </c>
      <c r="C61" s="100">
        <v>176.5</v>
      </c>
      <c r="D61" s="100">
        <v>120.1</v>
      </c>
      <c r="E61" s="100">
        <v>92</v>
      </c>
      <c r="F61" s="100">
        <v>75.2</v>
      </c>
      <c r="G61" s="100">
        <v>64</v>
      </c>
      <c r="H61" s="100">
        <v>56</v>
      </c>
      <c r="I61" s="100">
        <v>50.1</v>
      </c>
      <c r="J61" s="100">
        <v>45.5</v>
      </c>
      <c r="K61" s="100">
        <v>41.8</v>
      </c>
      <c r="L61" s="100">
        <v>38.9</v>
      </c>
      <c r="M61" s="100">
        <v>36.4</v>
      </c>
      <c r="N61" s="100">
        <v>34.4</v>
      </c>
      <c r="O61" s="100">
        <v>32.6</v>
      </c>
      <c r="P61" s="100"/>
      <c r="Q61" s="100"/>
      <c r="R61" s="100"/>
      <c r="S61" s="100"/>
      <c r="T61" s="100"/>
      <c r="U61" s="100"/>
    </row>
    <row r="62" spans="1:21" x14ac:dyDescent="0.25">
      <c r="A62" s="99">
        <v>51</v>
      </c>
      <c r="B62" s="100">
        <v>350.4</v>
      </c>
      <c r="C62" s="100">
        <v>178.9</v>
      </c>
      <c r="D62" s="100">
        <v>121.8</v>
      </c>
      <c r="E62" s="100">
        <v>93.4</v>
      </c>
      <c r="F62" s="100">
        <v>76.3</v>
      </c>
      <c r="G62" s="100">
        <v>65</v>
      </c>
      <c r="H62" s="100">
        <v>56.9</v>
      </c>
      <c r="I62" s="100">
        <v>50.9</v>
      </c>
      <c r="J62" s="100">
        <v>46.3</v>
      </c>
      <c r="K62" s="100">
        <v>42.6</v>
      </c>
      <c r="L62" s="100">
        <v>39.6</v>
      </c>
      <c r="M62" s="100">
        <v>37.1</v>
      </c>
      <c r="N62" s="100">
        <v>35</v>
      </c>
      <c r="O62" s="100"/>
      <c r="P62" s="100"/>
      <c r="Q62" s="100"/>
      <c r="R62" s="100"/>
      <c r="S62" s="100"/>
      <c r="T62" s="100"/>
      <c r="U62" s="100"/>
    </row>
    <row r="63" spans="1:21" x14ac:dyDescent="0.25">
      <c r="A63" s="99">
        <v>52</v>
      </c>
      <c r="B63" s="100">
        <v>355.1</v>
      </c>
      <c r="C63" s="100">
        <v>181.4</v>
      </c>
      <c r="D63" s="100">
        <v>123.6</v>
      </c>
      <c r="E63" s="100">
        <v>94.7</v>
      </c>
      <c r="F63" s="100">
        <v>77.5</v>
      </c>
      <c r="G63" s="100">
        <v>66</v>
      </c>
      <c r="H63" s="100">
        <v>57.8</v>
      </c>
      <c r="I63" s="100">
        <v>51.8</v>
      </c>
      <c r="J63" s="100">
        <v>47.1</v>
      </c>
      <c r="K63" s="100">
        <v>43.3</v>
      </c>
      <c r="L63" s="100">
        <v>40.299999999999997</v>
      </c>
      <c r="M63" s="100">
        <v>37.799999999999997</v>
      </c>
      <c r="N63" s="100"/>
      <c r="O63" s="100"/>
      <c r="P63" s="100"/>
      <c r="Q63" s="100"/>
      <c r="R63" s="100"/>
      <c r="S63" s="100"/>
      <c r="T63" s="100"/>
      <c r="U63" s="100"/>
    </row>
    <row r="64" spans="1:21" x14ac:dyDescent="0.25">
      <c r="A64" s="99">
        <v>53</v>
      </c>
      <c r="B64" s="100">
        <v>359.8</v>
      </c>
      <c r="C64" s="100">
        <v>183.9</v>
      </c>
      <c r="D64" s="100">
        <v>125.3</v>
      </c>
      <c r="E64" s="100">
        <v>96.1</v>
      </c>
      <c r="F64" s="100">
        <v>78.7</v>
      </c>
      <c r="G64" s="100">
        <v>67</v>
      </c>
      <c r="H64" s="100">
        <v>58.8</v>
      </c>
      <c r="I64" s="100">
        <v>52.6</v>
      </c>
      <c r="J64" s="100">
        <v>47.9</v>
      </c>
      <c r="K64" s="100">
        <v>44.1</v>
      </c>
      <c r="L64" s="100">
        <v>41</v>
      </c>
      <c r="M64" s="100"/>
      <c r="N64" s="100"/>
      <c r="O64" s="100"/>
      <c r="P64" s="100"/>
      <c r="Q64" s="100"/>
      <c r="R64" s="100"/>
      <c r="S64" s="100"/>
      <c r="T64" s="100"/>
      <c r="U64" s="100"/>
    </row>
    <row r="65" spans="1:21" x14ac:dyDescent="0.25">
      <c r="A65" s="99">
        <v>54</v>
      </c>
      <c r="B65" s="100">
        <v>364.7</v>
      </c>
      <c r="C65" s="100">
        <v>186.5</v>
      </c>
      <c r="D65" s="100">
        <v>127.2</v>
      </c>
      <c r="E65" s="100">
        <v>97.6</v>
      </c>
      <c r="F65" s="100">
        <v>79.900000000000006</v>
      </c>
      <c r="G65" s="100">
        <v>68.099999999999994</v>
      </c>
      <c r="H65" s="100">
        <v>59.8</v>
      </c>
      <c r="I65" s="100">
        <v>53.5</v>
      </c>
      <c r="J65" s="100">
        <v>48.7</v>
      </c>
      <c r="K65" s="100">
        <v>44.9</v>
      </c>
      <c r="L65" s="100"/>
      <c r="M65" s="100"/>
      <c r="N65" s="100"/>
      <c r="O65" s="100"/>
      <c r="P65" s="100"/>
      <c r="Q65" s="100"/>
      <c r="R65" s="100"/>
      <c r="S65" s="100"/>
      <c r="T65" s="100"/>
      <c r="U65" s="100"/>
    </row>
    <row r="66" spans="1:21" x14ac:dyDescent="0.25">
      <c r="A66" s="99">
        <v>55</v>
      </c>
      <c r="B66" s="100">
        <v>369.6</v>
      </c>
      <c r="C66" s="100">
        <v>189.1</v>
      </c>
      <c r="D66" s="100">
        <v>129</v>
      </c>
      <c r="E66" s="100">
        <v>99.1</v>
      </c>
      <c r="F66" s="100">
        <v>81.099999999999994</v>
      </c>
      <c r="G66" s="100">
        <v>69.2</v>
      </c>
      <c r="H66" s="100">
        <v>60.8</v>
      </c>
      <c r="I66" s="100">
        <v>54.5</v>
      </c>
      <c r="J66" s="100">
        <v>49.6</v>
      </c>
      <c r="K66" s="100"/>
      <c r="L66" s="100"/>
      <c r="M66" s="100"/>
      <c r="N66" s="100"/>
      <c r="O66" s="100"/>
      <c r="P66" s="100"/>
      <c r="Q66" s="100"/>
      <c r="R66" s="100"/>
      <c r="S66" s="100"/>
      <c r="T66" s="100"/>
      <c r="U66" s="100"/>
    </row>
    <row r="67" spans="1:21" x14ac:dyDescent="0.25">
      <c r="A67" s="99">
        <v>56</v>
      </c>
      <c r="B67" s="100">
        <v>374.7</v>
      </c>
      <c r="C67" s="100">
        <v>191.8</v>
      </c>
      <c r="D67" s="100">
        <v>131</v>
      </c>
      <c r="E67" s="100">
        <v>100.6</v>
      </c>
      <c r="F67" s="100">
        <v>82.4</v>
      </c>
      <c r="G67" s="100">
        <v>70.400000000000006</v>
      </c>
      <c r="H67" s="100">
        <v>61.8</v>
      </c>
      <c r="I67" s="100">
        <v>55.4</v>
      </c>
      <c r="J67" s="100"/>
      <c r="K67" s="100"/>
      <c r="L67" s="100"/>
      <c r="M67" s="100"/>
      <c r="N67" s="100"/>
      <c r="O67" s="100"/>
      <c r="P67" s="100"/>
      <c r="Q67" s="100"/>
      <c r="R67" s="100"/>
      <c r="S67" s="100"/>
      <c r="T67" s="100"/>
      <c r="U67" s="100"/>
    </row>
    <row r="68" spans="1:21" x14ac:dyDescent="0.25">
      <c r="A68" s="99">
        <v>57</v>
      </c>
      <c r="B68" s="100">
        <v>380</v>
      </c>
      <c r="C68" s="100">
        <v>194.6</v>
      </c>
      <c r="D68" s="100">
        <v>132.9</v>
      </c>
      <c r="E68" s="100">
        <v>102.2</v>
      </c>
      <c r="F68" s="100">
        <v>83.8</v>
      </c>
      <c r="G68" s="100">
        <v>71.599999999999994</v>
      </c>
      <c r="H68" s="100">
        <v>62.9</v>
      </c>
      <c r="I68" s="100"/>
      <c r="J68" s="100"/>
      <c r="K68" s="100"/>
      <c r="L68" s="100"/>
      <c r="M68" s="100"/>
      <c r="N68" s="100"/>
      <c r="O68" s="100"/>
      <c r="P68" s="100"/>
      <c r="Q68" s="100"/>
      <c r="R68" s="100"/>
      <c r="S68" s="100"/>
      <c r="T68" s="100"/>
      <c r="U68" s="100"/>
    </row>
    <row r="69" spans="1:21" x14ac:dyDescent="0.25">
      <c r="A69" s="99">
        <v>58</v>
      </c>
      <c r="B69" s="100">
        <v>385.5</v>
      </c>
      <c r="C69" s="100">
        <v>197.6</v>
      </c>
      <c r="D69" s="100">
        <v>135</v>
      </c>
      <c r="E69" s="100">
        <v>103.8</v>
      </c>
      <c r="F69" s="100">
        <v>85.2</v>
      </c>
      <c r="G69" s="100">
        <v>72.8</v>
      </c>
      <c r="H69" s="100"/>
      <c r="I69" s="100"/>
      <c r="J69" s="100"/>
      <c r="K69" s="100"/>
      <c r="L69" s="100"/>
      <c r="M69" s="100"/>
      <c r="N69" s="100"/>
      <c r="O69" s="100"/>
      <c r="P69" s="100"/>
      <c r="Q69" s="100"/>
      <c r="R69" s="100"/>
      <c r="S69" s="100"/>
      <c r="T69" s="100"/>
      <c r="U69" s="100"/>
    </row>
    <row r="70" spans="1:21" x14ac:dyDescent="0.25">
      <c r="A70" s="99">
        <v>59</v>
      </c>
      <c r="B70" s="100">
        <v>389.5</v>
      </c>
      <c r="C70" s="100">
        <v>199.7</v>
      </c>
      <c r="D70" s="100">
        <v>136.6</v>
      </c>
      <c r="E70" s="100">
        <v>105.1</v>
      </c>
      <c r="F70" s="100">
        <v>86.3</v>
      </c>
      <c r="G70" s="100"/>
      <c r="H70" s="100"/>
      <c r="I70" s="100"/>
      <c r="J70" s="100"/>
      <c r="K70" s="100"/>
      <c r="L70" s="100"/>
      <c r="M70" s="100"/>
      <c r="N70" s="100"/>
      <c r="O70" s="100"/>
      <c r="P70" s="100"/>
      <c r="Q70" s="100"/>
      <c r="R70" s="100"/>
      <c r="S70" s="100"/>
      <c r="T70" s="100"/>
      <c r="U70" s="100"/>
    </row>
    <row r="71" spans="1:21" x14ac:dyDescent="0.25">
      <c r="A71" s="99">
        <v>60</v>
      </c>
      <c r="B71" s="100">
        <v>391.6</v>
      </c>
      <c r="C71" s="100">
        <v>200.9</v>
      </c>
      <c r="D71" s="100">
        <v>137.5</v>
      </c>
      <c r="E71" s="100">
        <v>105.8</v>
      </c>
      <c r="F71" s="100"/>
      <c r="G71" s="100"/>
      <c r="H71" s="100"/>
      <c r="I71" s="100"/>
      <c r="J71" s="100"/>
      <c r="K71" s="100"/>
      <c r="L71" s="100"/>
      <c r="M71" s="100"/>
      <c r="N71" s="100"/>
      <c r="O71" s="100"/>
      <c r="P71" s="100"/>
      <c r="Q71" s="100"/>
      <c r="R71" s="100"/>
      <c r="S71" s="100"/>
      <c r="T71" s="100"/>
      <c r="U71" s="100"/>
    </row>
    <row r="72" spans="1:21" x14ac:dyDescent="0.25">
      <c r="A72" s="99">
        <v>61</v>
      </c>
      <c r="B72" s="100">
        <v>393.9</v>
      </c>
      <c r="C72" s="100">
        <v>202.2</v>
      </c>
      <c r="D72" s="100">
        <v>138.5</v>
      </c>
      <c r="E72" s="100"/>
      <c r="F72" s="100"/>
      <c r="G72" s="100"/>
      <c r="H72" s="100"/>
      <c r="I72" s="100"/>
      <c r="J72" s="100"/>
      <c r="K72" s="100"/>
      <c r="L72" s="100"/>
      <c r="M72" s="100"/>
      <c r="N72" s="100"/>
      <c r="O72" s="100"/>
      <c r="P72" s="100"/>
      <c r="Q72" s="100"/>
      <c r="R72" s="100"/>
      <c r="S72" s="100"/>
      <c r="T72" s="100"/>
      <c r="U72" s="100"/>
    </row>
    <row r="73" spans="1:21" x14ac:dyDescent="0.25">
      <c r="A73" s="99">
        <v>62</v>
      </c>
      <c r="B73" s="100">
        <v>396.9</v>
      </c>
      <c r="C73" s="100">
        <v>203.9</v>
      </c>
      <c r="D73" s="100"/>
      <c r="E73" s="100"/>
      <c r="F73" s="100"/>
      <c r="G73" s="100"/>
      <c r="H73" s="100"/>
      <c r="I73" s="100"/>
      <c r="J73" s="100"/>
      <c r="K73" s="100"/>
      <c r="L73" s="100"/>
      <c r="M73" s="100"/>
      <c r="N73" s="100"/>
      <c r="O73" s="100"/>
      <c r="P73" s="100"/>
      <c r="Q73" s="100"/>
      <c r="R73" s="100"/>
      <c r="S73" s="100"/>
      <c r="T73" s="100"/>
      <c r="U73" s="100"/>
    </row>
    <row r="74" spans="1:21" x14ac:dyDescent="0.25">
      <c r="A74" s="99">
        <v>63</v>
      </c>
      <c r="B74" s="100">
        <v>399.8</v>
      </c>
      <c r="C74" s="100"/>
      <c r="D74" s="100"/>
      <c r="E74" s="100"/>
      <c r="F74" s="100"/>
      <c r="G74" s="100"/>
      <c r="H74" s="100"/>
      <c r="I74" s="100"/>
      <c r="J74" s="100"/>
      <c r="K74" s="100"/>
      <c r="L74" s="100"/>
      <c r="M74" s="100"/>
      <c r="N74" s="100"/>
      <c r="O74" s="100"/>
      <c r="P74" s="100"/>
      <c r="Q74" s="100"/>
      <c r="R74" s="100"/>
      <c r="S74" s="100"/>
      <c r="T74" s="100"/>
      <c r="U74" s="100"/>
    </row>
    <row r="125" spans="22:22" x14ac:dyDescent="0.25">
      <c r="V125" s="25" t="b">
        <f t="shared" ref="V125" si="0">V76=V27</f>
        <v>1</v>
      </c>
    </row>
    <row r="126" spans="22:22" x14ac:dyDescent="0.25">
      <c r="V126" s="25" t="b">
        <f t="shared" ref="V126" si="1">V77=V28</f>
        <v>1</v>
      </c>
    </row>
    <row r="127" spans="22:22" x14ac:dyDescent="0.25">
      <c r="V127" s="25" t="b">
        <f t="shared" ref="V127" si="2">V78=V29</f>
        <v>1</v>
      </c>
    </row>
    <row r="128" spans="22:22" x14ac:dyDescent="0.25">
      <c r="V128" s="25" t="b">
        <f t="shared" ref="V128" si="3">V79=V30</f>
        <v>1</v>
      </c>
    </row>
    <row r="129" spans="22:22" x14ac:dyDescent="0.25">
      <c r="V129" s="25" t="b">
        <f t="shared" ref="V129" si="4">V80=V31</f>
        <v>1</v>
      </c>
    </row>
    <row r="130" spans="22:22" x14ac:dyDescent="0.25">
      <c r="V130" s="25" t="b">
        <f t="shared" ref="V130" si="5">V81=V32</f>
        <v>1</v>
      </c>
    </row>
    <row r="131" spans="22:22" x14ac:dyDescent="0.25">
      <c r="V131" s="25" t="b">
        <f t="shared" ref="V131" si="6">V82=V33</f>
        <v>1</v>
      </c>
    </row>
    <row r="132" spans="22:22" x14ac:dyDescent="0.25">
      <c r="V132" s="25" t="b">
        <f t="shared" ref="V132" si="7">V83=V34</f>
        <v>1</v>
      </c>
    </row>
    <row r="133" spans="22:22" x14ac:dyDescent="0.25">
      <c r="V133" s="25" t="b">
        <f t="shared" ref="V133" si="8">V84=V35</f>
        <v>1</v>
      </c>
    </row>
    <row r="134" spans="22:22" x14ac:dyDescent="0.25">
      <c r="V134" s="25" t="b">
        <f t="shared" ref="V134" si="9">V85=V36</f>
        <v>1</v>
      </c>
    </row>
    <row r="135" spans="22:22" x14ac:dyDescent="0.25">
      <c r="V135" s="25" t="b">
        <f t="shared" ref="V135" si="10">V86=V37</f>
        <v>1</v>
      </c>
    </row>
    <row r="136" spans="22:22" x14ac:dyDescent="0.25">
      <c r="V136" s="25" t="b">
        <f t="shared" ref="V136" si="11">V87=V38</f>
        <v>1</v>
      </c>
    </row>
    <row r="137" spans="22:22" x14ac:dyDescent="0.25">
      <c r="V137" s="25" t="b">
        <f t="shared" ref="V137" si="12">V88=V39</f>
        <v>1</v>
      </c>
    </row>
    <row r="138" spans="22:22" x14ac:dyDescent="0.25">
      <c r="V138" s="25" t="b">
        <f t="shared" ref="V138" si="13">V89=V40</f>
        <v>1</v>
      </c>
    </row>
    <row r="139" spans="22:22" x14ac:dyDescent="0.25">
      <c r="V139" s="25" t="b">
        <f t="shared" ref="V139" si="14">V90=V41</f>
        <v>1</v>
      </c>
    </row>
    <row r="140" spans="22:22" x14ac:dyDescent="0.25">
      <c r="V140" s="25" t="b">
        <f t="shared" ref="V140" si="15">V91=V42</f>
        <v>1</v>
      </c>
    </row>
    <row r="141" spans="22:22" x14ac:dyDescent="0.25">
      <c r="V141" s="25" t="b">
        <f t="shared" ref="V141" si="16">V92=V43</f>
        <v>1</v>
      </c>
    </row>
    <row r="142" spans="22:22" x14ac:dyDescent="0.25">
      <c r="V142" s="25" t="b">
        <f t="shared" ref="V142" si="17">V93=V44</f>
        <v>1</v>
      </c>
    </row>
    <row r="143" spans="22:22" x14ac:dyDescent="0.25">
      <c r="V143" s="25" t="b">
        <f t="shared" ref="V143" si="18">V94=V45</f>
        <v>1</v>
      </c>
    </row>
    <row r="144" spans="22:22" x14ac:dyDescent="0.25">
      <c r="V144" s="25" t="b">
        <f t="shared" ref="V144" si="19">V95=V46</f>
        <v>1</v>
      </c>
    </row>
    <row r="145" spans="22:22" x14ac:dyDescent="0.25">
      <c r="V145" s="25" t="b">
        <f t="shared" ref="V145" si="20">V96=V47</f>
        <v>1</v>
      </c>
    </row>
    <row r="146" spans="22:22" x14ac:dyDescent="0.25">
      <c r="V146" s="25" t="b">
        <f t="shared" ref="V146" si="21">V97=V48</f>
        <v>1</v>
      </c>
    </row>
    <row r="147" spans="22:22" x14ac:dyDescent="0.25">
      <c r="V147" s="25" t="b">
        <f t="shared" ref="V147" si="22">V98=V49</f>
        <v>1</v>
      </c>
    </row>
    <row r="148" spans="22:22" x14ac:dyDescent="0.25">
      <c r="V148" s="25" t="b">
        <f t="shared" ref="V148" si="23">V99=V50</f>
        <v>1</v>
      </c>
    </row>
    <row r="149" spans="22:22" x14ac:dyDescent="0.25">
      <c r="V149" s="25" t="b">
        <f t="shared" ref="V149" si="24">V100=V51</f>
        <v>1</v>
      </c>
    </row>
    <row r="150" spans="22:22" x14ac:dyDescent="0.25">
      <c r="V150" s="25" t="b">
        <f t="shared" ref="V150" si="25">V101=V52</f>
        <v>1</v>
      </c>
    </row>
    <row r="151" spans="22:22" x14ac:dyDescent="0.25">
      <c r="V151" s="25" t="b">
        <f t="shared" ref="V151" si="26">V102=V53</f>
        <v>1</v>
      </c>
    </row>
    <row r="152" spans="22:22" x14ac:dyDescent="0.25">
      <c r="V152" s="25" t="b">
        <f t="shared" ref="V152" si="27">V103=V54</f>
        <v>1</v>
      </c>
    </row>
    <row r="153" spans="22:22" x14ac:dyDescent="0.25">
      <c r="V153" s="25" t="b">
        <f t="shared" ref="V153" si="28">V104=V55</f>
        <v>1</v>
      </c>
    </row>
    <row r="154" spans="22:22" x14ac:dyDescent="0.25">
      <c r="V154" s="25" t="b">
        <f t="shared" ref="V154" si="29">V105=V56</f>
        <v>1</v>
      </c>
    </row>
    <row r="155" spans="22:22" x14ac:dyDescent="0.25">
      <c r="V155" s="25" t="b">
        <f t="shared" ref="V155" si="30">V106=V57</f>
        <v>1</v>
      </c>
    </row>
    <row r="156" spans="22:22" x14ac:dyDescent="0.25">
      <c r="V156" s="25" t="b">
        <f t="shared" ref="V156" si="31">V107=V58</f>
        <v>1</v>
      </c>
    </row>
    <row r="157" spans="22:22" x14ac:dyDescent="0.25">
      <c r="V157" s="25" t="b">
        <f t="shared" ref="V157" si="32">V108=V59</f>
        <v>1</v>
      </c>
    </row>
    <row r="158" spans="22:22" x14ac:dyDescent="0.25">
      <c r="V158" s="25" t="b">
        <f t="shared" ref="V158" si="33">V109=V60</f>
        <v>1</v>
      </c>
    </row>
    <row r="159" spans="22:22" x14ac:dyDescent="0.25">
      <c r="V159" s="25" t="b">
        <f t="shared" ref="V159" si="34">V110=V61</f>
        <v>1</v>
      </c>
    </row>
    <row r="160" spans="22:22" x14ac:dyDescent="0.25">
      <c r="V160" s="25" t="b">
        <f t="shared" ref="V160" si="35">V111=V62</f>
        <v>1</v>
      </c>
    </row>
    <row r="161" spans="22:22" x14ac:dyDescent="0.25">
      <c r="V161" s="25" t="b">
        <f t="shared" ref="V161" si="36">V112=V63</f>
        <v>1</v>
      </c>
    </row>
    <row r="162" spans="22:22" x14ac:dyDescent="0.25">
      <c r="V162" s="25" t="b">
        <f t="shared" ref="V162" si="37">V113=V64</f>
        <v>1</v>
      </c>
    </row>
    <row r="163" spans="22:22" x14ac:dyDescent="0.25">
      <c r="V163" s="25" t="b">
        <f t="shared" ref="V163" si="38">V114=V65</f>
        <v>1</v>
      </c>
    </row>
    <row r="164" spans="22:22" x14ac:dyDescent="0.25">
      <c r="V164" s="25" t="b">
        <f t="shared" ref="V164" si="39">V115=V66</f>
        <v>1</v>
      </c>
    </row>
    <row r="165" spans="22:22" x14ac:dyDescent="0.25">
      <c r="V165" s="25" t="b">
        <f t="shared" ref="V165" si="40">V116=V67</f>
        <v>1</v>
      </c>
    </row>
    <row r="166" spans="22:22" x14ac:dyDescent="0.25">
      <c r="V166" s="25" t="b">
        <f t="shared" ref="V166" si="41">V117=V68</f>
        <v>1</v>
      </c>
    </row>
    <row r="167" spans="22:22" x14ac:dyDescent="0.25">
      <c r="V167" s="25" t="b">
        <f t="shared" ref="V167" si="42">V118=V69</f>
        <v>1</v>
      </c>
    </row>
    <row r="168" spans="22:22" x14ac:dyDescent="0.25">
      <c r="V168" s="25" t="b">
        <f t="shared" ref="V168" si="43">V119=V70</f>
        <v>1</v>
      </c>
    </row>
    <row r="169" spans="22:22" x14ac:dyDescent="0.25">
      <c r="V169" s="25" t="b">
        <f t="shared" ref="V169" si="44">V120=V71</f>
        <v>1</v>
      </c>
    </row>
    <row r="170" spans="22:22" x14ac:dyDescent="0.25">
      <c r="V170" s="25" t="b">
        <f t="shared" ref="V170" si="45">V121=V72</f>
        <v>1</v>
      </c>
    </row>
    <row r="171" spans="22:22" x14ac:dyDescent="0.25">
      <c r="V171" s="25" t="b">
        <f t="shared" ref="V171" si="46">V122=V73</f>
        <v>1</v>
      </c>
    </row>
    <row r="172" spans="22:22" x14ac:dyDescent="0.25">
      <c r="V172" s="25" t="b">
        <f t="shared" ref="V172" si="47">V123=V74</f>
        <v>1</v>
      </c>
    </row>
  </sheetData>
  <sheetProtection algorithmName="SHA-512" hashValue="XzfHfQJ8BkAQwDgD91t+kZQuuLdW/e3ObzBFLebw3593nJmXAUyzSQvluNvqX8az2qit/iv5odfOgB7I79ey4Q==" saltValue="4BDI9lmrmFqYDTkN1JtRLg==" spinCount="100000" sheet="1" objects="1" scenarios="1"/>
  <conditionalFormatting sqref="A6:A21">
    <cfRule type="expression" dxfId="407" priority="13" stopIfTrue="1">
      <formula>MOD(ROW(),2)=0</formula>
    </cfRule>
    <cfRule type="expression" dxfId="406" priority="14" stopIfTrue="1">
      <formula>MOD(ROW(),2)&lt;&gt;0</formula>
    </cfRule>
  </conditionalFormatting>
  <conditionalFormatting sqref="A26:A74">
    <cfRule type="expression" dxfId="405" priority="3" stopIfTrue="1">
      <formula>MOD(ROW(),2)=0</formula>
    </cfRule>
    <cfRule type="expression" dxfId="404" priority="4" stopIfTrue="1">
      <formula>MOD(ROW(),2)&lt;&gt;0</formula>
    </cfRule>
  </conditionalFormatting>
  <conditionalFormatting sqref="B17:B21">
    <cfRule type="expression" dxfId="403" priority="1" stopIfTrue="1">
      <formula>MOD(ROW(),2)=0</formula>
    </cfRule>
    <cfRule type="expression" dxfId="402" priority="2" stopIfTrue="1">
      <formula>MOD(ROW(),2)&lt;&gt;0</formula>
    </cfRule>
  </conditionalFormatting>
  <conditionalFormatting sqref="B6:U21">
    <cfRule type="expression" dxfId="401" priority="23" stopIfTrue="1">
      <formula>MOD(ROW(),2)=0</formula>
    </cfRule>
    <cfRule type="expression" dxfId="400" priority="24" stopIfTrue="1">
      <formula>MOD(ROW(),2)&lt;&gt;0</formula>
    </cfRule>
  </conditionalFormatting>
  <conditionalFormatting sqref="B26:U74">
    <cfRule type="expression" dxfId="399" priority="5" stopIfTrue="1">
      <formula>MOD(ROW(),2)=0</formula>
    </cfRule>
    <cfRule type="expression" dxfId="398" priority="6" stopIfTrue="1">
      <formula>MOD(ROW(),2)&lt;&gt;0</formula>
    </cfRule>
  </conditionalFormatting>
  <hyperlinks>
    <hyperlink ref="B24" location="Assumptions!A1" display="Assumptions" xr:uid="{10DE1927-36BD-410A-99E8-D8BD130AA5C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97"/>
  <dimension ref="A1:U74"/>
  <sheetViews>
    <sheetView showGridLines="0" zoomScale="85" zoomScaleNormal="85" workbookViewId="0">
      <selection activeCell="A4" sqref="A4"/>
    </sheetView>
  </sheetViews>
  <sheetFormatPr defaultColWidth="10" defaultRowHeight="12.5" x14ac:dyDescent="0.25"/>
  <cols>
    <col min="1" max="1" width="31.90625" style="25" customWidth="1"/>
    <col min="2" max="2" width="22.54296875" style="25" customWidth="1"/>
    <col min="3" max="21" width="22.90625" style="25" customWidth="1"/>
    <col min="22" max="16384" width="10" style="25"/>
  </cols>
  <sheetData>
    <row r="1" spans="1:21" ht="20" x14ac:dyDescent="0.4">
      <c r="A1" s="36" t="s">
        <v>0</v>
      </c>
      <c r="B1" s="37"/>
      <c r="C1" s="37"/>
      <c r="D1" s="37"/>
      <c r="E1" s="37"/>
      <c r="F1" s="37"/>
      <c r="G1" s="37"/>
      <c r="H1" s="37"/>
      <c r="I1" s="37"/>
    </row>
    <row r="2" spans="1:21" ht="15.5" x14ac:dyDescent="0.35">
      <c r="A2" s="38" t="str">
        <f>IF(title="&gt; Enter workbook title here","Enter workbook title in Cover sheet",title)</f>
        <v>NHSPS_NI - Consolidated Factor Spreadsheet</v>
      </c>
      <c r="B2" s="39"/>
      <c r="C2" s="39"/>
      <c r="D2" s="39"/>
      <c r="E2" s="39"/>
      <c r="F2" s="39"/>
      <c r="G2" s="39"/>
      <c r="H2" s="39"/>
      <c r="I2" s="39"/>
    </row>
    <row r="3" spans="1:21" ht="15.5" x14ac:dyDescent="0.35">
      <c r="A3" s="40" t="str">
        <f>TABLE_FACTOR_TYPE_1&amp;" - x-"&amp;TABLE_SERIES_NUMBER_1</f>
        <v>Added pension - x-711</v>
      </c>
      <c r="B3" s="39"/>
      <c r="C3" s="39"/>
      <c r="D3" s="39"/>
      <c r="E3" s="39"/>
      <c r="F3" s="39"/>
      <c r="G3" s="39"/>
      <c r="H3" s="39"/>
      <c r="I3" s="39"/>
    </row>
    <row r="4" spans="1:21" x14ac:dyDescent="0.25">
      <c r="A4" s="41"/>
    </row>
    <row r="6" spans="1:21" ht="13" x14ac:dyDescent="0.3">
      <c r="A6" s="163" t="s">
        <v>276</v>
      </c>
      <c r="B6" s="107" t="s">
        <v>277</v>
      </c>
      <c r="C6" s="107"/>
      <c r="D6" s="107"/>
      <c r="E6" s="107"/>
      <c r="F6" s="107"/>
      <c r="G6" s="107"/>
      <c r="H6" s="107"/>
      <c r="I6" s="107"/>
      <c r="J6" s="107"/>
      <c r="K6" s="107"/>
      <c r="L6" s="107"/>
      <c r="M6" s="107"/>
      <c r="N6" s="107"/>
      <c r="O6" s="107"/>
      <c r="P6" s="107"/>
      <c r="Q6" s="107"/>
      <c r="R6" s="107"/>
      <c r="S6" s="107"/>
      <c r="T6" s="107"/>
      <c r="U6" s="107"/>
    </row>
    <row r="7" spans="1:21" x14ac:dyDescent="0.25">
      <c r="A7" s="69" t="s">
        <v>278</v>
      </c>
      <c r="B7" s="107" t="s">
        <v>310</v>
      </c>
      <c r="C7" s="107"/>
      <c r="D7" s="107"/>
      <c r="E7" s="107"/>
      <c r="F7" s="107"/>
      <c r="G7" s="107"/>
      <c r="H7" s="107"/>
      <c r="I7" s="107"/>
      <c r="J7" s="107"/>
      <c r="K7" s="107"/>
      <c r="L7" s="107"/>
      <c r="M7" s="107"/>
      <c r="N7" s="107"/>
      <c r="O7" s="107"/>
      <c r="P7" s="107"/>
      <c r="Q7" s="107"/>
      <c r="R7" s="107"/>
      <c r="S7" s="107"/>
      <c r="T7" s="107"/>
      <c r="U7" s="107"/>
    </row>
    <row r="8" spans="1:21" x14ac:dyDescent="0.25">
      <c r="A8" s="69" t="s">
        <v>280</v>
      </c>
      <c r="B8" s="107" t="s">
        <v>363</v>
      </c>
      <c r="C8" s="107"/>
      <c r="D8" s="107"/>
      <c r="E8" s="107"/>
      <c r="F8" s="107"/>
      <c r="G8" s="107"/>
      <c r="H8" s="107"/>
      <c r="I8" s="107"/>
      <c r="J8" s="107"/>
      <c r="K8" s="107"/>
      <c r="L8" s="107"/>
      <c r="M8" s="107"/>
      <c r="N8" s="107"/>
      <c r="O8" s="107"/>
      <c r="P8" s="107"/>
      <c r="Q8" s="107"/>
      <c r="R8" s="107"/>
      <c r="S8" s="107"/>
      <c r="T8" s="107"/>
      <c r="U8" s="107"/>
    </row>
    <row r="9" spans="1:21" x14ac:dyDescent="0.25">
      <c r="A9" s="69" t="s">
        <v>282</v>
      </c>
      <c r="B9" s="107" t="s">
        <v>514</v>
      </c>
      <c r="C9" s="107"/>
      <c r="D9" s="107"/>
      <c r="E9" s="107"/>
      <c r="F9" s="107"/>
      <c r="G9" s="107"/>
      <c r="H9" s="107"/>
      <c r="I9" s="107"/>
      <c r="J9" s="107"/>
      <c r="K9" s="107"/>
      <c r="L9" s="107"/>
      <c r="M9" s="107"/>
      <c r="N9" s="107"/>
      <c r="O9" s="107"/>
      <c r="P9" s="107"/>
      <c r="Q9" s="107"/>
      <c r="R9" s="107"/>
      <c r="S9" s="107"/>
      <c r="T9" s="107"/>
      <c r="U9" s="107"/>
    </row>
    <row r="10" spans="1:21" x14ac:dyDescent="0.25">
      <c r="A10" s="69" t="s">
        <v>6</v>
      </c>
      <c r="B10" s="107" t="s">
        <v>541</v>
      </c>
      <c r="C10" s="107"/>
      <c r="D10" s="107"/>
      <c r="E10" s="107"/>
      <c r="F10" s="107"/>
      <c r="G10" s="107"/>
      <c r="H10" s="107"/>
      <c r="I10" s="107"/>
      <c r="J10" s="107"/>
      <c r="K10" s="107"/>
      <c r="L10" s="107"/>
      <c r="M10" s="107"/>
      <c r="N10" s="107"/>
      <c r="O10" s="107"/>
      <c r="P10" s="107"/>
      <c r="Q10" s="107"/>
      <c r="R10" s="107"/>
      <c r="S10" s="107"/>
      <c r="T10" s="107"/>
      <c r="U10" s="107"/>
    </row>
    <row r="11" spans="1:21" x14ac:dyDescent="0.25">
      <c r="A11" s="69" t="s">
        <v>285</v>
      </c>
      <c r="B11" s="107" t="s">
        <v>359</v>
      </c>
      <c r="C11" s="107"/>
      <c r="D11" s="107"/>
      <c r="E11" s="107"/>
      <c r="F11" s="107"/>
      <c r="G11" s="107"/>
      <c r="H11" s="107"/>
      <c r="I11" s="107"/>
      <c r="J11" s="107"/>
      <c r="K11" s="107"/>
      <c r="L11" s="107"/>
      <c r="M11" s="107"/>
      <c r="N11" s="107"/>
      <c r="O11" s="107"/>
      <c r="P11" s="107"/>
      <c r="Q11" s="107"/>
      <c r="R11" s="107"/>
      <c r="S11" s="107"/>
      <c r="T11" s="107"/>
      <c r="U11" s="107"/>
    </row>
    <row r="12" spans="1:21" x14ac:dyDescent="0.25">
      <c r="A12" s="69" t="s">
        <v>287</v>
      </c>
      <c r="B12" s="107" t="s">
        <v>520</v>
      </c>
      <c r="C12" s="107"/>
      <c r="D12" s="107"/>
      <c r="E12" s="107"/>
      <c r="F12" s="107"/>
      <c r="G12" s="107"/>
      <c r="H12" s="107"/>
      <c r="I12" s="107"/>
      <c r="J12" s="107"/>
      <c r="K12" s="107"/>
      <c r="L12" s="107"/>
      <c r="M12" s="107"/>
      <c r="N12" s="107"/>
      <c r="O12" s="107"/>
      <c r="P12" s="107"/>
      <c r="Q12" s="107"/>
      <c r="R12" s="107"/>
      <c r="S12" s="107"/>
      <c r="T12" s="107"/>
      <c r="U12" s="107"/>
    </row>
    <row r="13" spans="1:21" x14ac:dyDescent="0.25">
      <c r="A13" s="69" t="s">
        <v>289</v>
      </c>
      <c r="B13" s="107">
        <v>2</v>
      </c>
      <c r="C13" s="107"/>
      <c r="D13" s="107"/>
      <c r="E13" s="107"/>
      <c r="F13" s="107"/>
      <c r="G13" s="107"/>
      <c r="H13" s="107"/>
      <c r="I13" s="107"/>
      <c r="J13" s="107"/>
      <c r="K13" s="107"/>
      <c r="L13" s="107"/>
      <c r="M13" s="107"/>
      <c r="N13" s="107"/>
      <c r="O13" s="107"/>
      <c r="P13" s="107"/>
      <c r="Q13" s="107"/>
      <c r="R13" s="107"/>
      <c r="S13" s="107"/>
      <c r="T13" s="107"/>
      <c r="U13" s="107"/>
    </row>
    <row r="14" spans="1:21" x14ac:dyDescent="0.25">
      <c r="A14" s="69" t="s">
        <v>291</v>
      </c>
      <c r="B14" s="107">
        <v>711</v>
      </c>
      <c r="C14" s="107"/>
      <c r="D14" s="107"/>
      <c r="E14" s="107"/>
      <c r="F14" s="107"/>
      <c r="G14" s="107"/>
      <c r="H14" s="107"/>
      <c r="I14" s="107"/>
      <c r="J14" s="107"/>
      <c r="K14" s="107"/>
      <c r="L14" s="107"/>
      <c r="M14" s="107"/>
      <c r="N14" s="107"/>
      <c r="O14" s="107"/>
      <c r="P14" s="107"/>
      <c r="Q14" s="107"/>
      <c r="R14" s="107"/>
      <c r="S14" s="107"/>
      <c r="T14" s="107"/>
      <c r="U14" s="107"/>
    </row>
    <row r="15" spans="1:21" x14ac:dyDescent="0.25">
      <c r="A15" s="69" t="s">
        <v>293</v>
      </c>
      <c r="B15" s="107" t="s">
        <v>542</v>
      </c>
      <c r="C15" s="107"/>
      <c r="D15" s="107"/>
      <c r="E15" s="107"/>
      <c r="F15" s="107"/>
      <c r="G15" s="107"/>
      <c r="H15" s="107"/>
      <c r="I15" s="107"/>
      <c r="J15" s="107"/>
      <c r="K15" s="107"/>
      <c r="L15" s="107"/>
      <c r="M15" s="107"/>
      <c r="N15" s="107"/>
      <c r="O15" s="107"/>
      <c r="P15" s="107"/>
      <c r="Q15" s="107"/>
      <c r="R15" s="107"/>
      <c r="S15" s="107"/>
      <c r="T15" s="107"/>
      <c r="U15" s="107"/>
    </row>
    <row r="16" spans="1:21" x14ac:dyDescent="0.25">
      <c r="A16" s="69" t="s">
        <v>295</v>
      </c>
      <c r="B16" s="107" t="s">
        <v>543</v>
      </c>
      <c r="C16" s="107"/>
      <c r="D16" s="107"/>
      <c r="E16" s="107"/>
      <c r="F16" s="107"/>
      <c r="G16" s="107"/>
      <c r="H16" s="107"/>
      <c r="I16" s="107"/>
      <c r="J16" s="107"/>
      <c r="K16" s="107"/>
      <c r="L16" s="107"/>
      <c r="M16" s="107"/>
      <c r="N16" s="107"/>
      <c r="O16" s="107"/>
      <c r="P16" s="107"/>
      <c r="Q16" s="107"/>
      <c r="R16" s="107"/>
      <c r="S16" s="107"/>
      <c r="T16" s="107"/>
      <c r="U16" s="107"/>
    </row>
    <row r="17" spans="1:21" x14ac:dyDescent="0.25">
      <c r="A17" s="69" t="s">
        <v>725</v>
      </c>
      <c r="B17" s="107"/>
      <c r="C17" s="107"/>
      <c r="D17" s="107"/>
      <c r="E17" s="107"/>
      <c r="F17" s="107"/>
      <c r="G17" s="107"/>
      <c r="H17" s="107"/>
      <c r="I17" s="107"/>
      <c r="J17" s="107"/>
      <c r="K17" s="107"/>
      <c r="L17" s="107"/>
      <c r="M17" s="107"/>
      <c r="N17" s="107"/>
      <c r="O17" s="107"/>
      <c r="P17" s="107"/>
      <c r="Q17" s="107"/>
      <c r="R17" s="107"/>
      <c r="S17" s="107"/>
      <c r="T17" s="107"/>
      <c r="U17" s="107"/>
    </row>
    <row r="18" spans="1:21" x14ac:dyDescent="0.25">
      <c r="A18" s="85" t="s">
        <v>299</v>
      </c>
      <c r="B18" s="164">
        <v>45202</v>
      </c>
      <c r="C18" s="107"/>
      <c r="D18" s="107"/>
      <c r="E18" s="107"/>
      <c r="F18" s="107"/>
      <c r="G18" s="107"/>
      <c r="H18" s="107"/>
      <c r="I18" s="107"/>
      <c r="J18" s="107"/>
      <c r="K18" s="107"/>
      <c r="L18" s="107"/>
      <c r="M18" s="107"/>
      <c r="N18" s="107"/>
      <c r="O18" s="107"/>
      <c r="P18" s="107"/>
      <c r="Q18" s="107"/>
      <c r="R18" s="107"/>
      <c r="S18" s="107"/>
      <c r="T18" s="107"/>
      <c r="U18" s="107"/>
    </row>
    <row r="19" spans="1:21" x14ac:dyDescent="0.25">
      <c r="A19" s="85" t="s">
        <v>301</v>
      </c>
      <c r="B19" s="164">
        <v>45202</v>
      </c>
      <c r="C19" s="107"/>
      <c r="D19" s="107"/>
      <c r="E19" s="107"/>
      <c r="F19" s="107"/>
      <c r="G19" s="107"/>
      <c r="H19" s="107"/>
      <c r="I19" s="107"/>
      <c r="J19" s="107"/>
      <c r="K19" s="107"/>
      <c r="L19" s="107"/>
      <c r="M19" s="107"/>
      <c r="N19" s="107"/>
      <c r="O19" s="107"/>
      <c r="P19" s="107"/>
      <c r="Q19" s="107"/>
      <c r="R19" s="107"/>
      <c r="S19" s="107"/>
      <c r="T19" s="107"/>
      <c r="U19" s="107"/>
    </row>
    <row r="20" spans="1:21" x14ac:dyDescent="0.25">
      <c r="A20" s="85" t="s">
        <v>303</v>
      </c>
      <c r="B20" s="107" t="s">
        <v>317</v>
      </c>
      <c r="C20" s="107"/>
      <c r="D20" s="107"/>
      <c r="E20" s="107"/>
      <c r="F20" s="107"/>
      <c r="G20" s="107"/>
      <c r="H20" s="107"/>
      <c r="I20" s="107"/>
      <c r="J20" s="107"/>
      <c r="K20" s="107"/>
      <c r="L20" s="107"/>
      <c r="M20" s="107"/>
      <c r="N20" s="107"/>
      <c r="O20" s="107"/>
      <c r="P20" s="107"/>
      <c r="Q20" s="107"/>
      <c r="R20" s="107"/>
      <c r="S20" s="107"/>
      <c r="T20" s="107"/>
      <c r="U20" s="107"/>
    </row>
    <row r="21" spans="1:21" x14ac:dyDescent="0.25">
      <c r="A21" s="85" t="s">
        <v>309</v>
      </c>
      <c r="B21" s="107" t="s">
        <v>318</v>
      </c>
      <c r="C21" s="107"/>
      <c r="D21" s="107"/>
      <c r="E21" s="107"/>
      <c r="F21" s="107"/>
      <c r="G21" s="107"/>
      <c r="H21" s="107"/>
      <c r="I21" s="107"/>
      <c r="J21" s="107"/>
      <c r="K21" s="107"/>
      <c r="L21" s="107"/>
      <c r="M21" s="107"/>
      <c r="N21" s="107"/>
      <c r="O21" s="107"/>
      <c r="P21" s="107"/>
      <c r="Q21" s="107"/>
      <c r="R21" s="107"/>
      <c r="S21" s="107"/>
      <c r="T21" s="107"/>
      <c r="U21" s="107"/>
    </row>
    <row r="23" spans="1:21" x14ac:dyDescent="0.25">
      <c r="B23" s="103" t="str">
        <f>HYPERLINK("#'Factor List'!A1","Back to Factor List")</f>
        <v>Back to Factor List</v>
      </c>
    </row>
    <row r="24" spans="1:21" x14ac:dyDescent="0.25">
      <c r="B24" s="103" t="s">
        <v>15</v>
      </c>
    </row>
    <row r="26" spans="1:21" ht="13" x14ac:dyDescent="0.25">
      <c r="A26" s="98" t="s">
        <v>408</v>
      </c>
      <c r="B26" s="98" t="s">
        <v>778</v>
      </c>
      <c r="C26" s="98" t="s">
        <v>779</v>
      </c>
      <c r="D26" s="98" t="s">
        <v>780</v>
      </c>
      <c r="E26" s="98" t="s">
        <v>781</v>
      </c>
      <c r="F26" s="98" t="s">
        <v>782</v>
      </c>
      <c r="G26" s="98" t="s">
        <v>783</v>
      </c>
      <c r="H26" s="98" t="s">
        <v>784</v>
      </c>
      <c r="I26" s="98" t="s">
        <v>785</v>
      </c>
      <c r="J26" s="98" t="s">
        <v>786</v>
      </c>
      <c r="K26" s="98" t="s">
        <v>787</v>
      </c>
      <c r="L26" s="98" t="s">
        <v>788</v>
      </c>
      <c r="M26" s="98" t="s">
        <v>789</v>
      </c>
      <c r="N26" s="98" t="s">
        <v>790</v>
      </c>
      <c r="O26" s="98" t="s">
        <v>791</v>
      </c>
      <c r="P26" s="98" t="s">
        <v>792</v>
      </c>
      <c r="Q26" s="98" t="s">
        <v>793</v>
      </c>
      <c r="R26" s="98" t="s">
        <v>794</v>
      </c>
      <c r="S26" s="98" t="s">
        <v>795</v>
      </c>
      <c r="T26" s="98" t="s">
        <v>796</v>
      </c>
      <c r="U26" s="98" t="s">
        <v>797</v>
      </c>
    </row>
    <row r="27" spans="1:21" x14ac:dyDescent="0.25">
      <c r="A27" s="99">
        <v>16</v>
      </c>
      <c r="B27" s="100">
        <v>238.2</v>
      </c>
      <c r="C27" s="100">
        <v>121.3</v>
      </c>
      <c r="D27" s="100">
        <v>82.3</v>
      </c>
      <c r="E27" s="100">
        <v>62.9</v>
      </c>
      <c r="F27" s="100">
        <v>51.2</v>
      </c>
      <c r="G27" s="100">
        <v>43.5</v>
      </c>
      <c r="H27" s="100">
        <v>37.9</v>
      </c>
      <c r="I27" s="100">
        <v>33.799999999999997</v>
      </c>
      <c r="J27" s="100">
        <v>30.5</v>
      </c>
      <c r="K27" s="100">
        <v>28</v>
      </c>
      <c r="L27" s="100">
        <v>25.9</v>
      </c>
      <c r="M27" s="100">
        <v>24.1</v>
      </c>
      <c r="N27" s="100">
        <v>22.7</v>
      </c>
      <c r="O27" s="100">
        <v>21.4</v>
      </c>
      <c r="P27" s="100">
        <v>20.3</v>
      </c>
      <c r="Q27" s="100">
        <v>19.399999999999999</v>
      </c>
      <c r="R27" s="100">
        <v>18.5</v>
      </c>
      <c r="S27" s="100">
        <v>17.8</v>
      </c>
      <c r="T27" s="100">
        <v>17.2</v>
      </c>
      <c r="U27" s="100">
        <v>16.600000000000001</v>
      </c>
    </row>
    <row r="28" spans="1:21" x14ac:dyDescent="0.25">
      <c r="A28" s="99">
        <v>17</v>
      </c>
      <c r="B28" s="100">
        <v>241.7</v>
      </c>
      <c r="C28" s="100">
        <v>123.1</v>
      </c>
      <c r="D28" s="100">
        <v>83.6</v>
      </c>
      <c r="E28" s="100">
        <v>63.8</v>
      </c>
      <c r="F28" s="100">
        <v>52</v>
      </c>
      <c r="G28" s="100">
        <v>44.1</v>
      </c>
      <c r="H28" s="100">
        <v>38.5</v>
      </c>
      <c r="I28" s="100">
        <v>34.299999999999997</v>
      </c>
      <c r="J28" s="100">
        <v>31</v>
      </c>
      <c r="K28" s="100">
        <v>28.4</v>
      </c>
      <c r="L28" s="100">
        <v>26.3</v>
      </c>
      <c r="M28" s="100">
        <v>24.5</v>
      </c>
      <c r="N28" s="100">
        <v>23</v>
      </c>
      <c r="O28" s="100">
        <v>21.7</v>
      </c>
      <c r="P28" s="100">
        <v>20.6</v>
      </c>
      <c r="Q28" s="100">
        <v>19.7</v>
      </c>
      <c r="R28" s="100">
        <v>18.8</v>
      </c>
      <c r="S28" s="100">
        <v>18.100000000000001</v>
      </c>
      <c r="T28" s="100">
        <v>17.399999999999999</v>
      </c>
      <c r="U28" s="100">
        <v>16.8</v>
      </c>
    </row>
    <row r="29" spans="1:21" x14ac:dyDescent="0.25">
      <c r="A29" s="99">
        <v>18</v>
      </c>
      <c r="B29" s="100">
        <v>245.5</v>
      </c>
      <c r="C29" s="100">
        <v>125</v>
      </c>
      <c r="D29" s="100">
        <v>84.9</v>
      </c>
      <c r="E29" s="100">
        <v>64.8</v>
      </c>
      <c r="F29" s="100">
        <v>52.8</v>
      </c>
      <c r="G29" s="100">
        <v>44.8</v>
      </c>
      <c r="H29" s="100">
        <v>39.1</v>
      </c>
      <c r="I29" s="100">
        <v>34.799999999999997</v>
      </c>
      <c r="J29" s="100">
        <v>31.5</v>
      </c>
      <c r="K29" s="100">
        <v>28.8</v>
      </c>
      <c r="L29" s="100">
        <v>26.7</v>
      </c>
      <c r="M29" s="100">
        <v>24.9</v>
      </c>
      <c r="N29" s="100">
        <v>23.4</v>
      </c>
      <c r="O29" s="100">
        <v>22.1</v>
      </c>
      <c r="P29" s="100">
        <v>21</v>
      </c>
      <c r="Q29" s="100">
        <v>20</v>
      </c>
      <c r="R29" s="100">
        <v>19.100000000000001</v>
      </c>
      <c r="S29" s="100">
        <v>18.399999999999999</v>
      </c>
      <c r="T29" s="100">
        <v>17.7</v>
      </c>
      <c r="U29" s="100">
        <v>17.100000000000001</v>
      </c>
    </row>
    <row r="30" spans="1:21" x14ac:dyDescent="0.25">
      <c r="A30" s="99">
        <v>19</v>
      </c>
      <c r="B30" s="100">
        <v>249.2</v>
      </c>
      <c r="C30" s="100">
        <v>126.9</v>
      </c>
      <c r="D30" s="100">
        <v>86.2</v>
      </c>
      <c r="E30" s="100">
        <v>65.8</v>
      </c>
      <c r="F30" s="100">
        <v>53.6</v>
      </c>
      <c r="G30" s="100">
        <v>45.5</v>
      </c>
      <c r="H30" s="100">
        <v>39.700000000000003</v>
      </c>
      <c r="I30" s="100">
        <v>35.299999999999997</v>
      </c>
      <c r="J30" s="100">
        <v>32</v>
      </c>
      <c r="K30" s="100">
        <v>29.3</v>
      </c>
      <c r="L30" s="100">
        <v>27.1</v>
      </c>
      <c r="M30" s="100">
        <v>25.3</v>
      </c>
      <c r="N30" s="100">
        <v>23.7</v>
      </c>
      <c r="O30" s="100">
        <v>22.4</v>
      </c>
      <c r="P30" s="100">
        <v>21.3</v>
      </c>
      <c r="Q30" s="100">
        <v>20.3</v>
      </c>
      <c r="R30" s="100">
        <v>19.399999999999999</v>
      </c>
      <c r="S30" s="100">
        <v>18.600000000000001</v>
      </c>
      <c r="T30" s="100">
        <v>18</v>
      </c>
      <c r="U30" s="100">
        <v>17.3</v>
      </c>
    </row>
    <row r="31" spans="1:21" x14ac:dyDescent="0.25">
      <c r="A31" s="99">
        <v>20</v>
      </c>
      <c r="B31" s="100">
        <v>252.5</v>
      </c>
      <c r="C31" s="100">
        <v>128.6</v>
      </c>
      <c r="D31" s="100">
        <v>87.3</v>
      </c>
      <c r="E31" s="100">
        <v>66.7</v>
      </c>
      <c r="F31" s="100">
        <v>54.3</v>
      </c>
      <c r="G31" s="100">
        <v>46.1</v>
      </c>
      <c r="H31" s="100">
        <v>40.200000000000003</v>
      </c>
      <c r="I31" s="100">
        <v>35.799999999999997</v>
      </c>
      <c r="J31" s="100">
        <v>32.4</v>
      </c>
      <c r="K31" s="100">
        <v>29.7</v>
      </c>
      <c r="L31" s="100">
        <v>27.5</v>
      </c>
      <c r="M31" s="100">
        <v>25.6</v>
      </c>
      <c r="N31" s="100">
        <v>24</v>
      </c>
      <c r="O31" s="100">
        <v>22.7</v>
      </c>
      <c r="P31" s="100">
        <v>21.6</v>
      </c>
      <c r="Q31" s="100">
        <v>20.6</v>
      </c>
      <c r="R31" s="100">
        <v>19.7</v>
      </c>
      <c r="S31" s="100">
        <v>18.899999999999999</v>
      </c>
      <c r="T31" s="100">
        <v>18.2</v>
      </c>
      <c r="U31" s="100">
        <v>17.600000000000001</v>
      </c>
    </row>
    <row r="32" spans="1:21" x14ac:dyDescent="0.25">
      <c r="A32" s="99">
        <v>21</v>
      </c>
      <c r="B32" s="100">
        <v>255.9</v>
      </c>
      <c r="C32" s="100">
        <v>130.30000000000001</v>
      </c>
      <c r="D32" s="100">
        <v>88.5</v>
      </c>
      <c r="E32" s="100">
        <v>67.599999999999994</v>
      </c>
      <c r="F32" s="100">
        <v>55</v>
      </c>
      <c r="G32" s="100">
        <v>46.7</v>
      </c>
      <c r="H32" s="100">
        <v>40.799999999999997</v>
      </c>
      <c r="I32" s="100">
        <v>36.299999999999997</v>
      </c>
      <c r="J32" s="100">
        <v>32.799999999999997</v>
      </c>
      <c r="K32" s="100">
        <v>30.1</v>
      </c>
      <c r="L32" s="100">
        <v>27.8</v>
      </c>
      <c r="M32" s="100">
        <v>25.9</v>
      </c>
      <c r="N32" s="100">
        <v>24.4</v>
      </c>
      <c r="O32" s="100">
        <v>23</v>
      </c>
      <c r="P32" s="100">
        <v>21.9</v>
      </c>
      <c r="Q32" s="100">
        <v>20.8</v>
      </c>
      <c r="R32" s="100">
        <v>19.899999999999999</v>
      </c>
      <c r="S32" s="100">
        <v>19.2</v>
      </c>
      <c r="T32" s="100">
        <v>18.5</v>
      </c>
      <c r="U32" s="100">
        <v>17.8</v>
      </c>
    </row>
    <row r="33" spans="1:21" x14ac:dyDescent="0.25">
      <c r="A33" s="99">
        <v>22</v>
      </c>
      <c r="B33" s="100">
        <v>259.3</v>
      </c>
      <c r="C33" s="100">
        <v>132</v>
      </c>
      <c r="D33" s="100">
        <v>89.7</v>
      </c>
      <c r="E33" s="100">
        <v>68.5</v>
      </c>
      <c r="F33" s="100">
        <v>55.8</v>
      </c>
      <c r="G33" s="100">
        <v>47.3</v>
      </c>
      <c r="H33" s="100">
        <v>41.3</v>
      </c>
      <c r="I33" s="100">
        <v>36.799999999999997</v>
      </c>
      <c r="J33" s="100">
        <v>33.299999999999997</v>
      </c>
      <c r="K33" s="100">
        <v>30.5</v>
      </c>
      <c r="L33" s="100">
        <v>28.2</v>
      </c>
      <c r="M33" s="100">
        <v>26.3</v>
      </c>
      <c r="N33" s="100">
        <v>24.7</v>
      </c>
      <c r="O33" s="100">
        <v>23.3</v>
      </c>
      <c r="P33" s="100">
        <v>22.1</v>
      </c>
      <c r="Q33" s="100">
        <v>21.1</v>
      </c>
      <c r="R33" s="100">
        <v>20.2</v>
      </c>
      <c r="S33" s="100">
        <v>19.399999999999999</v>
      </c>
      <c r="T33" s="100">
        <v>18.7</v>
      </c>
      <c r="U33" s="100">
        <v>18.100000000000001</v>
      </c>
    </row>
    <row r="34" spans="1:21" x14ac:dyDescent="0.25">
      <c r="A34" s="99">
        <v>23</v>
      </c>
      <c r="B34" s="100">
        <v>262.7</v>
      </c>
      <c r="C34" s="100">
        <v>133.80000000000001</v>
      </c>
      <c r="D34" s="100">
        <v>90.8</v>
      </c>
      <c r="E34" s="100">
        <v>69.400000000000006</v>
      </c>
      <c r="F34" s="100">
        <v>56.5</v>
      </c>
      <c r="G34" s="100">
        <v>48</v>
      </c>
      <c r="H34" s="100">
        <v>41.8</v>
      </c>
      <c r="I34" s="100">
        <v>37.299999999999997</v>
      </c>
      <c r="J34" s="100">
        <v>33.700000000000003</v>
      </c>
      <c r="K34" s="100">
        <v>30.9</v>
      </c>
      <c r="L34" s="100">
        <v>28.6</v>
      </c>
      <c r="M34" s="100">
        <v>26.6</v>
      </c>
      <c r="N34" s="100">
        <v>25</v>
      </c>
      <c r="O34" s="100">
        <v>23.6</v>
      </c>
      <c r="P34" s="100">
        <v>22.4</v>
      </c>
      <c r="Q34" s="100">
        <v>21.4</v>
      </c>
      <c r="R34" s="100">
        <v>20.5</v>
      </c>
      <c r="S34" s="100">
        <v>19.7</v>
      </c>
      <c r="T34" s="100">
        <v>19</v>
      </c>
      <c r="U34" s="100">
        <v>18.3</v>
      </c>
    </row>
    <row r="35" spans="1:21" x14ac:dyDescent="0.25">
      <c r="A35" s="99">
        <v>24</v>
      </c>
      <c r="B35" s="100">
        <v>266.10000000000002</v>
      </c>
      <c r="C35" s="100">
        <v>135.5</v>
      </c>
      <c r="D35" s="100">
        <v>92</v>
      </c>
      <c r="E35" s="100">
        <v>70.3</v>
      </c>
      <c r="F35" s="100">
        <v>57.3</v>
      </c>
      <c r="G35" s="100">
        <v>48.6</v>
      </c>
      <c r="H35" s="100">
        <v>42.4</v>
      </c>
      <c r="I35" s="100">
        <v>37.799999999999997</v>
      </c>
      <c r="J35" s="100">
        <v>34.200000000000003</v>
      </c>
      <c r="K35" s="100">
        <v>31.3</v>
      </c>
      <c r="L35" s="100">
        <v>29</v>
      </c>
      <c r="M35" s="100">
        <v>27</v>
      </c>
      <c r="N35" s="100">
        <v>25.4</v>
      </c>
      <c r="O35" s="100">
        <v>24</v>
      </c>
      <c r="P35" s="100">
        <v>22.7</v>
      </c>
      <c r="Q35" s="100">
        <v>21.7</v>
      </c>
      <c r="R35" s="100">
        <v>20.8</v>
      </c>
      <c r="S35" s="100">
        <v>19.899999999999999</v>
      </c>
      <c r="T35" s="100">
        <v>19.2</v>
      </c>
      <c r="U35" s="100">
        <v>18.600000000000001</v>
      </c>
    </row>
    <row r="36" spans="1:21" x14ac:dyDescent="0.25">
      <c r="A36" s="99">
        <v>25</v>
      </c>
      <c r="B36" s="100">
        <v>269.60000000000002</v>
      </c>
      <c r="C36" s="100">
        <v>137.30000000000001</v>
      </c>
      <c r="D36" s="100">
        <v>93.2</v>
      </c>
      <c r="E36" s="100">
        <v>71.2</v>
      </c>
      <c r="F36" s="100">
        <v>58</v>
      </c>
      <c r="G36" s="100">
        <v>49.2</v>
      </c>
      <c r="H36" s="100">
        <v>43</v>
      </c>
      <c r="I36" s="100">
        <v>38.299999999999997</v>
      </c>
      <c r="J36" s="100">
        <v>34.6</v>
      </c>
      <c r="K36" s="100">
        <v>31.7</v>
      </c>
      <c r="L36" s="100">
        <v>29.3</v>
      </c>
      <c r="M36" s="100">
        <v>27.4</v>
      </c>
      <c r="N36" s="100">
        <v>25.7</v>
      </c>
      <c r="O36" s="100">
        <v>24.3</v>
      </c>
      <c r="P36" s="100">
        <v>23.1</v>
      </c>
      <c r="Q36" s="100">
        <v>22</v>
      </c>
      <c r="R36" s="100">
        <v>21</v>
      </c>
      <c r="S36" s="100">
        <v>20.2</v>
      </c>
      <c r="T36" s="100">
        <v>19.5</v>
      </c>
      <c r="U36" s="100">
        <v>18.8</v>
      </c>
    </row>
    <row r="37" spans="1:21" x14ac:dyDescent="0.25">
      <c r="A37" s="99">
        <v>26</v>
      </c>
      <c r="B37" s="100">
        <v>273.2</v>
      </c>
      <c r="C37" s="100">
        <v>139.1</v>
      </c>
      <c r="D37" s="100">
        <v>94.5</v>
      </c>
      <c r="E37" s="100">
        <v>72.2</v>
      </c>
      <c r="F37" s="100">
        <v>58.8</v>
      </c>
      <c r="G37" s="100">
        <v>49.9</v>
      </c>
      <c r="H37" s="100">
        <v>43.5</v>
      </c>
      <c r="I37" s="100">
        <v>38.799999999999997</v>
      </c>
      <c r="J37" s="100">
        <v>35.1</v>
      </c>
      <c r="K37" s="100">
        <v>32.1</v>
      </c>
      <c r="L37" s="100">
        <v>29.7</v>
      </c>
      <c r="M37" s="100">
        <v>27.7</v>
      </c>
      <c r="N37" s="100">
        <v>26</v>
      </c>
      <c r="O37" s="100">
        <v>24.6</v>
      </c>
      <c r="P37" s="100">
        <v>23.4</v>
      </c>
      <c r="Q37" s="100">
        <v>22.3</v>
      </c>
      <c r="R37" s="100">
        <v>21.3</v>
      </c>
      <c r="S37" s="100">
        <v>20.5</v>
      </c>
      <c r="T37" s="100">
        <v>19.7</v>
      </c>
      <c r="U37" s="100">
        <v>19.100000000000001</v>
      </c>
    </row>
    <row r="38" spans="1:21" x14ac:dyDescent="0.25">
      <c r="A38" s="99">
        <v>27</v>
      </c>
      <c r="B38" s="100">
        <v>276.8</v>
      </c>
      <c r="C38" s="100">
        <v>141</v>
      </c>
      <c r="D38" s="100">
        <v>95.7</v>
      </c>
      <c r="E38" s="100">
        <v>73.099999999999994</v>
      </c>
      <c r="F38" s="100">
        <v>59.6</v>
      </c>
      <c r="G38" s="100">
        <v>50.5</v>
      </c>
      <c r="H38" s="100">
        <v>44.1</v>
      </c>
      <c r="I38" s="100">
        <v>39.299999999999997</v>
      </c>
      <c r="J38" s="100">
        <v>35.5</v>
      </c>
      <c r="K38" s="100">
        <v>32.6</v>
      </c>
      <c r="L38" s="100">
        <v>30.1</v>
      </c>
      <c r="M38" s="100">
        <v>28.1</v>
      </c>
      <c r="N38" s="100">
        <v>26.4</v>
      </c>
      <c r="O38" s="100">
        <v>24.9</v>
      </c>
      <c r="P38" s="100">
        <v>23.7</v>
      </c>
      <c r="Q38" s="100">
        <v>22.6</v>
      </c>
      <c r="R38" s="100">
        <v>21.6</v>
      </c>
      <c r="S38" s="100">
        <v>20.8</v>
      </c>
      <c r="T38" s="100">
        <v>20</v>
      </c>
      <c r="U38" s="100">
        <v>19.3</v>
      </c>
    </row>
    <row r="39" spans="1:21" x14ac:dyDescent="0.25">
      <c r="A39" s="99">
        <v>28</v>
      </c>
      <c r="B39" s="100">
        <v>280.39999999999998</v>
      </c>
      <c r="C39" s="100">
        <v>142.80000000000001</v>
      </c>
      <c r="D39" s="100">
        <v>97</v>
      </c>
      <c r="E39" s="100">
        <v>74.099999999999994</v>
      </c>
      <c r="F39" s="100">
        <v>60.3</v>
      </c>
      <c r="G39" s="100">
        <v>51.2</v>
      </c>
      <c r="H39" s="100">
        <v>44.7</v>
      </c>
      <c r="I39" s="100">
        <v>39.799999999999997</v>
      </c>
      <c r="J39" s="100">
        <v>36</v>
      </c>
      <c r="K39" s="100">
        <v>33</v>
      </c>
      <c r="L39" s="100">
        <v>30.5</v>
      </c>
      <c r="M39" s="100">
        <v>28.5</v>
      </c>
      <c r="N39" s="100">
        <v>26.8</v>
      </c>
      <c r="O39" s="100">
        <v>25.3</v>
      </c>
      <c r="P39" s="100">
        <v>24</v>
      </c>
      <c r="Q39" s="100">
        <v>22.9</v>
      </c>
      <c r="R39" s="100">
        <v>21.9</v>
      </c>
      <c r="S39" s="100">
        <v>21.1</v>
      </c>
      <c r="T39" s="100">
        <v>20.3</v>
      </c>
      <c r="U39" s="100">
        <v>19.600000000000001</v>
      </c>
    </row>
    <row r="40" spans="1:21" x14ac:dyDescent="0.25">
      <c r="A40" s="99">
        <v>29</v>
      </c>
      <c r="B40" s="100">
        <v>284</v>
      </c>
      <c r="C40" s="100">
        <v>144.69999999999999</v>
      </c>
      <c r="D40" s="100">
        <v>98.2</v>
      </c>
      <c r="E40" s="100">
        <v>75</v>
      </c>
      <c r="F40" s="100">
        <v>61.1</v>
      </c>
      <c r="G40" s="100">
        <v>51.9</v>
      </c>
      <c r="H40" s="100">
        <v>45.3</v>
      </c>
      <c r="I40" s="100">
        <v>40.299999999999997</v>
      </c>
      <c r="J40" s="100">
        <v>36.5</v>
      </c>
      <c r="K40" s="100">
        <v>33.4</v>
      </c>
      <c r="L40" s="100">
        <v>30.9</v>
      </c>
      <c r="M40" s="100">
        <v>28.9</v>
      </c>
      <c r="N40" s="100">
        <v>27.1</v>
      </c>
      <c r="O40" s="100">
        <v>25.6</v>
      </c>
      <c r="P40" s="100">
        <v>24.3</v>
      </c>
      <c r="Q40" s="100">
        <v>23.2</v>
      </c>
      <c r="R40" s="100">
        <v>22.2</v>
      </c>
      <c r="S40" s="100">
        <v>21.3</v>
      </c>
      <c r="T40" s="100">
        <v>20.6</v>
      </c>
      <c r="U40" s="100">
        <v>19.899999999999999</v>
      </c>
    </row>
    <row r="41" spans="1:21" x14ac:dyDescent="0.25">
      <c r="A41" s="99">
        <v>30</v>
      </c>
      <c r="B41" s="100">
        <v>287.7</v>
      </c>
      <c r="C41" s="100">
        <v>146.6</v>
      </c>
      <c r="D41" s="100">
        <v>99.5</v>
      </c>
      <c r="E41" s="100">
        <v>76</v>
      </c>
      <c r="F41" s="100">
        <v>61.9</v>
      </c>
      <c r="G41" s="100">
        <v>52.6</v>
      </c>
      <c r="H41" s="100">
        <v>45.9</v>
      </c>
      <c r="I41" s="100">
        <v>40.9</v>
      </c>
      <c r="J41" s="100">
        <v>37</v>
      </c>
      <c r="K41" s="100">
        <v>33.9</v>
      </c>
      <c r="L41" s="100">
        <v>31.4</v>
      </c>
      <c r="M41" s="100">
        <v>29.3</v>
      </c>
      <c r="N41" s="100">
        <v>27.5</v>
      </c>
      <c r="O41" s="100">
        <v>26</v>
      </c>
      <c r="P41" s="100">
        <v>24.7</v>
      </c>
      <c r="Q41" s="100">
        <v>23.5</v>
      </c>
      <c r="R41" s="100">
        <v>22.5</v>
      </c>
      <c r="S41" s="100">
        <v>21.6</v>
      </c>
      <c r="T41" s="100">
        <v>20.9</v>
      </c>
      <c r="U41" s="100">
        <v>20.2</v>
      </c>
    </row>
    <row r="42" spans="1:21" x14ac:dyDescent="0.25">
      <c r="A42" s="99">
        <v>31</v>
      </c>
      <c r="B42" s="100">
        <v>291.5</v>
      </c>
      <c r="C42" s="100">
        <v>148.5</v>
      </c>
      <c r="D42" s="100">
        <v>100.8</v>
      </c>
      <c r="E42" s="100">
        <v>77</v>
      </c>
      <c r="F42" s="100">
        <v>62.8</v>
      </c>
      <c r="G42" s="100">
        <v>53.3</v>
      </c>
      <c r="H42" s="100">
        <v>46.5</v>
      </c>
      <c r="I42" s="100">
        <v>41.4</v>
      </c>
      <c r="J42" s="100">
        <v>37.5</v>
      </c>
      <c r="K42" s="100">
        <v>34.299999999999997</v>
      </c>
      <c r="L42" s="100">
        <v>31.8</v>
      </c>
      <c r="M42" s="100">
        <v>29.6</v>
      </c>
      <c r="N42" s="100">
        <v>27.9</v>
      </c>
      <c r="O42" s="100">
        <v>26.3</v>
      </c>
      <c r="P42" s="100">
        <v>25</v>
      </c>
      <c r="Q42" s="100">
        <v>23.8</v>
      </c>
      <c r="R42" s="100">
        <v>22.8</v>
      </c>
      <c r="S42" s="100">
        <v>21.9</v>
      </c>
      <c r="T42" s="100">
        <v>21.1</v>
      </c>
      <c r="U42" s="100">
        <v>20.399999999999999</v>
      </c>
    </row>
    <row r="43" spans="1:21" x14ac:dyDescent="0.25">
      <c r="A43" s="99">
        <v>32</v>
      </c>
      <c r="B43" s="100">
        <v>295.3</v>
      </c>
      <c r="C43" s="100">
        <v>150.4</v>
      </c>
      <c r="D43" s="100">
        <v>102.1</v>
      </c>
      <c r="E43" s="100">
        <v>78</v>
      </c>
      <c r="F43" s="100">
        <v>63.6</v>
      </c>
      <c r="G43" s="100">
        <v>54</v>
      </c>
      <c r="H43" s="100">
        <v>47.1</v>
      </c>
      <c r="I43" s="100">
        <v>42</v>
      </c>
      <c r="J43" s="100">
        <v>38</v>
      </c>
      <c r="K43" s="100">
        <v>34.799999999999997</v>
      </c>
      <c r="L43" s="100">
        <v>32.200000000000003</v>
      </c>
      <c r="M43" s="100">
        <v>30</v>
      </c>
      <c r="N43" s="100">
        <v>28.2</v>
      </c>
      <c r="O43" s="100">
        <v>26.7</v>
      </c>
      <c r="P43" s="100">
        <v>25.3</v>
      </c>
      <c r="Q43" s="100">
        <v>24.2</v>
      </c>
      <c r="R43" s="100">
        <v>23.2</v>
      </c>
      <c r="S43" s="100">
        <v>22.2</v>
      </c>
      <c r="T43" s="100">
        <v>21.4</v>
      </c>
      <c r="U43" s="100">
        <v>20.7</v>
      </c>
    </row>
    <row r="44" spans="1:21" x14ac:dyDescent="0.25">
      <c r="A44" s="99">
        <v>33</v>
      </c>
      <c r="B44" s="100">
        <v>299.10000000000002</v>
      </c>
      <c r="C44" s="100">
        <v>152.30000000000001</v>
      </c>
      <c r="D44" s="100">
        <v>103.5</v>
      </c>
      <c r="E44" s="100">
        <v>79</v>
      </c>
      <c r="F44" s="100">
        <v>64.400000000000006</v>
      </c>
      <c r="G44" s="100">
        <v>54.7</v>
      </c>
      <c r="H44" s="100">
        <v>47.7</v>
      </c>
      <c r="I44" s="100">
        <v>42.5</v>
      </c>
      <c r="J44" s="100">
        <v>38.5</v>
      </c>
      <c r="K44" s="100">
        <v>35.299999999999997</v>
      </c>
      <c r="L44" s="100">
        <v>32.6</v>
      </c>
      <c r="M44" s="100">
        <v>30.5</v>
      </c>
      <c r="N44" s="100">
        <v>28.6</v>
      </c>
      <c r="O44" s="100">
        <v>27</v>
      </c>
      <c r="P44" s="100">
        <v>25.7</v>
      </c>
      <c r="Q44" s="100">
        <v>24.5</v>
      </c>
      <c r="R44" s="100">
        <v>23.5</v>
      </c>
      <c r="S44" s="100">
        <v>22.6</v>
      </c>
      <c r="T44" s="100">
        <v>21.7</v>
      </c>
      <c r="U44" s="100">
        <v>21</v>
      </c>
    </row>
    <row r="45" spans="1:21" x14ac:dyDescent="0.25">
      <c r="A45" s="99">
        <v>34</v>
      </c>
      <c r="B45" s="100">
        <v>302.89999999999998</v>
      </c>
      <c r="C45" s="100">
        <v>154.30000000000001</v>
      </c>
      <c r="D45" s="100">
        <v>104.8</v>
      </c>
      <c r="E45" s="100">
        <v>80.099999999999994</v>
      </c>
      <c r="F45" s="100">
        <v>65.2</v>
      </c>
      <c r="G45" s="100">
        <v>55.4</v>
      </c>
      <c r="H45" s="100">
        <v>48.3</v>
      </c>
      <c r="I45" s="100">
        <v>43.1</v>
      </c>
      <c r="J45" s="100">
        <v>39</v>
      </c>
      <c r="K45" s="100">
        <v>35.700000000000003</v>
      </c>
      <c r="L45" s="100">
        <v>33.1</v>
      </c>
      <c r="M45" s="100">
        <v>30.9</v>
      </c>
      <c r="N45" s="100">
        <v>29</v>
      </c>
      <c r="O45" s="100">
        <v>27.4</v>
      </c>
      <c r="P45" s="100">
        <v>26</v>
      </c>
      <c r="Q45" s="100">
        <v>24.8</v>
      </c>
      <c r="R45" s="100">
        <v>23.8</v>
      </c>
      <c r="S45" s="100">
        <v>22.9</v>
      </c>
      <c r="T45" s="100">
        <v>22</v>
      </c>
      <c r="U45" s="100">
        <v>21.3</v>
      </c>
    </row>
    <row r="46" spans="1:21" x14ac:dyDescent="0.25">
      <c r="A46" s="99">
        <v>35</v>
      </c>
      <c r="B46" s="100">
        <v>306.7</v>
      </c>
      <c r="C46" s="100">
        <v>156.30000000000001</v>
      </c>
      <c r="D46" s="100">
        <v>106.1</v>
      </c>
      <c r="E46" s="100">
        <v>81.099999999999994</v>
      </c>
      <c r="F46" s="100">
        <v>66.099999999999994</v>
      </c>
      <c r="G46" s="100">
        <v>56.1</v>
      </c>
      <c r="H46" s="100">
        <v>49</v>
      </c>
      <c r="I46" s="100">
        <v>43.6</v>
      </c>
      <c r="J46" s="100">
        <v>39.5</v>
      </c>
      <c r="K46" s="100">
        <v>36.200000000000003</v>
      </c>
      <c r="L46" s="100">
        <v>33.5</v>
      </c>
      <c r="M46" s="100">
        <v>31.3</v>
      </c>
      <c r="N46" s="100">
        <v>29.4</v>
      </c>
      <c r="O46" s="100">
        <v>27.8</v>
      </c>
      <c r="P46" s="100">
        <v>26.4</v>
      </c>
      <c r="Q46" s="100">
        <v>25.2</v>
      </c>
      <c r="R46" s="100">
        <v>24.1</v>
      </c>
      <c r="S46" s="100">
        <v>23.2</v>
      </c>
      <c r="T46" s="100">
        <v>22.4</v>
      </c>
      <c r="U46" s="100">
        <v>21.6</v>
      </c>
    </row>
    <row r="47" spans="1:21" x14ac:dyDescent="0.25">
      <c r="A47" s="99">
        <v>36</v>
      </c>
      <c r="B47" s="100">
        <v>310.60000000000002</v>
      </c>
      <c r="C47" s="100">
        <v>158.30000000000001</v>
      </c>
      <c r="D47" s="100">
        <v>107.5</v>
      </c>
      <c r="E47" s="100">
        <v>82.1</v>
      </c>
      <c r="F47" s="100">
        <v>66.900000000000006</v>
      </c>
      <c r="G47" s="100">
        <v>56.8</v>
      </c>
      <c r="H47" s="100">
        <v>49.6</v>
      </c>
      <c r="I47" s="100">
        <v>44.2</v>
      </c>
      <c r="J47" s="100">
        <v>40</v>
      </c>
      <c r="K47" s="100">
        <v>36.700000000000003</v>
      </c>
      <c r="L47" s="100">
        <v>34</v>
      </c>
      <c r="M47" s="100">
        <v>31.7</v>
      </c>
      <c r="N47" s="100">
        <v>29.8</v>
      </c>
      <c r="O47" s="100">
        <v>28.2</v>
      </c>
      <c r="P47" s="100">
        <v>26.8</v>
      </c>
      <c r="Q47" s="100">
        <v>25.5</v>
      </c>
      <c r="R47" s="100">
        <v>24.5</v>
      </c>
      <c r="S47" s="100">
        <v>23.5</v>
      </c>
      <c r="T47" s="100">
        <v>22.7</v>
      </c>
      <c r="U47" s="100">
        <v>21.9</v>
      </c>
    </row>
    <row r="48" spans="1:21" x14ac:dyDescent="0.25">
      <c r="A48" s="99">
        <v>37</v>
      </c>
      <c r="B48" s="100">
        <v>314.60000000000002</v>
      </c>
      <c r="C48" s="100">
        <v>160.30000000000001</v>
      </c>
      <c r="D48" s="100">
        <v>108.9</v>
      </c>
      <c r="E48" s="100">
        <v>83.2</v>
      </c>
      <c r="F48" s="100">
        <v>67.8</v>
      </c>
      <c r="G48" s="100">
        <v>57.6</v>
      </c>
      <c r="H48" s="100">
        <v>50.3</v>
      </c>
      <c r="I48" s="100">
        <v>44.8</v>
      </c>
      <c r="J48" s="100">
        <v>40.6</v>
      </c>
      <c r="K48" s="100">
        <v>37.200000000000003</v>
      </c>
      <c r="L48" s="100">
        <v>34.4</v>
      </c>
      <c r="M48" s="100">
        <v>32.1</v>
      </c>
      <c r="N48" s="100">
        <v>30.2</v>
      </c>
      <c r="O48" s="100">
        <v>28.5</v>
      </c>
      <c r="P48" s="100">
        <v>27.1</v>
      </c>
      <c r="Q48" s="100">
        <v>25.9</v>
      </c>
      <c r="R48" s="100">
        <v>24.8</v>
      </c>
      <c r="S48" s="100">
        <v>23.9</v>
      </c>
      <c r="T48" s="100">
        <v>23</v>
      </c>
      <c r="U48" s="100">
        <v>22.3</v>
      </c>
    </row>
    <row r="49" spans="1:21" x14ac:dyDescent="0.25">
      <c r="A49" s="99">
        <v>38</v>
      </c>
      <c r="B49" s="100">
        <v>318.60000000000002</v>
      </c>
      <c r="C49" s="100">
        <v>162.30000000000001</v>
      </c>
      <c r="D49" s="100">
        <v>110.3</v>
      </c>
      <c r="E49" s="100">
        <v>84.3</v>
      </c>
      <c r="F49" s="100">
        <v>68.7</v>
      </c>
      <c r="G49" s="100">
        <v>58.3</v>
      </c>
      <c r="H49" s="100">
        <v>50.9</v>
      </c>
      <c r="I49" s="100">
        <v>45.4</v>
      </c>
      <c r="J49" s="100">
        <v>41.1</v>
      </c>
      <c r="K49" s="100">
        <v>37.700000000000003</v>
      </c>
      <c r="L49" s="100">
        <v>34.9</v>
      </c>
      <c r="M49" s="100">
        <v>32.6</v>
      </c>
      <c r="N49" s="100">
        <v>30.6</v>
      </c>
      <c r="O49" s="100">
        <v>28.9</v>
      </c>
      <c r="P49" s="100">
        <v>27.5</v>
      </c>
      <c r="Q49" s="100">
        <v>26.3</v>
      </c>
      <c r="R49" s="100">
        <v>25.2</v>
      </c>
      <c r="S49" s="100">
        <v>24.2</v>
      </c>
      <c r="T49" s="100">
        <v>23.3</v>
      </c>
      <c r="U49" s="100">
        <v>22.6</v>
      </c>
    </row>
    <row r="50" spans="1:21" x14ac:dyDescent="0.25">
      <c r="A50" s="99">
        <v>39</v>
      </c>
      <c r="B50" s="100">
        <v>322.60000000000002</v>
      </c>
      <c r="C50" s="100">
        <v>164.4</v>
      </c>
      <c r="D50" s="100">
        <v>111.7</v>
      </c>
      <c r="E50" s="100">
        <v>85.3</v>
      </c>
      <c r="F50" s="100">
        <v>69.599999999999994</v>
      </c>
      <c r="G50" s="100">
        <v>59.1</v>
      </c>
      <c r="H50" s="100">
        <v>51.6</v>
      </c>
      <c r="I50" s="100">
        <v>46</v>
      </c>
      <c r="J50" s="100">
        <v>41.6</v>
      </c>
      <c r="K50" s="100">
        <v>38.200000000000003</v>
      </c>
      <c r="L50" s="100">
        <v>35.299999999999997</v>
      </c>
      <c r="M50" s="100">
        <v>33</v>
      </c>
      <c r="N50" s="100">
        <v>31</v>
      </c>
      <c r="O50" s="100">
        <v>29.3</v>
      </c>
      <c r="P50" s="100">
        <v>27.9</v>
      </c>
      <c r="Q50" s="100">
        <v>26.6</v>
      </c>
      <c r="R50" s="100">
        <v>25.5</v>
      </c>
      <c r="S50" s="100">
        <v>24.6</v>
      </c>
      <c r="T50" s="100">
        <v>23.7</v>
      </c>
      <c r="U50" s="100">
        <v>22.9</v>
      </c>
    </row>
    <row r="51" spans="1:21" x14ac:dyDescent="0.25">
      <c r="A51" s="99">
        <v>40</v>
      </c>
      <c r="B51" s="100">
        <v>326.60000000000002</v>
      </c>
      <c r="C51" s="100">
        <v>166.5</v>
      </c>
      <c r="D51" s="100">
        <v>113.1</v>
      </c>
      <c r="E51" s="100">
        <v>86.4</v>
      </c>
      <c r="F51" s="100">
        <v>70.5</v>
      </c>
      <c r="G51" s="100">
        <v>59.8</v>
      </c>
      <c r="H51" s="100">
        <v>52.3</v>
      </c>
      <c r="I51" s="100">
        <v>46.6</v>
      </c>
      <c r="J51" s="100">
        <v>42.2</v>
      </c>
      <c r="K51" s="100">
        <v>38.700000000000003</v>
      </c>
      <c r="L51" s="100">
        <v>35.799999999999997</v>
      </c>
      <c r="M51" s="100">
        <v>33.4</v>
      </c>
      <c r="N51" s="100">
        <v>31.5</v>
      </c>
      <c r="O51" s="100">
        <v>29.8</v>
      </c>
      <c r="P51" s="100">
        <v>28.3</v>
      </c>
      <c r="Q51" s="100">
        <v>27</v>
      </c>
      <c r="R51" s="100">
        <v>25.9</v>
      </c>
      <c r="S51" s="100">
        <v>24.9</v>
      </c>
      <c r="T51" s="100">
        <v>24.1</v>
      </c>
      <c r="U51" s="100">
        <v>23.3</v>
      </c>
    </row>
    <row r="52" spans="1:21" x14ac:dyDescent="0.25">
      <c r="A52" s="99">
        <v>41</v>
      </c>
      <c r="B52" s="100">
        <v>330.8</v>
      </c>
      <c r="C52" s="100">
        <v>168.6</v>
      </c>
      <c r="D52" s="100">
        <v>114.6</v>
      </c>
      <c r="E52" s="100">
        <v>87.6</v>
      </c>
      <c r="F52" s="100">
        <v>71.400000000000006</v>
      </c>
      <c r="G52" s="100">
        <v>60.6</v>
      </c>
      <c r="H52" s="100">
        <v>53</v>
      </c>
      <c r="I52" s="100">
        <v>47.2</v>
      </c>
      <c r="J52" s="100">
        <v>42.8</v>
      </c>
      <c r="K52" s="100">
        <v>39.200000000000003</v>
      </c>
      <c r="L52" s="100">
        <v>36.299999999999997</v>
      </c>
      <c r="M52" s="100">
        <v>33.9</v>
      </c>
      <c r="N52" s="100">
        <v>31.9</v>
      </c>
      <c r="O52" s="100">
        <v>30.2</v>
      </c>
      <c r="P52" s="100">
        <v>28.7</v>
      </c>
      <c r="Q52" s="100">
        <v>27.4</v>
      </c>
      <c r="R52" s="100">
        <v>26.3</v>
      </c>
      <c r="S52" s="100">
        <v>25.3</v>
      </c>
      <c r="T52" s="100">
        <v>24.4</v>
      </c>
      <c r="U52" s="100">
        <v>23.7</v>
      </c>
    </row>
    <row r="53" spans="1:21" x14ac:dyDescent="0.25">
      <c r="A53" s="99">
        <v>42</v>
      </c>
      <c r="B53" s="100">
        <v>334.9</v>
      </c>
      <c r="C53" s="100">
        <v>170.7</v>
      </c>
      <c r="D53" s="100">
        <v>116</v>
      </c>
      <c r="E53" s="100">
        <v>88.7</v>
      </c>
      <c r="F53" s="100">
        <v>72.3</v>
      </c>
      <c r="G53" s="100">
        <v>61.4</v>
      </c>
      <c r="H53" s="100">
        <v>53.6</v>
      </c>
      <c r="I53" s="100">
        <v>47.8</v>
      </c>
      <c r="J53" s="100">
        <v>43.3</v>
      </c>
      <c r="K53" s="100">
        <v>39.700000000000003</v>
      </c>
      <c r="L53" s="100">
        <v>36.799999999999997</v>
      </c>
      <c r="M53" s="100">
        <v>34.4</v>
      </c>
      <c r="N53" s="100">
        <v>32.299999999999997</v>
      </c>
      <c r="O53" s="100">
        <v>30.6</v>
      </c>
      <c r="P53" s="100">
        <v>29.1</v>
      </c>
      <c r="Q53" s="100">
        <v>27.8</v>
      </c>
      <c r="R53" s="100">
        <v>26.7</v>
      </c>
      <c r="S53" s="100">
        <v>25.7</v>
      </c>
      <c r="T53" s="100">
        <v>24.8</v>
      </c>
      <c r="U53" s="100">
        <v>24.1</v>
      </c>
    </row>
    <row r="54" spans="1:21" x14ac:dyDescent="0.25">
      <c r="A54" s="99">
        <v>43</v>
      </c>
      <c r="B54" s="100">
        <v>339.1</v>
      </c>
      <c r="C54" s="100">
        <v>172.9</v>
      </c>
      <c r="D54" s="100">
        <v>117.5</v>
      </c>
      <c r="E54" s="100">
        <v>89.8</v>
      </c>
      <c r="F54" s="100">
        <v>73.2</v>
      </c>
      <c r="G54" s="100">
        <v>62.2</v>
      </c>
      <c r="H54" s="100">
        <v>54.3</v>
      </c>
      <c r="I54" s="100">
        <v>48.5</v>
      </c>
      <c r="J54" s="100">
        <v>43.9</v>
      </c>
      <c r="K54" s="100">
        <v>40.299999999999997</v>
      </c>
      <c r="L54" s="100">
        <v>37.299999999999997</v>
      </c>
      <c r="M54" s="100">
        <v>34.9</v>
      </c>
      <c r="N54" s="100">
        <v>32.799999999999997</v>
      </c>
      <c r="O54" s="100">
        <v>31.1</v>
      </c>
      <c r="P54" s="100">
        <v>29.6</v>
      </c>
      <c r="Q54" s="100">
        <v>28.3</v>
      </c>
      <c r="R54" s="100">
        <v>27.1</v>
      </c>
      <c r="S54" s="100">
        <v>26.1</v>
      </c>
      <c r="T54" s="100">
        <v>25.2</v>
      </c>
      <c r="U54" s="100">
        <v>24.5</v>
      </c>
    </row>
    <row r="55" spans="1:21" x14ac:dyDescent="0.25">
      <c r="A55" s="99">
        <v>44</v>
      </c>
      <c r="B55" s="100">
        <v>343.3</v>
      </c>
      <c r="C55" s="100">
        <v>175</v>
      </c>
      <c r="D55" s="100">
        <v>119</v>
      </c>
      <c r="E55" s="100">
        <v>91</v>
      </c>
      <c r="F55" s="100">
        <v>74.2</v>
      </c>
      <c r="G55" s="100">
        <v>63</v>
      </c>
      <c r="H55" s="100">
        <v>55.1</v>
      </c>
      <c r="I55" s="100">
        <v>49.1</v>
      </c>
      <c r="J55" s="100">
        <v>44.5</v>
      </c>
      <c r="K55" s="100">
        <v>40.799999999999997</v>
      </c>
      <c r="L55" s="100">
        <v>37.799999999999997</v>
      </c>
      <c r="M55" s="100">
        <v>35.4</v>
      </c>
      <c r="N55" s="100">
        <v>33.299999999999997</v>
      </c>
      <c r="O55" s="100">
        <v>31.5</v>
      </c>
      <c r="P55" s="100">
        <v>30</v>
      </c>
      <c r="Q55" s="100">
        <v>28.7</v>
      </c>
      <c r="R55" s="100">
        <v>27.6</v>
      </c>
      <c r="S55" s="100">
        <v>26.6</v>
      </c>
      <c r="T55" s="100">
        <v>25.7</v>
      </c>
      <c r="U55" s="100">
        <v>24.9</v>
      </c>
    </row>
    <row r="56" spans="1:21" x14ac:dyDescent="0.25">
      <c r="A56" s="99">
        <v>45</v>
      </c>
      <c r="B56" s="100">
        <v>347.6</v>
      </c>
      <c r="C56" s="100">
        <v>177.2</v>
      </c>
      <c r="D56" s="100">
        <v>120.5</v>
      </c>
      <c r="E56" s="100">
        <v>92.1</v>
      </c>
      <c r="F56" s="100">
        <v>75.099999999999994</v>
      </c>
      <c r="G56" s="100">
        <v>63.8</v>
      </c>
      <c r="H56" s="100">
        <v>55.8</v>
      </c>
      <c r="I56" s="100">
        <v>49.8</v>
      </c>
      <c r="J56" s="100">
        <v>45.1</v>
      </c>
      <c r="K56" s="100">
        <v>41.4</v>
      </c>
      <c r="L56" s="100">
        <v>38.4</v>
      </c>
      <c r="M56" s="100">
        <v>35.9</v>
      </c>
      <c r="N56" s="100">
        <v>33.799999999999997</v>
      </c>
      <c r="O56" s="100">
        <v>32</v>
      </c>
      <c r="P56" s="100">
        <v>30.5</v>
      </c>
      <c r="Q56" s="100">
        <v>29.2</v>
      </c>
      <c r="R56" s="100">
        <v>28</v>
      </c>
      <c r="S56" s="100">
        <v>27</v>
      </c>
      <c r="T56" s="100">
        <v>26.1</v>
      </c>
      <c r="U56" s="100"/>
    </row>
    <row r="57" spans="1:21" x14ac:dyDescent="0.25">
      <c r="A57" s="99">
        <v>46</v>
      </c>
      <c r="B57" s="100">
        <v>351.9</v>
      </c>
      <c r="C57" s="100">
        <v>179.4</v>
      </c>
      <c r="D57" s="100">
        <v>122</v>
      </c>
      <c r="E57" s="100">
        <v>93.3</v>
      </c>
      <c r="F57" s="100">
        <v>76.099999999999994</v>
      </c>
      <c r="G57" s="100">
        <v>64.7</v>
      </c>
      <c r="H57" s="100">
        <v>56.5</v>
      </c>
      <c r="I57" s="100">
        <v>50.5</v>
      </c>
      <c r="J57" s="100">
        <v>45.8</v>
      </c>
      <c r="K57" s="100">
        <v>42</v>
      </c>
      <c r="L57" s="100">
        <v>39</v>
      </c>
      <c r="M57" s="100">
        <v>36.4</v>
      </c>
      <c r="N57" s="100">
        <v>34.299999999999997</v>
      </c>
      <c r="O57" s="100">
        <v>32.5</v>
      </c>
      <c r="P57" s="100">
        <v>31</v>
      </c>
      <c r="Q57" s="100">
        <v>29.7</v>
      </c>
      <c r="R57" s="100">
        <v>28.5</v>
      </c>
      <c r="S57" s="100">
        <v>27.5</v>
      </c>
      <c r="T57" s="100"/>
      <c r="U57" s="100"/>
    </row>
    <row r="58" spans="1:21" x14ac:dyDescent="0.25">
      <c r="A58" s="99">
        <v>47</v>
      </c>
      <c r="B58" s="100">
        <v>356.3</v>
      </c>
      <c r="C58" s="100">
        <v>181.7</v>
      </c>
      <c r="D58" s="100">
        <v>123.5</v>
      </c>
      <c r="E58" s="100">
        <v>94.5</v>
      </c>
      <c r="F58" s="100">
        <v>77.099999999999994</v>
      </c>
      <c r="G58" s="100">
        <v>65.5</v>
      </c>
      <c r="H58" s="100">
        <v>57.3</v>
      </c>
      <c r="I58" s="100">
        <v>51.2</v>
      </c>
      <c r="J58" s="100">
        <v>46.4</v>
      </c>
      <c r="K58" s="100">
        <v>42.6</v>
      </c>
      <c r="L58" s="100">
        <v>39.6</v>
      </c>
      <c r="M58" s="100">
        <v>37</v>
      </c>
      <c r="N58" s="100">
        <v>34.9</v>
      </c>
      <c r="O58" s="100">
        <v>33.1</v>
      </c>
      <c r="P58" s="100">
        <v>31.5</v>
      </c>
      <c r="Q58" s="100">
        <v>30.2</v>
      </c>
      <c r="R58" s="100">
        <v>29</v>
      </c>
      <c r="S58" s="100"/>
      <c r="T58" s="100"/>
      <c r="U58" s="100"/>
    </row>
    <row r="59" spans="1:21" x14ac:dyDescent="0.25">
      <c r="A59" s="99">
        <v>48</v>
      </c>
      <c r="B59" s="100">
        <v>360.7</v>
      </c>
      <c r="C59" s="100">
        <v>184</v>
      </c>
      <c r="D59" s="100">
        <v>125.1</v>
      </c>
      <c r="E59" s="100">
        <v>95.7</v>
      </c>
      <c r="F59" s="100">
        <v>78.099999999999994</v>
      </c>
      <c r="G59" s="100">
        <v>66.5</v>
      </c>
      <c r="H59" s="100">
        <v>58.1</v>
      </c>
      <c r="I59" s="100">
        <v>51.9</v>
      </c>
      <c r="J59" s="100">
        <v>47.1</v>
      </c>
      <c r="K59" s="100">
        <v>43.3</v>
      </c>
      <c r="L59" s="100">
        <v>40.200000000000003</v>
      </c>
      <c r="M59" s="100">
        <v>37.6</v>
      </c>
      <c r="N59" s="100">
        <v>35.5</v>
      </c>
      <c r="O59" s="100">
        <v>33.700000000000003</v>
      </c>
      <c r="P59" s="100">
        <v>32.1</v>
      </c>
      <c r="Q59" s="100">
        <v>30.7</v>
      </c>
      <c r="R59" s="100"/>
      <c r="S59" s="100"/>
      <c r="T59" s="100"/>
      <c r="U59" s="100"/>
    </row>
    <row r="60" spans="1:21" x14ac:dyDescent="0.25">
      <c r="A60" s="99">
        <v>49</v>
      </c>
      <c r="B60" s="100">
        <v>365.2</v>
      </c>
      <c r="C60" s="100">
        <v>186.3</v>
      </c>
      <c r="D60" s="100">
        <v>126.8</v>
      </c>
      <c r="E60" s="100">
        <v>97</v>
      </c>
      <c r="F60" s="100">
        <v>79.2</v>
      </c>
      <c r="G60" s="100">
        <v>67.400000000000006</v>
      </c>
      <c r="H60" s="100">
        <v>59</v>
      </c>
      <c r="I60" s="100">
        <v>52.7</v>
      </c>
      <c r="J60" s="100">
        <v>47.9</v>
      </c>
      <c r="K60" s="100">
        <v>44</v>
      </c>
      <c r="L60" s="100">
        <v>40.9</v>
      </c>
      <c r="M60" s="100">
        <v>38.299999999999997</v>
      </c>
      <c r="N60" s="100">
        <v>36.1</v>
      </c>
      <c r="O60" s="100">
        <v>34.299999999999997</v>
      </c>
      <c r="P60" s="100">
        <v>32.700000000000003</v>
      </c>
      <c r="Q60" s="100"/>
      <c r="R60" s="100"/>
      <c r="S60" s="100"/>
      <c r="T60" s="100"/>
      <c r="U60" s="100"/>
    </row>
    <row r="61" spans="1:21" x14ac:dyDescent="0.25">
      <c r="A61" s="99">
        <v>50</v>
      </c>
      <c r="B61" s="100">
        <v>369.9</v>
      </c>
      <c r="C61" s="100">
        <v>188.8</v>
      </c>
      <c r="D61" s="100">
        <v>128.5</v>
      </c>
      <c r="E61" s="100">
        <v>98.4</v>
      </c>
      <c r="F61" s="100">
        <v>80.400000000000006</v>
      </c>
      <c r="G61" s="100">
        <v>68.400000000000006</v>
      </c>
      <c r="H61" s="100">
        <v>59.9</v>
      </c>
      <c r="I61" s="100">
        <v>53.6</v>
      </c>
      <c r="J61" s="100">
        <v>48.6</v>
      </c>
      <c r="K61" s="100">
        <v>44.7</v>
      </c>
      <c r="L61" s="100">
        <v>41.6</v>
      </c>
      <c r="M61" s="100">
        <v>39</v>
      </c>
      <c r="N61" s="100">
        <v>36.799999999999997</v>
      </c>
      <c r="O61" s="100">
        <v>34.9</v>
      </c>
      <c r="P61" s="100"/>
      <c r="Q61" s="100"/>
      <c r="R61" s="100"/>
      <c r="S61" s="100"/>
      <c r="T61" s="100"/>
      <c r="U61" s="100"/>
    </row>
    <row r="62" spans="1:21" x14ac:dyDescent="0.25">
      <c r="A62" s="99">
        <v>51</v>
      </c>
      <c r="B62" s="100">
        <v>374.6</v>
      </c>
      <c r="C62" s="100">
        <v>191.3</v>
      </c>
      <c r="D62" s="100">
        <v>130.30000000000001</v>
      </c>
      <c r="E62" s="100">
        <v>99.8</v>
      </c>
      <c r="F62" s="100">
        <v>81.599999999999994</v>
      </c>
      <c r="G62" s="100">
        <v>69.5</v>
      </c>
      <c r="H62" s="100">
        <v>60.8</v>
      </c>
      <c r="I62" s="100">
        <v>54.4</v>
      </c>
      <c r="J62" s="100">
        <v>49.5</v>
      </c>
      <c r="K62" s="100">
        <v>45.5</v>
      </c>
      <c r="L62" s="100">
        <v>42.3</v>
      </c>
      <c r="M62" s="100">
        <v>39.700000000000003</v>
      </c>
      <c r="N62" s="100">
        <v>37.4</v>
      </c>
      <c r="O62" s="100"/>
      <c r="P62" s="100"/>
      <c r="Q62" s="100"/>
      <c r="R62" s="100"/>
      <c r="S62" s="100"/>
      <c r="T62" s="100"/>
      <c r="U62" s="100"/>
    </row>
    <row r="63" spans="1:21" x14ac:dyDescent="0.25">
      <c r="A63" s="99">
        <v>52</v>
      </c>
      <c r="B63" s="100">
        <v>379.4</v>
      </c>
      <c r="C63" s="100">
        <v>193.8</v>
      </c>
      <c r="D63" s="100">
        <v>132</v>
      </c>
      <c r="E63" s="100">
        <v>101.2</v>
      </c>
      <c r="F63" s="100">
        <v>82.8</v>
      </c>
      <c r="G63" s="100">
        <v>70.5</v>
      </c>
      <c r="H63" s="100">
        <v>61.8</v>
      </c>
      <c r="I63" s="100">
        <v>55.3</v>
      </c>
      <c r="J63" s="100">
        <v>50.3</v>
      </c>
      <c r="K63" s="100">
        <v>46.3</v>
      </c>
      <c r="L63" s="100">
        <v>43</v>
      </c>
      <c r="M63" s="100">
        <v>40.4</v>
      </c>
      <c r="N63" s="100"/>
      <c r="O63" s="100"/>
      <c r="P63" s="100"/>
      <c r="Q63" s="100"/>
      <c r="R63" s="100"/>
      <c r="S63" s="100"/>
      <c r="T63" s="100"/>
      <c r="U63" s="100"/>
    </row>
    <row r="64" spans="1:21" x14ac:dyDescent="0.25">
      <c r="A64" s="99">
        <v>53</v>
      </c>
      <c r="B64" s="100">
        <v>384.2</v>
      </c>
      <c r="C64" s="100">
        <v>196.4</v>
      </c>
      <c r="D64" s="100">
        <v>133.80000000000001</v>
      </c>
      <c r="E64" s="100">
        <v>102.6</v>
      </c>
      <c r="F64" s="100">
        <v>84</v>
      </c>
      <c r="G64" s="100">
        <v>71.599999999999994</v>
      </c>
      <c r="H64" s="100">
        <v>62.8</v>
      </c>
      <c r="I64" s="100">
        <v>56.2</v>
      </c>
      <c r="J64" s="100">
        <v>51.1</v>
      </c>
      <c r="K64" s="100">
        <v>47.1</v>
      </c>
      <c r="L64" s="100">
        <v>43.8</v>
      </c>
      <c r="M64" s="100"/>
      <c r="N64" s="100"/>
      <c r="O64" s="100"/>
      <c r="P64" s="100"/>
      <c r="Q64" s="100"/>
      <c r="R64" s="100"/>
      <c r="S64" s="100"/>
      <c r="T64" s="100"/>
      <c r="U64" s="100"/>
    </row>
    <row r="65" spans="1:21" x14ac:dyDescent="0.25">
      <c r="A65" s="99">
        <v>54</v>
      </c>
      <c r="B65" s="100">
        <v>389</v>
      </c>
      <c r="C65" s="100">
        <v>198.9</v>
      </c>
      <c r="D65" s="100">
        <v>135.69999999999999</v>
      </c>
      <c r="E65" s="100">
        <v>104.1</v>
      </c>
      <c r="F65" s="100">
        <v>85.2</v>
      </c>
      <c r="G65" s="100">
        <v>72.7</v>
      </c>
      <c r="H65" s="100">
        <v>63.8</v>
      </c>
      <c r="I65" s="100">
        <v>57.1</v>
      </c>
      <c r="J65" s="100">
        <v>52</v>
      </c>
      <c r="K65" s="100">
        <v>47.9</v>
      </c>
      <c r="L65" s="100"/>
      <c r="M65" s="100"/>
      <c r="N65" s="100"/>
      <c r="O65" s="100"/>
      <c r="P65" s="100"/>
      <c r="Q65" s="100"/>
      <c r="R65" s="100"/>
      <c r="S65" s="100"/>
      <c r="T65" s="100"/>
      <c r="U65" s="100"/>
    </row>
    <row r="66" spans="1:21" x14ac:dyDescent="0.25">
      <c r="A66" s="99">
        <v>55</v>
      </c>
      <c r="B66" s="100">
        <v>394</v>
      </c>
      <c r="C66" s="100">
        <v>201.6</v>
      </c>
      <c r="D66" s="100">
        <v>137.5</v>
      </c>
      <c r="E66" s="100">
        <v>105.6</v>
      </c>
      <c r="F66" s="100">
        <v>86.5</v>
      </c>
      <c r="G66" s="100">
        <v>73.8</v>
      </c>
      <c r="H66" s="100">
        <v>64.8</v>
      </c>
      <c r="I66" s="100">
        <v>58.1</v>
      </c>
      <c r="J66" s="100">
        <v>52.9</v>
      </c>
      <c r="K66" s="100"/>
      <c r="L66" s="100"/>
      <c r="M66" s="100"/>
      <c r="N66" s="100"/>
      <c r="O66" s="100"/>
      <c r="P66" s="100"/>
      <c r="Q66" s="100"/>
      <c r="R66" s="100"/>
      <c r="S66" s="100"/>
      <c r="T66" s="100"/>
      <c r="U66" s="100"/>
    </row>
    <row r="67" spans="1:21" x14ac:dyDescent="0.25">
      <c r="A67" s="99">
        <v>56</v>
      </c>
      <c r="B67" s="100">
        <v>399.1</v>
      </c>
      <c r="C67" s="100">
        <v>204.3</v>
      </c>
      <c r="D67" s="100">
        <v>139.5</v>
      </c>
      <c r="E67" s="100">
        <v>107.1</v>
      </c>
      <c r="F67" s="100">
        <v>87.8</v>
      </c>
      <c r="G67" s="100">
        <v>75</v>
      </c>
      <c r="H67" s="100">
        <v>65.8</v>
      </c>
      <c r="I67" s="100">
        <v>59</v>
      </c>
      <c r="J67" s="100"/>
      <c r="K67" s="100"/>
      <c r="L67" s="100"/>
      <c r="M67" s="100"/>
      <c r="N67" s="100"/>
      <c r="O67" s="100"/>
      <c r="P67" s="100"/>
      <c r="Q67" s="100"/>
      <c r="R67" s="100"/>
      <c r="S67" s="100"/>
      <c r="T67" s="100"/>
      <c r="U67" s="100"/>
    </row>
    <row r="68" spans="1:21" x14ac:dyDescent="0.25">
      <c r="A68" s="99">
        <v>57</v>
      </c>
      <c r="B68" s="100">
        <v>404.3</v>
      </c>
      <c r="C68" s="100">
        <v>207.1</v>
      </c>
      <c r="D68" s="100">
        <v>141.5</v>
      </c>
      <c r="E68" s="100">
        <v>108.7</v>
      </c>
      <c r="F68" s="100">
        <v>89.1</v>
      </c>
      <c r="G68" s="100">
        <v>76.099999999999994</v>
      </c>
      <c r="H68" s="100">
        <v>66.900000000000006</v>
      </c>
      <c r="I68" s="100"/>
      <c r="J68" s="100"/>
      <c r="K68" s="100"/>
      <c r="L68" s="100"/>
      <c r="M68" s="100"/>
      <c r="N68" s="100"/>
      <c r="O68" s="100"/>
      <c r="P68" s="100"/>
      <c r="Q68" s="100"/>
      <c r="R68" s="100"/>
      <c r="S68" s="100"/>
      <c r="T68" s="100"/>
      <c r="U68" s="100"/>
    </row>
    <row r="69" spans="1:21" x14ac:dyDescent="0.25">
      <c r="A69" s="99">
        <v>58</v>
      </c>
      <c r="B69" s="100">
        <v>409.7</v>
      </c>
      <c r="C69" s="100">
        <v>210</v>
      </c>
      <c r="D69" s="100">
        <v>143.5</v>
      </c>
      <c r="E69" s="100">
        <v>110.4</v>
      </c>
      <c r="F69" s="100">
        <v>90.5</v>
      </c>
      <c r="G69" s="100">
        <v>77.400000000000006</v>
      </c>
      <c r="H69" s="100"/>
      <c r="I69" s="100"/>
      <c r="J69" s="100"/>
      <c r="K69" s="100"/>
      <c r="L69" s="100"/>
      <c r="M69" s="100"/>
      <c r="N69" s="100"/>
      <c r="O69" s="100"/>
      <c r="P69" s="100"/>
      <c r="Q69" s="100"/>
      <c r="R69" s="100"/>
      <c r="S69" s="100"/>
      <c r="T69" s="100"/>
      <c r="U69" s="100"/>
    </row>
    <row r="70" spans="1:21" x14ac:dyDescent="0.25">
      <c r="A70" s="99">
        <v>59</v>
      </c>
      <c r="B70" s="100">
        <v>413.5</v>
      </c>
      <c r="C70" s="100">
        <v>212.1</v>
      </c>
      <c r="D70" s="100">
        <v>145</v>
      </c>
      <c r="E70" s="100">
        <v>111.6</v>
      </c>
      <c r="F70" s="100">
        <v>91.6</v>
      </c>
      <c r="G70" s="100"/>
      <c r="H70" s="100"/>
      <c r="I70" s="100"/>
      <c r="J70" s="100"/>
      <c r="K70" s="100"/>
      <c r="L70" s="100"/>
      <c r="M70" s="100"/>
      <c r="N70" s="100"/>
      <c r="O70" s="100"/>
      <c r="P70" s="100"/>
      <c r="Q70" s="100"/>
      <c r="R70" s="100"/>
      <c r="S70" s="100"/>
      <c r="T70" s="100"/>
      <c r="U70" s="100"/>
    </row>
    <row r="71" spans="1:21" x14ac:dyDescent="0.25">
      <c r="A71" s="99">
        <v>60</v>
      </c>
      <c r="B71" s="100">
        <v>415.2</v>
      </c>
      <c r="C71" s="100">
        <v>213.1</v>
      </c>
      <c r="D71" s="100">
        <v>145.80000000000001</v>
      </c>
      <c r="E71" s="100">
        <v>112.2</v>
      </c>
      <c r="F71" s="100"/>
      <c r="G71" s="100"/>
      <c r="H71" s="100"/>
      <c r="I71" s="100"/>
      <c r="J71" s="100"/>
      <c r="K71" s="100"/>
      <c r="L71" s="100"/>
      <c r="M71" s="100"/>
      <c r="N71" s="100"/>
      <c r="O71" s="100"/>
      <c r="P71" s="100"/>
      <c r="Q71" s="100"/>
      <c r="R71" s="100"/>
      <c r="S71" s="100"/>
      <c r="T71" s="100"/>
      <c r="U71" s="100"/>
    </row>
    <row r="72" spans="1:21" x14ac:dyDescent="0.25">
      <c r="A72" s="99">
        <v>61</v>
      </c>
      <c r="B72" s="100">
        <v>417.1</v>
      </c>
      <c r="C72" s="100">
        <v>214.2</v>
      </c>
      <c r="D72" s="100">
        <v>146.6</v>
      </c>
      <c r="E72" s="100"/>
      <c r="F72" s="100"/>
      <c r="G72" s="100"/>
      <c r="H72" s="100"/>
      <c r="I72" s="100"/>
      <c r="J72" s="100"/>
      <c r="K72" s="100"/>
      <c r="L72" s="100"/>
      <c r="M72" s="100"/>
      <c r="N72" s="100"/>
      <c r="O72" s="100"/>
      <c r="P72" s="100"/>
      <c r="Q72" s="100"/>
      <c r="R72" s="100"/>
      <c r="S72" s="100"/>
      <c r="T72" s="100"/>
      <c r="U72" s="100"/>
    </row>
    <row r="73" spans="1:21" x14ac:dyDescent="0.25">
      <c r="A73" s="99">
        <v>62</v>
      </c>
      <c r="B73" s="100">
        <v>419.7</v>
      </c>
      <c r="C73" s="100">
        <v>215.6</v>
      </c>
      <c r="D73" s="100"/>
      <c r="E73" s="100"/>
      <c r="F73" s="100"/>
      <c r="G73" s="100"/>
      <c r="H73" s="100"/>
      <c r="I73" s="100"/>
      <c r="J73" s="100"/>
      <c r="K73" s="100"/>
      <c r="L73" s="100"/>
      <c r="M73" s="100"/>
      <c r="N73" s="100"/>
      <c r="O73" s="100"/>
      <c r="P73" s="100"/>
      <c r="Q73" s="100"/>
      <c r="R73" s="100"/>
      <c r="S73" s="100"/>
      <c r="T73" s="100"/>
      <c r="U73" s="100"/>
    </row>
    <row r="74" spans="1:21" x14ac:dyDescent="0.25">
      <c r="A74" s="99">
        <v>63</v>
      </c>
      <c r="B74" s="100">
        <v>422.1</v>
      </c>
      <c r="C74" s="100"/>
      <c r="D74" s="100"/>
      <c r="E74" s="100"/>
      <c r="F74" s="100"/>
      <c r="G74" s="100"/>
      <c r="H74" s="100"/>
      <c r="I74" s="100"/>
      <c r="J74" s="100"/>
      <c r="K74" s="100"/>
      <c r="L74" s="100"/>
      <c r="M74" s="100"/>
      <c r="N74" s="100"/>
      <c r="O74" s="100"/>
      <c r="P74" s="100"/>
      <c r="Q74" s="100"/>
      <c r="R74" s="100"/>
      <c r="S74" s="100"/>
      <c r="T74" s="100"/>
      <c r="U74" s="100"/>
    </row>
  </sheetData>
  <sheetProtection algorithmName="SHA-512" hashValue="o+HOHYmejKhn2XAFON90296NNrq541jfwKYyrnuV0pY5Cpgd1a/5oZHSPapKAB4/ZLGAWQqNIp2oaTFC/JNTvg==" saltValue="OlUb7WHOmGwq/N5kcLlzhQ==" spinCount="100000" sheet="1" objects="1" scenarios="1"/>
  <conditionalFormatting sqref="A6:A21">
    <cfRule type="expression" dxfId="397" priority="13" stopIfTrue="1">
      <formula>MOD(ROW(),2)=0</formula>
    </cfRule>
    <cfRule type="expression" dxfId="396" priority="14" stopIfTrue="1">
      <formula>MOD(ROW(),2)&lt;&gt;0</formula>
    </cfRule>
  </conditionalFormatting>
  <conditionalFormatting sqref="A26:A74">
    <cfRule type="expression" dxfId="395" priority="3" stopIfTrue="1">
      <formula>MOD(ROW(),2)=0</formula>
    </cfRule>
    <cfRule type="expression" dxfId="394" priority="4" stopIfTrue="1">
      <formula>MOD(ROW(),2)&lt;&gt;0</formula>
    </cfRule>
  </conditionalFormatting>
  <conditionalFormatting sqref="B17:B21">
    <cfRule type="expression" dxfId="393" priority="1" stopIfTrue="1">
      <formula>MOD(ROW(),2)=0</formula>
    </cfRule>
    <cfRule type="expression" dxfId="392" priority="2" stopIfTrue="1">
      <formula>MOD(ROW(),2)&lt;&gt;0</formula>
    </cfRule>
  </conditionalFormatting>
  <conditionalFormatting sqref="B6:U21">
    <cfRule type="expression" dxfId="391" priority="23" stopIfTrue="1">
      <formula>MOD(ROW(),2)=0</formula>
    </cfRule>
    <cfRule type="expression" dxfId="390" priority="24" stopIfTrue="1">
      <formula>MOD(ROW(),2)&lt;&gt;0</formula>
    </cfRule>
  </conditionalFormatting>
  <conditionalFormatting sqref="B26:U74">
    <cfRule type="expression" dxfId="389" priority="5" stopIfTrue="1">
      <formula>MOD(ROW(),2)=0</formula>
    </cfRule>
    <cfRule type="expression" dxfId="388" priority="6" stopIfTrue="1">
      <formula>MOD(ROW(),2)&lt;&gt;0</formula>
    </cfRule>
  </conditionalFormatting>
  <hyperlinks>
    <hyperlink ref="B24" location="Assumptions!A1" display="Assumptions" xr:uid="{4DE9B04E-3432-4192-A29D-4F1542E0545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98"/>
  <dimension ref="A1:U75"/>
  <sheetViews>
    <sheetView showGridLines="0" zoomScale="85" zoomScaleNormal="85" workbookViewId="0">
      <selection activeCell="B24" sqref="B24"/>
    </sheetView>
  </sheetViews>
  <sheetFormatPr defaultColWidth="10" defaultRowHeight="12.5" x14ac:dyDescent="0.25"/>
  <cols>
    <col min="1" max="1" width="31.90625" style="25" customWidth="1"/>
    <col min="2" max="21" width="22.90625" style="25" customWidth="1"/>
    <col min="22" max="16384" width="10" style="25"/>
  </cols>
  <sheetData>
    <row r="1" spans="1:21" ht="20" x14ac:dyDescent="0.4">
      <c r="A1" s="36" t="s">
        <v>0</v>
      </c>
      <c r="B1" s="37"/>
      <c r="C1" s="37"/>
      <c r="D1" s="37"/>
      <c r="E1" s="37"/>
      <c r="F1" s="37"/>
      <c r="G1" s="37"/>
      <c r="H1" s="37"/>
      <c r="I1" s="37"/>
    </row>
    <row r="2" spans="1:21" ht="15.5" x14ac:dyDescent="0.35">
      <c r="A2" s="38" t="str">
        <f>IF(title="&gt; Enter workbook title here","Enter workbook title in Cover sheet",title)</f>
        <v>NHSPS_NI - Consolidated Factor Spreadsheet</v>
      </c>
      <c r="B2" s="39"/>
      <c r="C2" s="39"/>
      <c r="D2" s="39"/>
      <c r="E2" s="39"/>
      <c r="F2" s="39"/>
      <c r="G2" s="39"/>
      <c r="H2" s="39"/>
      <c r="I2" s="39"/>
    </row>
    <row r="3" spans="1:21" ht="15.5" x14ac:dyDescent="0.35">
      <c r="A3" s="40" t="str">
        <f>TABLE_FACTOR_TYPE_1&amp;" - x-"&amp;TABLE_SERIES_NUMBER_1</f>
        <v>Added pension - x-712</v>
      </c>
      <c r="B3" s="39"/>
      <c r="C3" s="39"/>
      <c r="D3" s="39"/>
      <c r="E3" s="39"/>
      <c r="F3" s="39"/>
      <c r="G3" s="39"/>
      <c r="H3" s="39"/>
      <c r="I3" s="39"/>
    </row>
    <row r="4" spans="1:21" x14ac:dyDescent="0.25">
      <c r="A4" s="41"/>
    </row>
    <row r="6" spans="1:21" ht="13" x14ac:dyDescent="0.3">
      <c r="A6" s="163" t="s">
        <v>276</v>
      </c>
      <c r="B6" s="107" t="s">
        <v>277</v>
      </c>
      <c r="C6" s="107"/>
      <c r="D6" s="107"/>
      <c r="E6" s="107"/>
      <c r="F6" s="107"/>
      <c r="G6" s="107"/>
      <c r="H6" s="107"/>
      <c r="I6" s="107"/>
      <c r="J6" s="107"/>
      <c r="K6" s="107"/>
      <c r="L6" s="107"/>
      <c r="M6" s="107"/>
      <c r="N6" s="107"/>
      <c r="O6" s="107"/>
      <c r="P6" s="107"/>
      <c r="Q6" s="107"/>
      <c r="R6" s="107"/>
      <c r="S6" s="107"/>
      <c r="T6" s="107"/>
      <c r="U6" s="107"/>
    </row>
    <row r="7" spans="1:21" x14ac:dyDescent="0.25">
      <c r="A7" s="69" t="s">
        <v>278</v>
      </c>
      <c r="B7" s="107" t="s">
        <v>310</v>
      </c>
      <c r="C7" s="107"/>
      <c r="D7" s="107"/>
      <c r="E7" s="107"/>
      <c r="F7" s="107"/>
      <c r="G7" s="107"/>
      <c r="H7" s="107"/>
      <c r="I7" s="107"/>
      <c r="J7" s="107"/>
      <c r="K7" s="107"/>
      <c r="L7" s="107"/>
      <c r="M7" s="107"/>
      <c r="N7" s="107"/>
      <c r="O7" s="107"/>
      <c r="P7" s="107"/>
      <c r="Q7" s="107"/>
      <c r="R7" s="107"/>
      <c r="S7" s="107"/>
      <c r="T7" s="107"/>
      <c r="U7" s="107"/>
    </row>
    <row r="8" spans="1:21" x14ac:dyDescent="0.25">
      <c r="A8" s="69" t="s">
        <v>280</v>
      </c>
      <c r="B8" s="107" t="s">
        <v>513</v>
      </c>
      <c r="C8" s="107"/>
      <c r="D8" s="107"/>
      <c r="E8" s="107"/>
      <c r="F8" s="107"/>
      <c r="G8" s="107"/>
      <c r="H8" s="107"/>
      <c r="I8" s="107"/>
      <c r="J8" s="107"/>
      <c r="K8" s="107"/>
      <c r="L8" s="107"/>
      <c r="M8" s="107"/>
      <c r="N8" s="107"/>
      <c r="O8" s="107"/>
      <c r="P8" s="107"/>
      <c r="Q8" s="107"/>
      <c r="R8" s="107"/>
      <c r="S8" s="107"/>
      <c r="T8" s="107"/>
      <c r="U8" s="107"/>
    </row>
    <row r="9" spans="1:21" x14ac:dyDescent="0.25">
      <c r="A9" s="69" t="s">
        <v>282</v>
      </c>
      <c r="B9" s="107" t="s">
        <v>514</v>
      </c>
      <c r="C9" s="107"/>
      <c r="D9" s="107"/>
      <c r="E9" s="107"/>
      <c r="F9" s="107"/>
      <c r="G9" s="107"/>
      <c r="H9" s="107"/>
      <c r="I9" s="107"/>
      <c r="J9" s="107"/>
      <c r="K9" s="107"/>
      <c r="L9" s="107"/>
      <c r="M9" s="107"/>
      <c r="N9" s="107"/>
      <c r="O9" s="107"/>
      <c r="P9" s="107"/>
      <c r="Q9" s="107"/>
      <c r="R9" s="107"/>
      <c r="S9" s="107"/>
      <c r="T9" s="107"/>
      <c r="U9" s="107"/>
    </row>
    <row r="10" spans="1:21" x14ac:dyDescent="0.25">
      <c r="A10" s="69" t="s">
        <v>6</v>
      </c>
      <c r="B10" s="107" t="s">
        <v>544</v>
      </c>
      <c r="C10" s="107"/>
      <c r="D10" s="107"/>
      <c r="E10" s="107"/>
      <c r="F10" s="107"/>
      <c r="G10" s="107"/>
      <c r="H10" s="107"/>
      <c r="I10" s="107"/>
      <c r="J10" s="107"/>
      <c r="K10" s="107"/>
      <c r="L10" s="107"/>
      <c r="M10" s="107"/>
      <c r="N10" s="107"/>
      <c r="O10" s="107"/>
      <c r="P10" s="107"/>
      <c r="Q10" s="107"/>
      <c r="R10" s="107"/>
      <c r="S10" s="107"/>
      <c r="T10" s="107"/>
      <c r="U10" s="107"/>
    </row>
    <row r="11" spans="1:21" x14ac:dyDescent="0.25">
      <c r="A11" s="69" t="s">
        <v>285</v>
      </c>
      <c r="B11" s="107" t="s">
        <v>359</v>
      </c>
      <c r="C11" s="107"/>
      <c r="D11" s="107"/>
      <c r="E11" s="107"/>
      <c r="F11" s="107"/>
      <c r="G11" s="107"/>
      <c r="H11" s="107"/>
      <c r="I11" s="107"/>
      <c r="J11" s="107"/>
      <c r="K11" s="107"/>
      <c r="L11" s="107"/>
      <c r="M11" s="107"/>
      <c r="N11" s="107"/>
      <c r="O11" s="107"/>
      <c r="P11" s="107"/>
      <c r="Q11" s="107"/>
      <c r="R11" s="107"/>
      <c r="S11" s="107"/>
      <c r="T11" s="107"/>
      <c r="U11" s="107"/>
    </row>
    <row r="12" spans="1:21" x14ac:dyDescent="0.25">
      <c r="A12" s="69" t="s">
        <v>287</v>
      </c>
      <c r="B12" s="107" t="s">
        <v>520</v>
      </c>
      <c r="C12" s="107"/>
      <c r="D12" s="107"/>
      <c r="E12" s="107"/>
      <c r="F12" s="107"/>
      <c r="G12" s="107"/>
      <c r="H12" s="107"/>
      <c r="I12" s="107"/>
      <c r="J12" s="107"/>
      <c r="K12" s="107"/>
      <c r="L12" s="107"/>
      <c r="M12" s="107"/>
      <c r="N12" s="107"/>
      <c r="O12" s="107"/>
      <c r="P12" s="107"/>
      <c r="Q12" s="107"/>
      <c r="R12" s="107"/>
      <c r="S12" s="107"/>
      <c r="T12" s="107"/>
      <c r="U12" s="107"/>
    </row>
    <row r="13" spans="1:21" x14ac:dyDescent="0.25">
      <c r="A13" s="69" t="s">
        <v>289</v>
      </c>
      <c r="B13" s="107">
        <v>0</v>
      </c>
      <c r="C13" s="107"/>
      <c r="D13" s="107"/>
      <c r="E13" s="107"/>
      <c r="F13" s="107"/>
      <c r="G13" s="107"/>
      <c r="H13" s="107"/>
      <c r="I13" s="107"/>
      <c r="J13" s="107"/>
      <c r="K13" s="107"/>
      <c r="L13" s="107"/>
      <c r="M13" s="107"/>
      <c r="N13" s="107"/>
      <c r="O13" s="107"/>
      <c r="P13" s="107"/>
      <c r="Q13" s="107"/>
      <c r="R13" s="107"/>
      <c r="S13" s="107"/>
      <c r="T13" s="107"/>
      <c r="U13" s="107"/>
    </row>
    <row r="14" spans="1:21" x14ac:dyDescent="0.25">
      <c r="A14" s="69" t="s">
        <v>291</v>
      </c>
      <c r="B14" s="107">
        <v>712</v>
      </c>
      <c r="C14" s="107"/>
      <c r="D14" s="107"/>
      <c r="E14" s="107"/>
      <c r="F14" s="107"/>
      <c r="G14" s="107"/>
      <c r="H14" s="107"/>
      <c r="I14" s="107"/>
      <c r="J14" s="107"/>
      <c r="K14" s="107"/>
      <c r="L14" s="107"/>
      <c r="M14" s="107"/>
      <c r="N14" s="107"/>
      <c r="O14" s="107"/>
      <c r="P14" s="107"/>
      <c r="Q14" s="107"/>
      <c r="R14" s="107"/>
      <c r="S14" s="107"/>
      <c r="T14" s="107"/>
      <c r="U14" s="107"/>
    </row>
    <row r="15" spans="1:21" x14ac:dyDescent="0.25">
      <c r="A15" s="69" t="s">
        <v>293</v>
      </c>
      <c r="B15" s="107" t="s">
        <v>545</v>
      </c>
      <c r="C15" s="107"/>
      <c r="D15" s="107"/>
      <c r="E15" s="107"/>
      <c r="F15" s="107"/>
      <c r="G15" s="107"/>
      <c r="H15" s="107"/>
      <c r="I15" s="107"/>
      <c r="J15" s="107"/>
      <c r="K15" s="107"/>
      <c r="L15" s="107"/>
      <c r="M15" s="107"/>
      <c r="N15" s="107"/>
      <c r="O15" s="107"/>
      <c r="P15" s="107"/>
      <c r="Q15" s="107"/>
      <c r="R15" s="107"/>
      <c r="S15" s="107"/>
      <c r="T15" s="107"/>
      <c r="U15" s="107"/>
    </row>
    <row r="16" spans="1:21" x14ac:dyDescent="0.25">
      <c r="A16" s="69" t="s">
        <v>295</v>
      </c>
      <c r="B16" s="107" t="s">
        <v>546</v>
      </c>
      <c r="C16" s="107"/>
      <c r="D16" s="107"/>
      <c r="E16" s="107"/>
      <c r="F16" s="107"/>
      <c r="G16" s="107"/>
      <c r="H16" s="107"/>
      <c r="I16" s="107"/>
      <c r="J16" s="107"/>
      <c r="K16" s="107"/>
      <c r="L16" s="107"/>
      <c r="M16" s="107"/>
      <c r="N16" s="107"/>
      <c r="O16" s="107"/>
      <c r="P16" s="107"/>
      <c r="Q16" s="107"/>
      <c r="R16" s="107"/>
      <c r="S16" s="107"/>
      <c r="T16" s="107"/>
      <c r="U16" s="107"/>
    </row>
    <row r="17" spans="1:21" x14ac:dyDescent="0.25">
      <c r="A17" s="69" t="s">
        <v>725</v>
      </c>
      <c r="B17" s="107"/>
      <c r="C17" s="107"/>
      <c r="D17" s="107"/>
      <c r="E17" s="107"/>
      <c r="F17" s="107"/>
      <c r="G17" s="107"/>
      <c r="H17" s="107"/>
      <c r="I17" s="107"/>
      <c r="J17" s="107"/>
      <c r="K17" s="107"/>
      <c r="L17" s="107"/>
      <c r="M17" s="107"/>
      <c r="N17" s="107"/>
      <c r="O17" s="107"/>
      <c r="P17" s="107"/>
      <c r="Q17" s="107"/>
      <c r="R17" s="107"/>
      <c r="S17" s="107"/>
      <c r="T17" s="107"/>
      <c r="U17" s="107"/>
    </row>
    <row r="18" spans="1:21" x14ac:dyDescent="0.25">
      <c r="A18" s="85" t="s">
        <v>299</v>
      </c>
      <c r="B18" s="164">
        <v>45202</v>
      </c>
      <c r="C18" s="107"/>
      <c r="D18" s="107"/>
      <c r="E18" s="107"/>
      <c r="F18" s="107"/>
      <c r="G18" s="107"/>
      <c r="H18" s="107"/>
      <c r="I18" s="107"/>
      <c r="J18" s="107"/>
      <c r="K18" s="107"/>
      <c r="L18" s="107"/>
      <c r="M18" s="107"/>
      <c r="N18" s="107"/>
      <c r="O18" s="107"/>
      <c r="P18" s="107"/>
      <c r="Q18" s="107"/>
      <c r="R18" s="107"/>
      <c r="S18" s="107"/>
      <c r="T18" s="107"/>
      <c r="U18" s="107"/>
    </row>
    <row r="19" spans="1:21" x14ac:dyDescent="0.25">
      <c r="A19" s="85" t="s">
        <v>301</v>
      </c>
      <c r="B19" s="164">
        <v>45202</v>
      </c>
      <c r="C19" s="107"/>
      <c r="D19" s="107"/>
      <c r="E19" s="107"/>
      <c r="F19" s="107"/>
      <c r="G19" s="107"/>
      <c r="H19" s="107"/>
      <c r="I19" s="107"/>
      <c r="J19" s="107"/>
      <c r="K19" s="107"/>
      <c r="L19" s="107"/>
      <c r="M19" s="107"/>
      <c r="N19" s="107"/>
      <c r="O19" s="107"/>
      <c r="P19" s="107"/>
      <c r="Q19" s="107"/>
      <c r="R19" s="107"/>
      <c r="S19" s="107"/>
      <c r="T19" s="107"/>
      <c r="U19" s="107"/>
    </row>
    <row r="20" spans="1:21" x14ac:dyDescent="0.25">
      <c r="A20" s="85" t="s">
        <v>303</v>
      </c>
      <c r="B20" s="107" t="s">
        <v>317</v>
      </c>
      <c r="C20" s="107"/>
      <c r="D20" s="107"/>
      <c r="E20" s="107"/>
      <c r="F20" s="107"/>
      <c r="G20" s="107"/>
      <c r="H20" s="107"/>
      <c r="I20" s="107"/>
      <c r="J20" s="107"/>
      <c r="K20" s="107"/>
      <c r="L20" s="107"/>
      <c r="M20" s="107"/>
      <c r="N20" s="107"/>
      <c r="O20" s="107"/>
      <c r="P20" s="107"/>
      <c r="Q20" s="107"/>
      <c r="R20" s="107"/>
      <c r="S20" s="107"/>
      <c r="T20" s="107"/>
      <c r="U20" s="107"/>
    </row>
    <row r="21" spans="1:21" x14ac:dyDescent="0.25">
      <c r="A21" s="85" t="s">
        <v>309</v>
      </c>
      <c r="B21" s="107" t="s">
        <v>318</v>
      </c>
      <c r="C21" s="107"/>
      <c r="D21" s="107"/>
      <c r="E21" s="107"/>
      <c r="F21" s="107"/>
      <c r="G21" s="107"/>
      <c r="H21" s="107"/>
      <c r="I21" s="107"/>
      <c r="J21" s="107"/>
      <c r="K21" s="107"/>
      <c r="L21" s="107"/>
      <c r="M21" s="107"/>
      <c r="N21" s="107"/>
      <c r="O21" s="107"/>
      <c r="P21" s="107"/>
      <c r="Q21" s="107"/>
      <c r="R21" s="107"/>
      <c r="S21" s="107"/>
      <c r="T21" s="107"/>
      <c r="U21" s="107"/>
    </row>
    <row r="23" spans="1:21" x14ac:dyDescent="0.25">
      <c r="B23" s="103" t="str">
        <f>HYPERLINK("#'Factor List'!A1","Back to Factor List")</f>
        <v>Back to Factor List</v>
      </c>
    </row>
    <row r="24" spans="1:21" x14ac:dyDescent="0.25">
      <c r="B24" s="103" t="s">
        <v>15</v>
      </c>
    </row>
    <row r="26" spans="1:21" ht="13" x14ac:dyDescent="0.25">
      <c r="A26" s="98" t="s">
        <v>408</v>
      </c>
      <c r="B26" s="98" t="s">
        <v>778</v>
      </c>
      <c r="C26" s="98" t="s">
        <v>779</v>
      </c>
      <c r="D26" s="98" t="s">
        <v>780</v>
      </c>
      <c r="E26" s="98" t="s">
        <v>781</v>
      </c>
      <c r="F26" s="98" t="s">
        <v>782</v>
      </c>
      <c r="G26" s="98" t="s">
        <v>783</v>
      </c>
      <c r="H26" s="98" t="s">
        <v>784</v>
      </c>
      <c r="I26" s="98" t="s">
        <v>785</v>
      </c>
      <c r="J26" s="98" t="s">
        <v>786</v>
      </c>
      <c r="K26" s="98" t="s">
        <v>787</v>
      </c>
      <c r="L26" s="98" t="s">
        <v>788</v>
      </c>
      <c r="M26" s="98" t="s">
        <v>789</v>
      </c>
      <c r="N26" s="98" t="s">
        <v>790</v>
      </c>
      <c r="O26" s="98" t="s">
        <v>791</v>
      </c>
      <c r="P26" s="98" t="s">
        <v>792</v>
      </c>
      <c r="Q26" s="98" t="s">
        <v>793</v>
      </c>
      <c r="R26" s="98" t="s">
        <v>794</v>
      </c>
      <c r="S26" s="98" t="s">
        <v>795</v>
      </c>
      <c r="T26" s="98" t="s">
        <v>796</v>
      </c>
      <c r="U26" s="98" t="s">
        <v>797</v>
      </c>
    </row>
    <row r="27" spans="1:21" x14ac:dyDescent="0.25">
      <c r="A27" s="99">
        <v>16</v>
      </c>
      <c r="B27" s="100">
        <v>202.6</v>
      </c>
      <c r="C27" s="100">
        <v>103.2</v>
      </c>
      <c r="D27" s="100">
        <v>70</v>
      </c>
      <c r="E27" s="100">
        <v>53.5</v>
      </c>
      <c r="F27" s="100">
        <v>43.6</v>
      </c>
      <c r="G27" s="100">
        <v>37</v>
      </c>
      <c r="H27" s="100">
        <v>32.299999999999997</v>
      </c>
      <c r="I27" s="100">
        <v>28.7</v>
      </c>
      <c r="J27" s="100">
        <v>26</v>
      </c>
      <c r="K27" s="100">
        <v>23.8</v>
      </c>
      <c r="L27" s="100">
        <v>22</v>
      </c>
      <c r="M27" s="100">
        <v>20.5</v>
      </c>
      <c r="N27" s="100">
        <v>19.3</v>
      </c>
      <c r="O27" s="100">
        <v>18.2</v>
      </c>
      <c r="P27" s="100">
        <v>17.3</v>
      </c>
      <c r="Q27" s="100">
        <v>16.5</v>
      </c>
      <c r="R27" s="100">
        <v>15.8</v>
      </c>
      <c r="S27" s="100">
        <v>15.1</v>
      </c>
      <c r="T27" s="100">
        <v>14.6</v>
      </c>
      <c r="U27" s="100">
        <v>14.1</v>
      </c>
    </row>
    <row r="28" spans="1:21" x14ac:dyDescent="0.25">
      <c r="A28" s="99">
        <v>17</v>
      </c>
      <c r="B28" s="100">
        <v>205.6</v>
      </c>
      <c r="C28" s="100">
        <v>104.7</v>
      </c>
      <c r="D28" s="100">
        <v>71.099999999999994</v>
      </c>
      <c r="E28" s="100">
        <v>54.3</v>
      </c>
      <c r="F28" s="100">
        <v>44.2</v>
      </c>
      <c r="G28" s="100">
        <v>37.5</v>
      </c>
      <c r="H28" s="100">
        <v>32.700000000000003</v>
      </c>
      <c r="I28" s="100">
        <v>29.2</v>
      </c>
      <c r="J28" s="100">
        <v>26.4</v>
      </c>
      <c r="K28" s="100">
        <v>24.2</v>
      </c>
      <c r="L28" s="100">
        <v>22.3</v>
      </c>
      <c r="M28" s="100">
        <v>20.8</v>
      </c>
      <c r="N28" s="100">
        <v>19.600000000000001</v>
      </c>
      <c r="O28" s="100">
        <v>18.5</v>
      </c>
      <c r="P28" s="100">
        <v>17.5</v>
      </c>
      <c r="Q28" s="100">
        <v>16.7</v>
      </c>
      <c r="R28" s="100">
        <v>16</v>
      </c>
      <c r="S28" s="100">
        <v>15.4</v>
      </c>
      <c r="T28" s="100">
        <v>14.8</v>
      </c>
      <c r="U28" s="100">
        <v>14.3</v>
      </c>
    </row>
    <row r="29" spans="1:21" x14ac:dyDescent="0.25">
      <c r="A29" s="99">
        <v>18</v>
      </c>
      <c r="B29" s="100">
        <v>208.6</v>
      </c>
      <c r="C29" s="100">
        <v>106.2</v>
      </c>
      <c r="D29" s="100">
        <v>72.099999999999994</v>
      </c>
      <c r="E29" s="100">
        <v>55.1</v>
      </c>
      <c r="F29" s="100">
        <v>44.9</v>
      </c>
      <c r="G29" s="100">
        <v>38.1</v>
      </c>
      <c r="H29" s="100">
        <v>33.200000000000003</v>
      </c>
      <c r="I29" s="100">
        <v>29.6</v>
      </c>
      <c r="J29" s="100">
        <v>26.8</v>
      </c>
      <c r="K29" s="100">
        <v>24.5</v>
      </c>
      <c r="L29" s="100">
        <v>22.7</v>
      </c>
      <c r="M29" s="100">
        <v>21.1</v>
      </c>
      <c r="N29" s="100">
        <v>19.899999999999999</v>
      </c>
      <c r="O29" s="100">
        <v>18.8</v>
      </c>
      <c r="P29" s="100">
        <v>17.8</v>
      </c>
      <c r="Q29" s="100">
        <v>17</v>
      </c>
      <c r="R29" s="100">
        <v>16.2</v>
      </c>
      <c r="S29" s="100">
        <v>15.6</v>
      </c>
      <c r="T29" s="100">
        <v>15</v>
      </c>
      <c r="U29" s="100">
        <v>14.5</v>
      </c>
    </row>
    <row r="30" spans="1:21" x14ac:dyDescent="0.25">
      <c r="A30" s="99">
        <v>19</v>
      </c>
      <c r="B30" s="100">
        <v>211.6</v>
      </c>
      <c r="C30" s="100">
        <v>107.8</v>
      </c>
      <c r="D30" s="100">
        <v>73.2</v>
      </c>
      <c r="E30" s="100">
        <v>55.9</v>
      </c>
      <c r="F30" s="100">
        <v>45.5</v>
      </c>
      <c r="G30" s="100">
        <v>38.6</v>
      </c>
      <c r="H30" s="100">
        <v>33.700000000000003</v>
      </c>
      <c r="I30" s="100">
        <v>30</v>
      </c>
      <c r="J30" s="100">
        <v>27.2</v>
      </c>
      <c r="K30" s="100">
        <v>24.9</v>
      </c>
      <c r="L30" s="100">
        <v>23</v>
      </c>
      <c r="M30" s="100">
        <v>21.5</v>
      </c>
      <c r="N30" s="100">
        <v>20.100000000000001</v>
      </c>
      <c r="O30" s="100">
        <v>19</v>
      </c>
      <c r="P30" s="100">
        <v>18.100000000000001</v>
      </c>
      <c r="Q30" s="100">
        <v>17.2</v>
      </c>
      <c r="R30" s="100">
        <v>16.5</v>
      </c>
      <c r="S30" s="100">
        <v>15.8</v>
      </c>
      <c r="T30" s="100">
        <v>15.3</v>
      </c>
      <c r="U30" s="100">
        <v>14.7</v>
      </c>
    </row>
    <row r="31" spans="1:21" x14ac:dyDescent="0.25">
      <c r="A31" s="99">
        <v>20</v>
      </c>
      <c r="B31" s="100">
        <v>214.7</v>
      </c>
      <c r="C31" s="100">
        <v>109.3</v>
      </c>
      <c r="D31" s="100">
        <v>74.2</v>
      </c>
      <c r="E31" s="100">
        <v>56.7</v>
      </c>
      <c r="F31" s="100">
        <v>46.2</v>
      </c>
      <c r="G31" s="100">
        <v>39.200000000000003</v>
      </c>
      <c r="H31" s="100">
        <v>34.200000000000003</v>
      </c>
      <c r="I31" s="100">
        <v>30.5</v>
      </c>
      <c r="J31" s="100">
        <v>27.5</v>
      </c>
      <c r="K31" s="100">
        <v>25.2</v>
      </c>
      <c r="L31" s="100">
        <v>23.3</v>
      </c>
      <c r="M31" s="100">
        <v>21.8</v>
      </c>
      <c r="N31" s="100">
        <v>20.399999999999999</v>
      </c>
      <c r="O31" s="100">
        <v>19.3</v>
      </c>
      <c r="P31" s="100">
        <v>18.3</v>
      </c>
      <c r="Q31" s="100">
        <v>17.5</v>
      </c>
      <c r="R31" s="100">
        <v>16.7</v>
      </c>
      <c r="S31" s="100">
        <v>16.100000000000001</v>
      </c>
      <c r="T31" s="100">
        <v>15.5</v>
      </c>
      <c r="U31" s="100">
        <v>14.9</v>
      </c>
    </row>
    <row r="32" spans="1:21" x14ac:dyDescent="0.25">
      <c r="A32" s="99">
        <v>21</v>
      </c>
      <c r="B32" s="100">
        <v>217.8</v>
      </c>
      <c r="C32" s="100">
        <v>110.9</v>
      </c>
      <c r="D32" s="100">
        <v>75.3</v>
      </c>
      <c r="E32" s="100">
        <v>57.5</v>
      </c>
      <c r="F32" s="100">
        <v>46.9</v>
      </c>
      <c r="G32" s="100">
        <v>39.799999999999997</v>
      </c>
      <c r="H32" s="100">
        <v>34.700000000000003</v>
      </c>
      <c r="I32" s="100">
        <v>30.9</v>
      </c>
      <c r="J32" s="100">
        <v>27.9</v>
      </c>
      <c r="K32" s="100">
        <v>25.6</v>
      </c>
      <c r="L32" s="100">
        <v>23.7</v>
      </c>
      <c r="M32" s="100">
        <v>22.1</v>
      </c>
      <c r="N32" s="100">
        <v>20.7</v>
      </c>
      <c r="O32" s="100">
        <v>19.600000000000001</v>
      </c>
      <c r="P32" s="100">
        <v>18.600000000000001</v>
      </c>
      <c r="Q32" s="100">
        <v>17.7</v>
      </c>
      <c r="R32" s="100">
        <v>17</v>
      </c>
      <c r="S32" s="100">
        <v>16.3</v>
      </c>
      <c r="T32" s="100">
        <v>15.7</v>
      </c>
      <c r="U32" s="100">
        <v>15.2</v>
      </c>
    </row>
    <row r="33" spans="1:21" x14ac:dyDescent="0.25">
      <c r="A33" s="99">
        <v>22</v>
      </c>
      <c r="B33" s="100">
        <v>220.9</v>
      </c>
      <c r="C33" s="100">
        <v>112.5</v>
      </c>
      <c r="D33" s="100">
        <v>76.400000000000006</v>
      </c>
      <c r="E33" s="100">
        <v>58.3</v>
      </c>
      <c r="F33" s="100">
        <v>47.5</v>
      </c>
      <c r="G33" s="100">
        <v>40.299999999999997</v>
      </c>
      <c r="H33" s="100">
        <v>35.200000000000003</v>
      </c>
      <c r="I33" s="100">
        <v>31.3</v>
      </c>
      <c r="J33" s="100">
        <v>28.4</v>
      </c>
      <c r="K33" s="100">
        <v>26</v>
      </c>
      <c r="L33" s="100">
        <v>24</v>
      </c>
      <c r="M33" s="100">
        <v>22.4</v>
      </c>
      <c r="N33" s="100">
        <v>21</v>
      </c>
      <c r="O33" s="100">
        <v>19.899999999999999</v>
      </c>
      <c r="P33" s="100">
        <v>18.899999999999999</v>
      </c>
      <c r="Q33" s="100">
        <v>18</v>
      </c>
      <c r="R33" s="100">
        <v>17.2</v>
      </c>
      <c r="S33" s="100">
        <v>16.5</v>
      </c>
      <c r="T33" s="100">
        <v>15.9</v>
      </c>
      <c r="U33" s="100">
        <v>15.4</v>
      </c>
    </row>
    <row r="34" spans="1:21" x14ac:dyDescent="0.25">
      <c r="A34" s="99">
        <v>23</v>
      </c>
      <c r="B34" s="100">
        <v>224.1</v>
      </c>
      <c r="C34" s="100">
        <v>114.1</v>
      </c>
      <c r="D34" s="100">
        <v>77.5</v>
      </c>
      <c r="E34" s="100">
        <v>59.2</v>
      </c>
      <c r="F34" s="100">
        <v>48.2</v>
      </c>
      <c r="G34" s="100">
        <v>40.9</v>
      </c>
      <c r="H34" s="100">
        <v>35.700000000000003</v>
      </c>
      <c r="I34" s="100">
        <v>31.8</v>
      </c>
      <c r="J34" s="100">
        <v>28.8</v>
      </c>
      <c r="K34" s="100">
        <v>26.3</v>
      </c>
      <c r="L34" s="100">
        <v>24.4</v>
      </c>
      <c r="M34" s="100">
        <v>22.7</v>
      </c>
      <c r="N34" s="100">
        <v>21.3</v>
      </c>
      <c r="O34" s="100">
        <v>20.2</v>
      </c>
      <c r="P34" s="100">
        <v>19.100000000000001</v>
      </c>
      <c r="Q34" s="100">
        <v>18.3</v>
      </c>
      <c r="R34" s="100">
        <v>17.5</v>
      </c>
      <c r="S34" s="100">
        <v>16.8</v>
      </c>
      <c r="T34" s="100">
        <v>16.2</v>
      </c>
      <c r="U34" s="100">
        <v>15.6</v>
      </c>
    </row>
    <row r="35" spans="1:21" x14ac:dyDescent="0.25">
      <c r="A35" s="99">
        <v>24</v>
      </c>
      <c r="B35" s="100">
        <v>227.3</v>
      </c>
      <c r="C35" s="100">
        <v>115.8</v>
      </c>
      <c r="D35" s="100">
        <v>78.599999999999994</v>
      </c>
      <c r="E35" s="100">
        <v>60</v>
      </c>
      <c r="F35" s="100">
        <v>48.9</v>
      </c>
      <c r="G35" s="100">
        <v>41.5</v>
      </c>
      <c r="H35" s="100">
        <v>36.200000000000003</v>
      </c>
      <c r="I35" s="100">
        <v>32.200000000000003</v>
      </c>
      <c r="J35" s="100">
        <v>29.2</v>
      </c>
      <c r="K35" s="100">
        <v>26.7</v>
      </c>
      <c r="L35" s="100">
        <v>24.7</v>
      </c>
      <c r="M35" s="100">
        <v>23.1</v>
      </c>
      <c r="N35" s="100">
        <v>21.7</v>
      </c>
      <c r="O35" s="100">
        <v>20.5</v>
      </c>
      <c r="P35" s="100">
        <v>19.399999999999999</v>
      </c>
      <c r="Q35" s="100">
        <v>18.5</v>
      </c>
      <c r="R35" s="100">
        <v>17.7</v>
      </c>
      <c r="S35" s="100">
        <v>17</v>
      </c>
      <c r="T35" s="100">
        <v>16.399999999999999</v>
      </c>
      <c r="U35" s="100">
        <v>15.8</v>
      </c>
    </row>
    <row r="36" spans="1:21" x14ac:dyDescent="0.25">
      <c r="A36" s="99">
        <v>25</v>
      </c>
      <c r="B36" s="100">
        <v>230.5</v>
      </c>
      <c r="C36" s="100">
        <v>117.4</v>
      </c>
      <c r="D36" s="100">
        <v>79.7</v>
      </c>
      <c r="E36" s="100">
        <v>60.9</v>
      </c>
      <c r="F36" s="100">
        <v>49.6</v>
      </c>
      <c r="G36" s="100">
        <v>42.1</v>
      </c>
      <c r="H36" s="100">
        <v>36.700000000000003</v>
      </c>
      <c r="I36" s="100">
        <v>32.700000000000003</v>
      </c>
      <c r="J36" s="100">
        <v>29.6</v>
      </c>
      <c r="K36" s="100">
        <v>27.1</v>
      </c>
      <c r="L36" s="100">
        <v>25.1</v>
      </c>
      <c r="M36" s="100">
        <v>23.4</v>
      </c>
      <c r="N36" s="100">
        <v>22</v>
      </c>
      <c r="O36" s="100">
        <v>20.8</v>
      </c>
      <c r="P36" s="100">
        <v>19.7</v>
      </c>
      <c r="Q36" s="100">
        <v>18.8</v>
      </c>
      <c r="R36" s="100">
        <v>18</v>
      </c>
      <c r="S36" s="100">
        <v>17.3</v>
      </c>
      <c r="T36" s="100">
        <v>16.600000000000001</v>
      </c>
      <c r="U36" s="100">
        <v>16.100000000000001</v>
      </c>
    </row>
    <row r="37" spans="1:21" x14ac:dyDescent="0.25">
      <c r="A37" s="99">
        <v>26</v>
      </c>
      <c r="B37" s="100">
        <v>233.8</v>
      </c>
      <c r="C37" s="100">
        <v>119.1</v>
      </c>
      <c r="D37" s="100">
        <v>80.900000000000006</v>
      </c>
      <c r="E37" s="100">
        <v>61.8</v>
      </c>
      <c r="F37" s="100">
        <v>50.3</v>
      </c>
      <c r="G37" s="100">
        <v>42.7</v>
      </c>
      <c r="H37" s="100">
        <v>37.200000000000003</v>
      </c>
      <c r="I37" s="100">
        <v>33.200000000000003</v>
      </c>
      <c r="J37" s="100">
        <v>30</v>
      </c>
      <c r="K37" s="100">
        <v>27.5</v>
      </c>
      <c r="L37" s="100">
        <v>25.4</v>
      </c>
      <c r="M37" s="100">
        <v>23.7</v>
      </c>
      <c r="N37" s="100">
        <v>22.3</v>
      </c>
      <c r="O37" s="100">
        <v>21.1</v>
      </c>
      <c r="P37" s="100">
        <v>20</v>
      </c>
      <c r="Q37" s="100">
        <v>19.100000000000001</v>
      </c>
      <c r="R37" s="100">
        <v>18.3</v>
      </c>
      <c r="S37" s="100">
        <v>17.5</v>
      </c>
      <c r="T37" s="100">
        <v>16.899999999999999</v>
      </c>
      <c r="U37" s="100">
        <v>16.3</v>
      </c>
    </row>
    <row r="38" spans="1:21" x14ac:dyDescent="0.25">
      <c r="A38" s="99">
        <v>27</v>
      </c>
      <c r="B38" s="100">
        <v>237.1</v>
      </c>
      <c r="C38" s="100">
        <v>120.8</v>
      </c>
      <c r="D38" s="100">
        <v>82</v>
      </c>
      <c r="E38" s="100">
        <v>62.6</v>
      </c>
      <c r="F38" s="100">
        <v>51</v>
      </c>
      <c r="G38" s="100">
        <v>43.3</v>
      </c>
      <c r="H38" s="100">
        <v>37.799999999999997</v>
      </c>
      <c r="I38" s="100">
        <v>33.700000000000003</v>
      </c>
      <c r="J38" s="100">
        <v>30.5</v>
      </c>
      <c r="K38" s="100">
        <v>27.9</v>
      </c>
      <c r="L38" s="100">
        <v>25.8</v>
      </c>
      <c r="M38" s="100">
        <v>24.1</v>
      </c>
      <c r="N38" s="100">
        <v>22.6</v>
      </c>
      <c r="O38" s="100">
        <v>21.4</v>
      </c>
      <c r="P38" s="100">
        <v>20.3</v>
      </c>
      <c r="Q38" s="100">
        <v>19.399999999999999</v>
      </c>
      <c r="R38" s="100">
        <v>18.5</v>
      </c>
      <c r="S38" s="100">
        <v>17.8</v>
      </c>
      <c r="T38" s="100">
        <v>17.100000000000001</v>
      </c>
      <c r="U38" s="100">
        <v>16.600000000000001</v>
      </c>
    </row>
    <row r="39" spans="1:21" x14ac:dyDescent="0.25">
      <c r="A39" s="99">
        <v>28</v>
      </c>
      <c r="B39" s="100">
        <v>240.5</v>
      </c>
      <c r="C39" s="100">
        <v>122.5</v>
      </c>
      <c r="D39" s="100">
        <v>83.2</v>
      </c>
      <c r="E39" s="100">
        <v>63.5</v>
      </c>
      <c r="F39" s="100">
        <v>51.8</v>
      </c>
      <c r="G39" s="100">
        <v>43.9</v>
      </c>
      <c r="H39" s="100">
        <v>38.299999999999997</v>
      </c>
      <c r="I39" s="100">
        <v>34.1</v>
      </c>
      <c r="J39" s="100">
        <v>30.9</v>
      </c>
      <c r="K39" s="100">
        <v>28.3</v>
      </c>
      <c r="L39" s="100">
        <v>26.2</v>
      </c>
      <c r="M39" s="100">
        <v>24.4</v>
      </c>
      <c r="N39" s="100">
        <v>22.9</v>
      </c>
      <c r="O39" s="100">
        <v>21.7</v>
      </c>
      <c r="P39" s="100">
        <v>20.6</v>
      </c>
      <c r="Q39" s="100">
        <v>19.600000000000001</v>
      </c>
      <c r="R39" s="100">
        <v>18.8</v>
      </c>
      <c r="S39" s="100">
        <v>18.100000000000001</v>
      </c>
      <c r="T39" s="100">
        <v>17.399999999999999</v>
      </c>
      <c r="U39" s="100">
        <v>16.8</v>
      </c>
    </row>
    <row r="40" spans="1:21" x14ac:dyDescent="0.25">
      <c r="A40" s="99">
        <v>29</v>
      </c>
      <c r="B40" s="100">
        <v>243.9</v>
      </c>
      <c r="C40" s="100">
        <v>124.2</v>
      </c>
      <c r="D40" s="100">
        <v>84.3</v>
      </c>
      <c r="E40" s="100">
        <v>64.400000000000006</v>
      </c>
      <c r="F40" s="100">
        <v>52.5</v>
      </c>
      <c r="G40" s="100">
        <v>44.5</v>
      </c>
      <c r="H40" s="100">
        <v>38.9</v>
      </c>
      <c r="I40" s="100">
        <v>34.6</v>
      </c>
      <c r="J40" s="100">
        <v>31.3</v>
      </c>
      <c r="K40" s="100">
        <v>28.7</v>
      </c>
      <c r="L40" s="100">
        <v>26.6</v>
      </c>
      <c r="M40" s="100">
        <v>24.8</v>
      </c>
      <c r="N40" s="100">
        <v>23.3</v>
      </c>
      <c r="O40" s="100">
        <v>22</v>
      </c>
      <c r="P40" s="100">
        <v>20.9</v>
      </c>
      <c r="Q40" s="100">
        <v>19.899999999999999</v>
      </c>
      <c r="R40" s="100">
        <v>19.100000000000001</v>
      </c>
      <c r="S40" s="100">
        <v>18.3</v>
      </c>
      <c r="T40" s="100">
        <v>17.7</v>
      </c>
      <c r="U40" s="100">
        <v>17.100000000000001</v>
      </c>
    </row>
    <row r="41" spans="1:21" x14ac:dyDescent="0.25">
      <c r="A41" s="99">
        <v>30</v>
      </c>
      <c r="B41" s="100">
        <v>247.3</v>
      </c>
      <c r="C41" s="100">
        <v>126</v>
      </c>
      <c r="D41" s="100">
        <v>85.6</v>
      </c>
      <c r="E41" s="100">
        <v>65.400000000000006</v>
      </c>
      <c r="F41" s="100">
        <v>53.2</v>
      </c>
      <c r="G41" s="100">
        <v>45.2</v>
      </c>
      <c r="H41" s="100">
        <v>39.4</v>
      </c>
      <c r="I41" s="100">
        <v>35.1</v>
      </c>
      <c r="J41" s="100">
        <v>31.8</v>
      </c>
      <c r="K41" s="100">
        <v>29.1</v>
      </c>
      <c r="L41" s="100">
        <v>27</v>
      </c>
      <c r="M41" s="100">
        <v>25.1</v>
      </c>
      <c r="N41" s="100">
        <v>23.6</v>
      </c>
      <c r="O41" s="100">
        <v>22.3</v>
      </c>
      <c r="P41" s="100">
        <v>21.2</v>
      </c>
      <c r="Q41" s="100">
        <v>20.2</v>
      </c>
      <c r="R41" s="100">
        <v>19.399999999999999</v>
      </c>
      <c r="S41" s="100">
        <v>18.600000000000001</v>
      </c>
      <c r="T41" s="100">
        <v>17.899999999999999</v>
      </c>
      <c r="U41" s="100">
        <v>17.3</v>
      </c>
    </row>
    <row r="42" spans="1:21" x14ac:dyDescent="0.25">
      <c r="A42" s="99">
        <v>31</v>
      </c>
      <c r="B42" s="100">
        <v>250.8</v>
      </c>
      <c r="C42" s="100">
        <v>127.8</v>
      </c>
      <c r="D42" s="100">
        <v>86.8</v>
      </c>
      <c r="E42" s="100">
        <v>66.3</v>
      </c>
      <c r="F42" s="100">
        <v>54</v>
      </c>
      <c r="G42" s="100">
        <v>45.8</v>
      </c>
      <c r="H42" s="100">
        <v>40</v>
      </c>
      <c r="I42" s="100">
        <v>35.6</v>
      </c>
      <c r="J42" s="100">
        <v>32.299999999999997</v>
      </c>
      <c r="K42" s="100">
        <v>29.6</v>
      </c>
      <c r="L42" s="100">
        <v>27.3</v>
      </c>
      <c r="M42" s="100">
        <v>25.5</v>
      </c>
      <c r="N42" s="100">
        <v>24</v>
      </c>
      <c r="O42" s="100">
        <v>22.7</v>
      </c>
      <c r="P42" s="100">
        <v>21.5</v>
      </c>
      <c r="Q42" s="100">
        <v>20.5</v>
      </c>
      <c r="R42" s="100">
        <v>19.7</v>
      </c>
      <c r="S42" s="100">
        <v>18.899999999999999</v>
      </c>
      <c r="T42" s="100">
        <v>18.2</v>
      </c>
      <c r="U42" s="100">
        <v>17.600000000000001</v>
      </c>
    </row>
    <row r="43" spans="1:21" x14ac:dyDescent="0.25">
      <c r="A43" s="99">
        <v>32</v>
      </c>
      <c r="B43" s="100">
        <v>254.4</v>
      </c>
      <c r="C43" s="100">
        <v>129.6</v>
      </c>
      <c r="D43" s="100">
        <v>88</v>
      </c>
      <c r="E43" s="100">
        <v>67.2</v>
      </c>
      <c r="F43" s="100">
        <v>54.8</v>
      </c>
      <c r="G43" s="100">
        <v>46.5</v>
      </c>
      <c r="H43" s="100">
        <v>40.6</v>
      </c>
      <c r="I43" s="100">
        <v>36.200000000000003</v>
      </c>
      <c r="J43" s="100">
        <v>32.700000000000003</v>
      </c>
      <c r="K43" s="100">
        <v>30</v>
      </c>
      <c r="L43" s="100">
        <v>27.7</v>
      </c>
      <c r="M43" s="100">
        <v>25.9</v>
      </c>
      <c r="N43" s="100">
        <v>24.3</v>
      </c>
      <c r="O43" s="100">
        <v>23</v>
      </c>
      <c r="P43" s="100">
        <v>21.8</v>
      </c>
      <c r="Q43" s="100">
        <v>20.8</v>
      </c>
      <c r="R43" s="100">
        <v>19.899999999999999</v>
      </c>
      <c r="S43" s="100">
        <v>19.2</v>
      </c>
      <c r="T43" s="100">
        <v>18.5</v>
      </c>
      <c r="U43" s="100">
        <v>17.899999999999999</v>
      </c>
    </row>
    <row r="44" spans="1:21" x14ac:dyDescent="0.25">
      <c r="A44" s="99">
        <v>33</v>
      </c>
      <c r="B44" s="100">
        <v>257.89999999999998</v>
      </c>
      <c r="C44" s="100">
        <v>131.4</v>
      </c>
      <c r="D44" s="100">
        <v>89.2</v>
      </c>
      <c r="E44" s="100">
        <v>68.2</v>
      </c>
      <c r="F44" s="100">
        <v>55.6</v>
      </c>
      <c r="G44" s="100">
        <v>47.1</v>
      </c>
      <c r="H44" s="100">
        <v>41.2</v>
      </c>
      <c r="I44" s="100">
        <v>36.700000000000003</v>
      </c>
      <c r="J44" s="100">
        <v>33.200000000000003</v>
      </c>
      <c r="K44" s="100">
        <v>30.4</v>
      </c>
      <c r="L44" s="100">
        <v>28.1</v>
      </c>
      <c r="M44" s="100">
        <v>26.3</v>
      </c>
      <c r="N44" s="100">
        <v>24.7</v>
      </c>
      <c r="O44" s="100">
        <v>23.3</v>
      </c>
      <c r="P44" s="100">
        <v>22.2</v>
      </c>
      <c r="Q44" s="100">
        <v>21.1</v>
      </c>
      <c r="R44" s="100">
        <v>20.2</v>
      </c>
      <c r="S44" s="100">
        <v>19.5</v>
      </c>
      <c r="T44" s="100">
        <v>18.8</v>
      </c>
      <c r="U44" s="100">
        <v>18.100000000000001</v>
      </c>
    </row>
    <row r="45" spans="1:21" x14ac:dyDescent="0.25">
      <c r="A45" s="99">
        <v>34</v>
      </c>
      <c r="B45" s="100">
        <v>261.5</v>
      </c>
      <c r="C45" s="100">
        <v>133.19999999999999</v>
      </c>
      <c r="D45" s="100">
        <v>90.5</v>
      </c>
      <c r="E45" s="100">
        <v>69.099999999999994</v>
      </c>
      <c r="F45" s="100">
        <v>56.3</v>
      </c>
      <c r="G45" s="100">
        <v>47.8</v>
      </c>
      <c r="H45" s="100">
        <v>41.7</v>
      </c>
      <c r="I45" s="100">
        <v>37.200000000000003</v>
      </c>
      <c r="J45" s="100">
        <v>33.700000000000003</v>
      </c>
      <c r="K45" s="100">
        <v>30.9</v>
      </c>
      <c r="L45" s="100">
        <v>28.6</v>
      </c>
      <c r="M45" s="100">
        <v>26.6</v>
      </c>
      <c r="N45" s="100">
        <v>25</v>
      </c>
      <c r="O45" s="100">
        <v>23.7</v>
      </c>
      <c r="P45" s="100">
        <v>22.5</v>
      </c>
      <c r="Q45" s="100">
        <v>21.5</v>
      </c>
      <c r="R45" s="100">
        <v>20.5</v>
      </c>
      <c r="S45" s="100">
        <v>19.7</v>
      </c>
      <c r="T45" s="100">
        <v>19</v>
      </c>
      <c r="U45" s="100">
        <v>18.399999999999999</v>
      </c>
    </row>
    <row r="46" spans="1:21" x14ac:dyDescent="0.25">
      <c r="A46" s="99">
        <v>35</v>
      </c>
      <c r="B46" s="100">
        <v>265.2</v>
      </c>
      <c r="C46" s="100">
        <v>135.1</v>
      </c>
      <c r="D46" s="100">
        <v>91.8</v>
      </c>
      <c r="E46" s="100">
        <v>70.099999999999994</v>
      </c>
      <c r="F46" s="100">
        <v>57.1</v>
      </c>
      <c r="G46" s="100">
        <v>48.5</v>
      </c>
      <c r="H46" s="100">
        <v>42.3</v>
      </c>
      <c r="I46" s="100">
        <v>37.700000000000003</v>
      </c>
      <c r="J46" s="100">
        <v>34.1</v>
      </c>
      <c r="K46" s="100">
        <v>31.3</v>
      </c>
      <c r="L46" s="100">
        <v>29</v>
      </c>
      <c r="M46" s="100">
        <v>27</v>
      </c>
      <c r="N46" s="100">
        <v>25.4</v>
      </c>
      <c r="O46" s="100">
        <v>24</v>
      </c>
      <c r="P46" s="100">
        <v>22.8</v>
      </c>
      <c r="Q46" s="100">
        <v>21.8</v>
      </c>
      <c r="R46" s="100">
        <v>20.9</v>
      </c>
      <c r="S46" s="100">
        <v>20</v>
      </c>
      <c r="T46" s="100">
        <v>19.3</v>
      </c>
      <c r="U46" s="100">
        <v>18.7</v>
      </c>
    </row>
    <row r="47" spans="1:21" x14ac:dyDescent="0.25">
      <c r="A47" s="99">
        <v>36</v>
      </c>
      <c r="B47" s="100">
        <v>268.89999999999998</v>
      </c>
      <c r="C47" s="100">
        <v>137</v>
      </c>
      <c r="D47" s="100">
        <v>93</v>
      </c>
      <c r="E47" s="100">
        <v>71.099999999999994</v>
      </c>
      <c r="F47" s="100">
        <v>57.9</v>
      </c>
      <c r="G47" s="100">
        <v>49.2</v>
      </c>
      <c r="H47" s="100">
        <v>42.9</v>
      </c>
      <c r="I47" s="100">
        <v>38.299999999999997</v>
      </c>
      <c r="J47" s="100">
        <v>34.6</v>
      </c>
      <c r="K47" s="100">
        <v>31.7</v>
      </c>
      <c r="L47" s="100">
        <v>29.4</v>
      </c>
      <c r="M47" s="100">
        <v>27.4</v>
      </c>
      <c r="N47" s="100">
        <v>25.8</v>
      </c>
      <c r="O47" s="100">
        <v>24.4</v>
      </c>
      <c r="P47" s="100">
        <v>23.2</v>
      </c>
      <c r="Q47" s="100">
        <v>22.1</v>
      </c>
      <c r="R47" s="100">
        <v>21.2</v>
      </c>
      <c r="S47" s="100">
        <v>20.399999999999999</v>
      </c>
      <c r="T47" s="100">
        <v>19.600000000000001</v>
      </c>
      <c r="U47" s="100">
        <v>19</v>
      </c>
    </row>
    <row r="48" spans="1:21" x14ac:dyDescent="0.25">
      <c r="A48" s="99">
        <v>37</v>
      </c>
      <c r="B48" s="100">
        <v>272.60000000000002</v>
      </c>
      <c r="C48" s="100">
        <v>138.9</v>
      </c>
      <c r="D48" s="100">
        <v>94.3</v>
      </c>
      <c r="E48" s="100">
        <v>72.099999999999994</v>
      </c>
      <c r="F48" s="100">
        <v>58.8</v>
      </c>
      <c r="G48" s="100">
        <v>49.9</v>
      </c>
      <c r="H48" s="100">
        <v>43.6</v>
      </c>
      <c r="I48" s="100">
        <v>38.799999999999997</v>
      </c>
      <c r="J48" s="100">
        <v>35.1</v>
      </c>
      <c r="K48" s="100">
        <v>32.200000000000003</v>
      </c>
      <c r="L48" s="100">
        <v>29.8</v>
      </c>
      <c r="M48" s="100">
        <v>27.8</v>
      </c>
      <c r="N48" s="100">
        <v>26.2</v>
      </c>
      <c r="O48" s="100">
        <v>24.7</v>
      </c>
      <c r="P48" s="100">
        <v>23.5</v>
      </c>
      <c r="Q48" s="100">
        <v>22.4</v>
      </c>
      <c r="R48" s="100">
        <v>21.5</v>
      </c>
      <c r="S48" s="100">
        <v>20.7</v>
      </c>
      <c r="T48" s="100">
        <v>19.899999999999999</v>
      </c>
      <c r="U48" s="100">
        <v>19.3</v>
      </c>
    </row>
    <row r="49" spans="1:21" x14ac:dyDescent="0.25">
      <c r="A49" s="99">
        <v>38</v>
      </c>
      <c r="B49" s="100">
        <v>276.39999999999998</v>
      </c>
      <c r="C49" s="100">
        <v>140.80000000000001</v>
      </c>
      <c r="D49" s="100">
        <v>95.7</v>
      </c>
      <c r="E49" s="100">
        <v>73.099999999999994</v>
      </c>
      <c r="F49" s="100">
        <v>59.6</v>
      </c>
      <c r="G49" s="100">
        <v>50.6</v>
      </c>
      <c r="H49" s="100">
        <v>44.2</v>
      </c>
      <c r="I49" s="100">
        <v>39.4</v>
      </c>
      <c r="J49" s="100">
        <v>35.6</v>
      </c>
      <c r="K49" s="100">
        <v>32.700000000000003</v>
      </c>
      <c r="L49" s="100">
        <v>30.3</v>
      </c>
      <c r="M49" s="100">
        <v>28.2</v>
      </c>
      <c r="N49" s="100">
        <v>26.5</v>
      </c>
      <c r="O49" s="100">
        <v>25.1</v>
      </c>
      <c r="P49" s="100">
        <v>23.9</v>
      </c>
      <c r="Q49" s="100">
        <v>22.8</v>
      </c>
      <c r="R49" s="100">
        <v>21.8</v>
      </c>
      <c r="S49" s="100">
        <v>21</v>
      </c>
      <c r="T49" s="100">
        <v>20.3</v>
      </c>
      <c r="U49" s="100">
        <v>19.600000000000001</v>
      </c>
    </row>
    <row r="50" spans="1:21" x14ac:dyDescent="0.25">
      <c r="A50" s="99">
        <v>39</v>
      </c>
      <c r="B50" s="100">
        <v>280.2</v>
      </c>
      <c r="C50" s="100">
        <v>142.80000000000001</v>
      </c>
      <c r="D50" s="100">
        <v>97</v>
      </c>
      <c r="E50" s="100">
        <v>74.099999999999994</v>
      </c>
      <c r="F50" s="100">
        <v>60.4</v>
      </c>
      <c r="G50" s="100">
        <v>51.3</v>
      </c>
      <c r="H50" s="100">
        <v>44.8</v>
      </c>
      <c r="I50" s="100">
        <v>39.9</v>
      </c>
      <c r="J50" s="100">
        <v>36.200000000000003</v>
      </c>
      <c r="K50" s="100">
        <v>33.200000000000003</v>
      </c>
      <c r="L50" s="100">
        <v>30.7</v>
      </c>
      <c r="M50" s="100">
        <v>28.7</v>
      </c>
      <c r="N50" s="100">
        <v>26.9</v>
      </c>
      <c r="O50" s="100">
        <v>25.5</v>
      </c>
      <c r="P50" s="100">
        <v>24.2</v>
      </c>
      <c r="Q50" s="100">
        <v>23.1</v>
      </c>
      <c r="R50" s="100">
        <v>22.2</v>
      </c>
      <c r="S50" s="100">
        <v>21.3</v>
      </c>
      <c r="T50" s="100">
        <v>20.6</v>
      </c>
      <c r="U50" s="100">
        <v>19.899999999999999</v>
      </c>
    </row>
    <row r="51" spans="1:21" x14ac:dyDescent="0.25">
      <c r="A51" s="99">
        <v>40</v>
      </c>
      <c r="B51" s="100">
        <v>284.10000000000002</v>
      </c>
      <c r="C51" s="100">
        <v>144.80000000000001</v>
      </c>
      <c r="D51" s="100">
        <v>98.4</v>
      </c>
      <c r="E51" s="100">
        <v>75.2</v>
      </c>
      <c r="F51" s="100">
        <v>61.3</v>
      </c>
      <c r="G51" s="100">
        <v>52</v>
      </c>
      <c r="H51" s="100">
        <v>45.5</v>
      </c>
      <c r="I51" s="100">
        <v>40.5</v>
      </c>
      <c r="J51" s="100">
        <v>36.700000000000003</v>
      </c>
      <c r="K51" s="100">
        <v>33.6</v>
      </c>
      <c r="L51" s="100">
        <v>31.2</v>
      </c>
      <c r="M51" s="100">
        <v>29.1</v>
      </c>
      <c r="N51" s="100">
        <v>27.4</v>
      </c>
      <c r="O51" s="100">
        <v>25.9</v>
      </c>
      <c r="P51" s="100">
        <v>24.6</v>
      </c>
      <c r="Q51" s="100">
        <v>23.5</v>
      </c>
      <c r="R51" s="100">
        <v>22.5</v>
      </c>
      <c r="S51" s="100">
        <v>21.7</v>
      </c>
      <c r="T51" s="100">
        <v>20.9</v>
      </c>
      <c r="U51" s="100">
        <v>20.3</v>
      </c>
    </row>
    <row r="52" spans="1:21" x14ac:dyDescent="0.25">
      <c r="A52" s="99">
        <v>41</v>
      </c>
      <c r="B52" s="100">
        <v>288</v>
      </c>
      <c r="C52" s="100">
        <v>146.80000000000001</v>
      </c>
      <c r="D52" s="100">
        <v>99.8</v>
      </c>
      <c r="E52" s="100">
        <v>76.2</v>
      </c>
      <c r="F52" s="100">
        <v>62.2</v>
      </c>
      <c r="G52" s="100">
        <v>52.8</v>
      </c>
      <c r="H52" s="100">
        <v>46.1</v>
      </c>
      <c r="I52" s="100">
        <v>41.1</v>
      </c>
      <c r="J52" s="100">
        <v>37.200000000000003</v>
      </c>
      <c r="K52" s="100">
        <v>34.1</v>
      </c>
      <c r="L52" s="100">
        <v>31.6</v>
      </c>
      <c r="M52" s="100">
        <v>29.5</v>
      </c>
      <c r="N52" s="100">
        <v>27.8</v>
      </c>
      <c r="O52" s="100">
        <v>26.3</v>
      </c>
      <c r="P52" s="100">
        <v>25</v>
      </c>
      <c r="Q52" s="100">
        <v>23.9</v>
      </c>
      <c r="R52" s="100">
        <v>22.9</v>
      </c>
      <c r="S52" s="100">
        <v>22</v>
      </c>
      <c r="T52" s="100">
        <v>21.3</v>
      </c>
      <c r="U52" s="100">
        <v>20.6</v>
      </c>
    </row>
    <row r="53" spans="1:21" x14ac:dyDescent="0.25">
      <c r="A53" s="99">
        <v>42</v>
      </c>
      <c r="B53" s="100">
        <v>292</v>
      </c>
      <c r="C53" s="100">
        <v>148.80000000000001</v>
      </c>
      <c r="D53" s="100">
        <v>101.1</v>
      </c>
      <c r="E53" s="100">
        <v>77.3</v>
      </c>
      <c r="F53" s="100">
        <v>63</v>
      </c>
      <c r="G53" s="100">
        <v>53.5</v>
      </c>
      <c r="H53" s="100">
        <v>46.8</v>
      </c>
      <c r="I53" s="100">
        <v>41.7</v>
      </c>
      <c r="J53" s="100">
        <v>37.799999999999997</v>
      </c>
      <c r="K53" s="100">
        <v>34.6</v>
      </c>
      <c r="L53" s="100">
        <v>32.1</v>
      </c>
      <c r="M53" s="100">
        <v>30</v>
      </c>
      <c r="N53" s="100">
        <v>28.2</v>
      </c>
      <c r="O53" s="100">
        <v>26.7</v>
      </c>
      <c r="P53" s="100">
        <v>25.4</v>
      </c>
      <c r="Q53" s="100">
        <v>24.3</v>
      </c>
      <c r="R53" s="100">
        <v>23.3</v>
      </c>
      <c r="S53" s="100">
        <v>22.4</v>
      </c>
      <c r="T53" s="100">
        <v>21.7</v>
      </c>
      <c r="U53" s="100">
        <v>21</v>
      </c>
    </row>
    <row r="54" spans="1:21" x14ac:dyDescent="0.25">
      <c r="A54" s="99">
        <v>43</v>
      </c>
      <c r="B54" s="100">
        <v>296</v>
      </c>
      <c r="C54" s="100">
        <v>150.9</v>
      </c>
      <c r="D54" s="100">
        <v>102.6</v>
      </c>
      <c r="E54" s="100">
        <v>78.400000000000006</v>
      </c>
      <c r="F54" s="100">
        <v>63.9</v>
      </c>
      <c r="G54" s="100">
        <v>54.3</v>
      </c>
      <c r="H54" s="100">
        <v>47.4</v>
      </c>
      <c r="I54" s="100">
        <v>42.3</v>
      </c>
      <c r="J54" s="100">
        <v>38.299999999999997</v>
      </c>
      <c r="K54" s="100">
        <v>35.200000000000003</v>
      </c>
      <c r="L54" s="100">
        <v>32.6</v>
      </c>
      <c r="M54" s="100">
        <v>30.4</v>
      </c>
      <c r="N54" s="100">
        <v>28.6</v>
      </c>
      <c r="O54" s="100">
        <v>27.1</v>
      </c>
      <c r="P54" s="100">
        <v>25.8</v>
      </c>
      <c r="Q54" s="100">
        <v>24.7</v>
      </c>
      <c r="R54" s="100">
        <v>23.7</v>
      </c>
      <c r="S54" s="100">
        <v>22.8</v>
      </c>
      <c r="T54" s="100">
        <v>22</v>
      </c>
      <c r="U54" s="100">
        <v>21.4</v>
      </c>
    </row>
    <row r="55" spans="1:21" x14ac:dyDescent="0.25">
      <c r="A55" s="99">
        <v>44</v>
      </c>
      <c r="B55" s="100">
        <v>300.10000000000002</v>
      </c>
      <c r="C55" s="100">
        <v>153</v>
      </c>
      <c r="D55" s="100">
        <v>104</v>
      </c>
      <c r="E55" s="100">
        <v>79.5</v>
      </c>
      <c r="F55" s="100">
        <v>64.8</v>
      </c>
      <c r="G55" s="100">
        <v>55.1</v>
      </c>
      <c r="H55" s="100">
        <v>48.1</v>
      </c>
      <c r="I55" s="100">
        <v>42.9</v>
      </c>
      <c r="J55" s="100">
        <v>38.9</v>
      </c>
      <c r="K55" s="100">
        <v>35.700000000000003</v>
      </c>
      <c r="L55" s="100">
        <v>33.1</v>
      </c>
      <c r="M55" s="100">
        <v>30.9</v>
      </c>
      <c r="N55" s="100">
        <v>29.1</v>
      </c>
      <c r="O55" s="100">
        <v>27.6</v>
      </c>
      <c r="P55" s="100">
        <v>26.2</v>
      </c>
      <c r="Q55" s="100">
        <v>25.1</v>
      </c>
      <c r="R55" s="100">
        <v>24.1</v>
      </c>
      <c r="S55" s="100">
        <v>23.2</v>
      </c>
      <c r="T55" s="100">
        <v>22.4</v>
      </c>
      <c r="U55" s="100">
        <v>21.8</v>
      </c>
    </row>
    <row r="56" spans="1:21" x14ac:dyDescent="0.25">
      <c r="A56" s="99">
        <v>45</v>
      </c>
      <c r="B56" s="100">
        <v>304.2</v>
      </c>
      <c r="C56" s="100">
        <v>155.1</v>
      </c>
      <c r="D56" s="100">
        <v>105.4</v>
      </c>
      <c r="E56" s="100">
        <v>80.599999999999994</v>
      </c>
      <c r="F56" s="100">
        <v>65.8</v>
      </c>
      <c r="G56" s="100">
        <v>55.9</v>
      </c>
      <c r="H56" s="100">
        <v>48.8</v>
      </c>
      <c r="I56" s="100">
        <v>43.6</v>
      </c>
      <c r="J56" s="100">
        <v>39.5</v>
      </c>
      <c r="K56" s="100">
        <v>36.200000000000003</v>
      </c>
      <c r="L56" s="100">
        <v>33.6</v>
      </c>
      <c r="M56" s="100">
        <v>31.4</v>
      </c>
      <c r="N56" s="100">
        <v>29.6</v>
      </c>
      <c r="O56" s="100">
        <v>28</v>
      </c>
      <c r="P56" s="100">
        <v>26.7</v>
      </c>
      <c r="Q56" s="100">
        <v>25.5</v>
      </c>
      <c r="R56" s="100">
        <v>24.5</v>
      </c>
      <c r="S56" s="100">
        <v>23.6</v>
      </c>
      <c r="T56" s="100">
        <v>22.9</v>
      </c>
      <c r="U56" s="100">
        <v>22.2</v>
      </c>
    </row>
    <row r="57" spans="1:21" x14ac:dyDescent="0.25">
      <c r="A57" s="99">
        <v>46</v>
      </c>
      <c r="B57" s="100">
        <v>308.39999999999998</v>
      </c>
      <c r="C57" s="100">
        <v>157.30000000000001</v>
      </c>
      <c r="D57" s="100">
        <v>106.9</v>
      </c>
      <c r="E57" s="100">
        <v>81.8</v>
      </c>
      <c r="F57" s="100">
        <v>66.7</v>
      </c>
      <c r="G57" s="100">
        <v>56.7</v>
      </c>
      <c r="H57" s="100">
        <v>49.6</v>
      </c>
      <c r="I57" s="100">
        <v>44.2</v>
      </c>
      <c r="J57" s="100">
        <v>40.1</v>
      </c>
      <c r="K57" s="100">
        <v>36.799999999999997</v>
      </c>
      <c r="L57" s="100">
        <v>34.200000000000003</v>
      </c>
      <c r="M57" s="100">
        <v>31.9</v>
      </c>
      <c r="N57" s="100">
        <v>30.1</v>
      </c>
      <c r="O57" s="100">
        <v>28.5</v>
      </c>
      <c r="P57" s="100">
        <v>27.2</v>
      </c>
      <c r="Q57" s="100">
        <v>26</v>
      </c>
      <c r="R57" s="100">
        <v>25</v>
      </c>
      <c r="S57" s="100">
        <v>24.1</v>
      </c>
      <c r="T57" s="100">
        <v>23.3</v>
      </c>
      <c r="U57" s="100"/>
    </row>
    <row r="58" spans="1:21" x14ac:dyDescent="0.25">
      <c r="A58" s="99">
        <v>47</v>
      </c>
      <c r="B58" s="100">
        <v>312.7</v>
      </c>
      <c r="C58" s="100">
        <v>159.5</v>
      </c>
      <c r="D58" s="100">
        <v>108.4</v>
      </c>
      <c r="E58" s="100">
        <v>82.9</v>
      </c>
      <c r="F58" s="100">
        <v>67.7</v>
      </c>
      <c r="G58" s="100">
        <v>57.5</v>
      </c>
      <c r="H58" s="100">
        <v>50.3</v>
      </c>
      <c r="I58" s="100">
        <v>44.9</v>
      </c>
      <c r="J58" s="100">
        <v>40.700000000000003</v>
      </c>
      <c r="K58" s="100">
        <v>37.4</v>
      </c>
      <c r="L58" s="100">
        <v>34.700000000000003</v>
      </c>
      <c r="M58" s="100">
        <v>32.5</v>
      </c>
      <c r="N58" s="100">
        <v>30.6</v>
      </c>
      <c r="O58" s="100">
        <v>29</v>
      </c>
      <c r="P58" s="100">
        <v>27.7</v>
      </c>
      <c r="Q58" s="100">
        <v>26.5</v>
      </c>
      <c r="R58" s="100">
        <v>25.5</v>
      </c>
      <c r="S58" s="100">
        <v>24.6</v>
      </c>
      <c r="T58" s="100"/>
      <c r="U58" s="100"/>
    </row>
    <row r="59" spans="1:21" x14ac:dyDescent="0.25">
      <c r="A59" s="99">
        <v>48</v>
      </c>
      <c r="B59" s="100">
        <v>317</v>
      </c>
      <c r="C59" s="100">
        <v>161.69999999999999</v>
      </c>
      <c r="D59" s="100">
        <v>110</v>
      </c>
      <c r="E59" s="100">
        <v>84.1</v>
      </c>
      <c r="F59" s="100">
        <v>68.7</v>
      </c>
      <c r="G59" s="100">
        <v>58.4</v>
      </c>
      <c r="H59" s="100">
        <v>51.1</v>
      </c>
      <c r="I59" s="100">
        <v>45.6</v>
      </c>
      <c r="J59" s="100">
        <v>41.4</v>
      </c>
      <c r="K59" s="100">
        <v>38.1</v>
      </c>
      <c r="L59" s="100">
        <v>35.299999999999997</v>
      </c>
      <c r="M59" s="100">
        <v>33.1</v>
      </c>
      <c r="N59" s="100">
        <v>31.2</v>
      </c>
      <c r="O59" s="100">
        <v>29.6</v>
      </c>
      <c r="P59" s="100">
        <v>28.2</v>
      </c>
      <c r="Q59" s="100">
        <v>27</v>
      </c>
      <c r="R59" s="100">
        <v>26</v>
      </c>
      <c r="S59" s="100"/>
      <c r="T59" s="100"/>
      <c r="U59" s="100"/>
    </row>
    <row r="60" spans="1:21" x14ac:dyDescent="0.25">
      <c r="A60" s="99">
        <v>49</v>
      </c>
      <c r="B60" s="100">
        <v>321.5</v>
      </c>
      <c r="C60" s="100">
        <v>164</v>
      </c>
      <c r="D60" s="100">
        <v>111.6</v>
      </c>
      <c r="E60" s="100">
        <v>85.4</v>
      </c>
      <c r="F60" s="100">
        <v>69.7</v>
      </c>
      <c r="G60" s="100">
        <v>59.3</v>
      </c>
      <c r="H60" s="100">
        <v>51.9</v>
      </c>
      <c r="I60" s="100">
        <v>46.4</v>
      </c>
      <c r="J60" s="100">
        <v>42.1</v>
      </c>
      <c r="K60" s="100">
        <v>38.700000000000003</v>
      </c>
      <c r="L60" s="100">
        <v>36</v>
      </c>
      <c r="M60" s="100">
        <v>33.700000000000003</v>
      </c>
      <c r="N60" s="100">
        <v>31.8</v>
      </c>
      <c r="O60" s="100">
        <v>30.2</v>
      </c>
      <c r="P60" s="100">
        <v>28.8</v>
      </c>
      <c r="Q60" s="100">
        <v>27.5</v>
      </c>
      <c r="R60" s="100"/>
      <c r="S60" s="100"/>
      <c r="T60" s="100"/>
      <c r="U60" s="100"/>
    </row>
    <row r="61" spans="1:21" x14ac:dyDescent="0.25">
      <c r="A61" s="99">
        <v>50</v>
      </c>
      <c r="B61" s="100">
        <v>326</v>
      </c>
      <c r="C61" s="100">
        <v>166.4</v>
      </c>
      <c r="D61" s="100">
        <v>113.3</v>
      </c>
      <c r="E61" s="100">
        <v>86.7</v>
      </c>
      <c r="F61" s="100">
        <v>70.900000000000006</v>
      </c>
      <c r="G61" s="100">
        <v>60.3</v>
      </c>
      <c r="H61" s="100">
        <v>52.8</v>
      </c>
      <c r="I61" s="100">
        <v>47.2</v>
      </c>
      <c r="J61" s="100">
        <v>42.9</v>
      </c>
      <c r="K61" s="100">
        <v>39.4</v>
      </c>
      <c r="L61" s="100">
        <v>36.6</v>
      </c>
      <c r="M61" s="100">
        <v>34.299999999999997</v>
      </c>
      <c r="N61" s="100">
        <v>32.4</v>
      </c>
      <c r="O61" s="100">
        <v>30.8</v>
      </c>
      <c r="P61" s="100">
        <v>29.3</v>
      </c>
      <c r="Q61" s="100"/>
      <c r="R61" s="100"/>
      <c r="S61" s="100"/>
      <c r="T61" s="100"/>
      <c r="U61" s="100"/>
    </row>
    <row r="62" spans="1:21" x14ac:dyDescent="0.25">
      <c r="A62" s="99">
        <v>51</v>
      </c>
      <c r="B62" s="100">
        <v>330.7</v>
      </c>
      <c r="C62" s="100">
        <v>168.9</v>
      </c>
      <c r="D62" s="100">
        <v>115</v>
      </c>
      <c r="E62" s="100">
        <v>88.1</v>
      </c>
      <c r="F62" s="100">
        <v>72</v>
      </c>
      <c r="G62" s="100">
        <v>61.3</v>
      </c>
      <c r="H62" s="100">
        <v>53.7</v>
      </c>
      <c r="I62" s="100">
        <v>48</v>
      </c>
      <c r="J62" s="100">
        <v>43.7</v>
      </c>
      <c r="K62" s="100">
        <v>40.200000000000003</v>
      </c>
      <c r="L62" s="100">
        <v>37.299999999999997</v>
      </c>
      <c r="M62" s="100">
        <v>35</v>
      </c>
      <c r="N62" s="100">
        <v>33.1</v>
      </c>
      <c r="O62" s="100">
        <v>31.4</v>
      </c>
      <c r="P62" s="100"/>
      <c r="Q62" s="100"/>
      <c r="R62" s="100"/>
      <c r="S62" s="100"/>
      <c r="T62" s="100"/>
      <c r="U62" s="100"/>
    </row>
    <row r="63" spans="1:21" x14ac:dyDescent="0.25">
      <c r="A63" s="99">
        <v>52</v>
      </c>
      <c r="B63" s="100">
        <v>335.4</v>
      </c>
      <c r="C63" s="100">
        <v>171.4</v>
      </c>
      <c r="D63" s="100">
        <v>116.7</v>
      </c>
      <c r="E63" s="100">
        <v>89.5</v>
      </c>
      <c r="F63" s="100">
        <v>73.2</v>
      </c>
      <c r="G63" s="100">
        <v>62.3</v>
      </c>
      <c r="H63" s="100">
        <v>54.6</v>
      </c>
      <c r="I63" s="100">
        <v>48.9</v>
      </c>
      <c r="J63" s="100">
        <v>44.5</v>
      </c>
      <c r="K63" s="100">
        <v>40.9</v>
      </c>
      <c r="L63" s="100">
        <v>38.1</v>
      </c>
      <c r="M63" s="100">
        <v>35.700000000000003</v>
      </c>
      <c r="N63" s="100">
        <v>33.700000000000003</v>
      </c>
      <c r="O63" s="100"/>
      <c r="P63" s="100"/>
      <c r="Q63" s="100"/>
      <c r="R63" s="100"/>
      <c r="S63" s="100"/>
      <c r="T63" s="100"/>
      <c r="U63" s="100"/>
    </row>
    <row r="64" spans="1:21" x14ac:dyDescent="0.25">
      <c r="A64" s="99">
        <v>53</v>
      </c>
      <c r="B64" s="100">
        <v>340.2</v>
      </c>
      <c r="C64" s="100">
        <v>173.9</v>
      </c>
      <c r="D64" s="100">
        <v>118.5</v>
      </c>
      <c r="E64" s="100">
        <v>90.9</v>
      </c>
      <c r="F64" s="100">
        <v>74.400000000000006</v>
      </c>
      <c r="G64" s="100">
        <v>63.4</v>
      </c>
      <c r="H64" s="100">
        <v>55.6</v>
      </c>
      <c r="I64" s="100">
        <v>49.8</v>
      </c>
      <c r="J64" s="100">
        <v>45.3</v>
      </c>
      <c r="K64" s="100">
        <v>41.7</v>
      </c>
      <c r="L64" s="100">
        <v>38.799999999999997</v>
      </c>
      <c r="M64" s="100">
        <v>36.4</v>
      </c>
      <c r="N64" s="100"/>
      <c r="O64" s="100"/>
      <c r="P64" s="100"/>
      <c r="Q64" s="100"/>
      <c r="R64" s="100"/>
      <c r="S64" s="100"/>
      <c r="T64" s="100"/>
      <c r="U64" s="100"/>
    </row>
    <row r="65" spans="1:21" x14ac:dyDescent="0.25">
      <c r="A65" s="99">
        <v>54</v>
      </c>
      <c r="B65" s="100">
        <v>345</v>
      </c>
      <c r="C65" s="100">
        <v>176.4</v>
      </c>
      <c r="D65" s="100">
        <v>120.3</v>
      </c>
      <c r="E65" s="100">
        <v>92.3</v>
      </c>
      <c r="F65" s="100">
        <v>75.599999999999994</v>
      </c>
      <c r="G65" s="100">
        <v>64.5</v>
      </c>
      <c r="H65" s="100">
        <v>56.6</v>
      </c>
      <c r="I65" s="100">
        <v>50.7</v>
      </c>
      <c r="J65" s="100">
        <v>46.1</v>
      </c>
      <c r="K65" s="100">
        <v>42.5</v>
      </c>
      <c r="L65" s="100">
        <v>39.5</v>
      </c>
      <c r="M65" s="100"/>
      <c r="N65" s="100"/>
      <c r="O65" s="100"/>
      <c r="P65" s="100"/>
      <c r="Q65" s="100"/>
      <c r="R65" s="100"/>
      <c r="S65" s="100"/>
      <c r="T65" s="100"/>
      <c r="U65" s="100"/>
    </row>
    <row r="66" spans="1:21" x14ac:dyDescent="0.25">
      <c r="A66" s="99">
        <v>55</v>
      </c>
      <c r="B66" s="100">
        <v>350</v>
      </c>
      <c r="C66" s="100">
        <v>179.1</v>
      </c>
      <c r="D66" s="100">
        <v>122.2</v>
      </c>
      <c r="E66" s="100">
        <v>93.8</v>
      </c>
      <c r="F66" s="100">
        <v>76.8</v>
      </c>
      <c r="G66" s="100">
        <v>65.599999999999994</v>
      </c>
      <c r="H66" s="100">
        <v>57.6</v>
      </c>
      <c r="I66" s="100">
        <v>51.6</v>
      </c>
      <c r="J66" s="100">
        <v>47</v>
      </c>
      <c r="K66" s="100">
        <v>43.3</v>
      </c>
      <c r="L66" s="100"/>
      <c r="M66" s="100"/>
      <c r="N66" s="100"/>
      <c r="O66" s="100"/>
      <c r="P66" s="100"/>
      <c r="Q66" s="100"/>
      <c r="R66" s="100"/>
      <c r="S66" s="100"/>
      <c r="T66" s="100"/>
      <c r="U66" s="100"/>
    </row>
    <row r="67" spans="1:21" x14ac:dyDescent="0.25">
      <c r="A67" s="99">
        <v>56</v>
      </c>
      <c r="B67" s="100">
        <v>355.2</v>
      </c>
      <c r="C67" s="100">
        <v>181.8</v>
      </c>
      <c r="D67" s="100">
        <v>124.1</v>
      </c>
      <c r="E67" s="100">
        <v>95.3</v>
      </c>
      <c r="F67" s="100">
        <v>78.099999999999994</v>
      </c>
      <c r="G67" s="100">
        <v>66.7</v>
      </c>
      <c r="H67" s="100">
        <v>58.6</v>
      </c>
      <c r="I67" s="100">
        <v>52.5</v>
      </c>
      <c r="J67" s="100">
        <v>47.9</v>
      </c>
      <c r="K67" s="100"/>
      <c r="L67" s="100"/>
      <c r="M67" s="100"/>
      <c r="N67" s="100"/>
      <c r="O67" s="100"/>
      <c r="P67" s="100"/>
      <c r="Q67" s="100"/>
      <c r="R67" s="100"/>
      <c r="S67" s="100"/>
      <c r="T67" s="100"/>
      <c r="U67" s="100"/>
    </row>
    <row r="68" spans="1:21" x14ac:dyDescent="0.25">
      <c r="A68" s="99">
        <v>57</v>
      </c>
      <c r="B68" s="100">
        <v>360.5</v>
      </c>
      <c r="C68" s="100">
        <v>184.6</v>
      </c>
      <c r="D68" s="100">
        <v>126.1</v>
      </c>
      <c r="E68" s="100">
        <v>96.9</v>
      </c>
      <c r="F68" s="100">
        <v>79.5</v>
      </c>
      <c r="G68" s="100">
        <v>67.900000000000006</v>
      </c>
      <c r="H68" s="100">
        <v>59.7</v>
      </c>
      <c r="I68" s="100">
        <v>53.5</v>
      </c>
      <c r="J68" s="100"/>
      <c r="K68" s="100"/>
      <c r="L68" s="100"/>
      <c r="M68" s="100"/>
      <c r="N68" s="100"/>
      <c r="O68" s="100"/>
      <c r="P68" s="100"/>
      <c r="Q68" s="100"/>
      <c r="R68" s="100"/>
      <c r="S68" s="100"/>
      <c r="T68" s="100"/>
      <c r="U68" s="100"/>
    </row>
    <row r="69" spans="1:21" x14ac:dyDescent="0.25">
      <c r="A69" s="99">
        <v>58</v>
      </c>
      <c r="B69" s="100">
        <v>366</v>
      </c>
      <c r="C69" s="100">
        <v>187.6</v>
      </c>
      <c r="D69" s="100">
        <v>128.19999999999999</v>
      </c>
      <c r="E69" s="100">
        <v>98.6</v>
      </c>
      <c r="F69" s="100">
        <v>80.900000000000006</v>
      </c>
      <c r="G69" s="100">
        <v>69.099999999999994</v>
      </c>
      <c r="H69" s="100">
        <v>60.8</v>
      </c>
      <c r="I69" s="100"/>
      <c r="J69" s="100"/>
      <c r="K69" s="100"/>
      <c r="L69" s="100"/>
      <c r="M69" s="100"/>
      <c r="N69" s="100"/>
      <c r="O69" s="100"/>
      <c r="P69" s="100"/>
      <c r="Q69" s="100"/>
      <c r="R69" s="100"/>
      <c r="S69" s="100"/>
      <c r="T69" s="100"/>
      <c r="U69" s="100"/>
    </row>
    <row r="70" spans="1:21" x14ac:dyDescent="0.25">
      <c r="A70" s="99">
        <v>59</v>
      </c>
      <c r="B70" s="100">
        <v>371.7</v>
      </c>
      <c r="C70" s="100">
        <v>190.6</v>
      </c>
      <c r="D70" s="100">
        <v>130.4</v>
      </c>
      <c r="E70" s="100">
        <v>100.3</v>
      </c>
      <c r="F70" s="100">
        <v>82.3</v>
      </c>
      <c r="G70" s="100">
        <v>70.400000000000006</v>
      </c>
      <c r="H70" s="100"/>
      <c r="I70" s="100"/>
      <c r="J70" s="100"/>
      <c r="K70" s="100"/>
      <c r="L70" s="100"/>
      <c r="M70" s="100"/>
      <c r="N70" s="100"/>
      <c r="O70" s="100"/>
      <c r="P70" s="100"/>
      <c r="Q70" s="100"/>
      <c r="R70" s="100"/>
      <c r="S70" s="100"/>
      <c r="T70" s="100"/>
      <c r="U70" s="100"/>
    </row>
    <row r="71" spans="1:21" x14ac:dyDescent="0.25">
      <c r="A71" s="99">
        <v>60</v>
      </c>
      <c r="B71" s="100">
        <v>377.8</v>
      </c>
      <c r="C71" s="100">
        <v>193.9</v>
      </c>
      <c r="D71" s="100">
        <v>132.6</v>
      </c>
      <c r="E71" s="100">
        <v>102.1</v>
      </c>
      <c r="F71" s="100">
        <v>83.9</v>
      </c>
      <c r="G71" s="100"/>
      <c r="H71" s="100"/>
      <c r="I71" s="100"/>
      <c r="J71" s="100"/>
      <c r="K71" s="100"/>
      <c r="L71" s="100"/>
      <c r="M71" s="100"/>
      <c r="N71" s="100"/>
      <c r="O71" s="100"/>
      <c r="P71" s="100"/>
      <c r="Q71" s="100"/>
      <c r="R71" s="100"/>
      <c r="S71" s="100"/>
      <c r="T71" s="100"/>
      <c r="U71" s="100"/>
    </row>
    <row r="72" spans="1:21" x14ac:dyDescent="0.25">
      <c r="A72" s="99">
        <v>61</v>
      </c>
      <c r="B72" s="100">
        <v>384.2</v>
      </c>
      <c r="C72" s="100">
        <v>197.3</v>
      </c>
      <c r="D72" s="100">
        <v>135</v>
      </c>
      <c r="E72" s="100">
        <v>104.1</v>
      </c>
      <c r="F72" s="100"/>
      <c r="G72" s="100"/>
      <c r="H72" s="100"/>
      <c r="I72" s="100"/>
      <c r="J72" s="100"/>
      <c r="K72" s="100"/>
      <c r="L72" s="100"/>
      <c r="M72" s="100"/>
      <c r="N72" s="100"/>
      <c r="O72" s="100"/>
      <c r="P72" s="100"/>
      <c r="Q72" s="100"/>
      <c r="R72" s="100"/>
      <c r="S72" s="100"/>
      <c r="T72" s="100"/>
      <c r="U72" s="100"/>
    </row>
    <row r="73" spans="1:21" x14ac:dyDescent="0.25">
      <c r="A73" s="99">
        <v>62</v>
      </c>
      <c r="B73" s="100">
        <v>391.1</v>
      </c>
      <c r="C73" s="100">
        <v>200.9</v>
      </c>
      <c r="D73" s="100">
        <v>137.6</v>
      </c>
      <c r="E73" s="100"/>
      <c r="F73" s="100"/>
      <c r="G73" s="100"/>
      <c r="H73" s="100"/>
      <c r="I73" s="100"/>
      <c r="J73" s="100"/>
      <c r="K73" s="100"/>
      <c r="L73" s="100"/>
      <c r="M73" s="100"/>
      <c r="N73" s="100"/>
      <c r="O73" s="100"/>
      <c r="P73" s="100"/>
      <c r="Q73" s="100"/>
      <c r="R73" s="100"/>
      <c r="S73" s="100"/>
      <c r="T73" s="100"/>
      <c r="U73" s="100"/>
    </row>
    <row r="74" spans="1:21" x14ac:dyDescent="0.25">
      <c r="A74" s="99">
        <v>63</v>
      </c>
      <c r="B74" s="100">
        <v>398.3</v>
      </c>
      <c r="C74" s="100">
        <v>204.7</v>
      </c>
      <c r="D74" s="100"/>
      <c r="E74" s="100"/>
      <c r="F74" s="100"/>
      <c r="G74" s="100"/>
      <c r="H74" s="100"/>
      <c r="I74" s="100"/>
      <c r="J74" s="100"/>
      <c r="K74" s="100"/>
      <c r="L74" s="100"/>
      <c r="M74" s="100"/>
      <c r="N74" s="100"/>
      <c r="O74" s="100"/>
      <c r="P74" s="100"/>
      <c r="Q74" s="100"/>
      <c r="R74" s="100"/>
      <c r="S74" s="100"/>
      <c r="T74" s="100"/>
      <c r="U74" s="100"/>
    </row>
    <row r="75" spans="1:21" x14ac:dyDescent="0.25">
      <c r="A75" s="99">
        <v>64</v>
      </c>
      <c r="B75" s="100">
        <v>405.9</v>
      </c>
      <c r="C75" s="100"/>
      <c r="D75" s="100"/>
      <c r="E75" s="100"/>
      <c r="F75" s="100"/>
      <c r="G75" s="100"/>
      <c r="H75" s="100"/>
      <c r="I75" s="100"/>
      <c r="J75" s="100"/>
      <c r="K75" s="100"/>
      <c r="L75" s="100"/>
      <c r="M75" s="100"/>
      <c r="N75" s="100"/>
      <c r="O75" s="100"/>
      <c r="P75" s="100"/>
      <c r="Q75" s="100"/>
      <c r="R75" s="100"/>
      <c r="S75" s="100"/>
      <c r="T75" s="100"/>
      <c r="U75" s="100"/>
    </row>
  </sheetData>
  <sheetProtection algorithmName="SHA-512" hashValue="GMoAh0pJOnoZj7f2Qzfu668XqlS7KAsc4+kSP5YSWQ6hdtIDMlAWmjRha7ozVfY6X/pbVwuxp7odD+h2SjZqgw==" saltValue="XWs/NOCHRzzWHB7aWOP+/w==" spinCount="100000" sheet="1" objects="1" scenarios="1"/>
  <conditionalFormatting sqref="A6:A21">
    <cfRule type="expression" dxfId="387" priority="17" stopIfTrue="1">
      <formula>MOD(ROW(),2)=0</formula>
    </cfRule>
    <cfRule type="expression" dxfId="386" priority="18" stopIfTrue="1">
      <formula>MOD(ROW(),2)&lt;&gt;0</formula>
    </cfRule>
  </conditionalFormatting>
  <conditionalFormatting sqref="A26:A75">
    <cfRule type="expression" dxfId="385" priority="3" stopIfTrue="1">
      <formula>MOD(ROW(),2)=0</formula>
    </cfRule>
    <cfRule type="expression" dxfId="384" priority="4" stopIfTrue="1">
      <formula>MOD(ROW(),2)&lt;&gt;0</formula>
    </cfRule>
  </conditionalFormatting>
  <conditionalFormatting sqref="B17:B21">
    <cfRule type="expression" dxfId="383" priority="1" stopIfTrue="1">
      <formula>MOD(ROW(),2)=0</formula>
    </cfRule>
    <cfRule type="expression" dxfId="382" priority="2" stopIfTrue="1">
      <formula>MOD(ROW(),2)&lt;&gt;0</formula>
    </cfRule>
  </conditionalFormatting>
  <conditionalFormatting sqref="B6:U21">
    <cfRule type="expression" dxfId="381" priority="27" stopIfTrue="1">
      <formula>MOD(ROW(),2)=0</formula>
    </cfRule>
    <cfRule type="expression" dxfId="380" priority="28" stopIfTrue="1">
      <formula>MOD(ROW(),2)&lt;&gt;0</formula>
    </cfRule>
  </conditionalFormatting>
  <conditionalFormatting sqref="B26:U75">
    <cfRule type="expression" dxfId="379" priority="5" stopIfTrue="1">
      <formula>MOD(ROW(),2)=0</formula>
    </cfRule>
    <cfRule type="expression" dxfId="378" priority="6" stopIfTrue="1">
      <formula>MOD(ROW(),2)&lt;&gt;0</formula>
    </cfRule>
  </conditionalFormatting>
  <hyperlinks>
    <hyperlink ref="B24" location="Assumptions!A1" display="Assumptions" xr:uid="{F5756C93-60F0-4D23-A5BA-198B9D407C2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99"/>
  <dimension ref="A1:U76"/>
  <sheetViews>
    <sheetView showGridLines="0" zoomScale="85" zoomScaleNormal="85" workbookViewId="0">
      <selection activeCell="A4" sqref="A4"/>
    </sheetView>
  </sheetViews>
  <sheetFormatPr defaultColWidth="10" defaultRowHeight="12.5" x14ac:dyDescent="0.25"/>
  <cols>
    <col min="1" max="1" width="31.90625" style="25" customWidth="1"/>
    <col min="2" max="21" width="22.90625" style="25" customWidth="1"/>
    <col min="22" max="16384" width="10" style="25"/>
  </cols>
  <sheetData>
    <row r="1" spans="1:21" ht="20" x14ac:dyDescent="0.4">
      <c r="A1" s="36" t="s">
        <v>0</v>
      </c>
      <c r="B1" s="37"/>
      <c r="C1" s="37"/>
      <c r="D1" s="37"/>
      <c r="E1" s="37"/>
      <c r="F1" s="37"/>
      <c r="G1" s="37"/>
      <c r="H1" s="37"/>
      <c r="I1" s="37"/>
    </row>
    <row r="2" spans="1:21" ht="15.5" x14ac:dyDescent="0.35">
      <c r="A2" s="38" t="str">
        <f>IF(title="&gt; Enter workbook title here","Enter workbook title in Cover sheet",title)</f>
        <v>NHSPS_NI - Consolidated Factor Spreadsheet</v>
      </c>
      <c r="B2" s="39"/>
      <c r="C2" s="39"/>
      <c r="D2" s="39"/>
      <c r="E2" s="39"/>
      <c r="F2" s="39"/>
      <c r="G2" s="39"/>
      <c r="H2" s="39"/>
      <c r="I2" s="39"/>
    </row>
    <row r="3" spans="1:21" ht="15.5" x14ac:dyDescent="0.35">
      <c r="A3" s="40" t="str">
        <f>TABLE_FACTOR_TYPE_1&amp;" - x-"&amp;TABLE_SERIES_NUMBER_1</f>
        <v>Added pension - x-713</v>
      </c>
      <c r="B3" s="39"/>
      <c r="C3" s="39"/>
      <c r="D3" s="39"/>
      <c r="E3" s="39"/>
      <c r="F3" s="39"/>
      <c r="G3" s="39"/>
      <c r="H3" s="39"/>
      <c r="I3" s="39"/>
    </row>
    <row r="4" spans="1:21" x14ac:dyDescent="0.25">
      <c r="A4" s="41"/>
    </row>
    <row r="6" spans="1:21" ht="13" x14ac:dyDescent="0.3">
      <c r="A6" s="163" t="s">
        <v>276</v>
      </c>
      <c r="B6" s="107" t="s">
        <v>277</v>
      </c>
      <c r="C6" s="107"/>
      <c r="D6" s="107"/>
      <c r="E6" s="107"/>
      <c r="F6" s="107"/>
      <c r="G6" s="107"/>
      <c r="H6" s="107"/>
      <c r="I6" s="107"/>
      <c r="J6" s="107"/>
      <c r="K6" s="107"/>
      <c r="L6" s="107"/>
      <c r="M6" s="107"/>
      <c r="N6" s="107"/>
      <c r="O6" s="107"/>
      <c r="P6" s="107"/>
      <c r="Q6" s="107"/>
      <c r="R6" s="107"/>
      <c r="S6" s="107"/>
      <c r="T6" s="107"/>
      <c r="U6" s="107"/>
    </row>
    <row r="7" spans="1:21" x14ac:dyDescent="0.25">
      <c r="A7" s="69" t="s">
        <v>278</v>
      </c>
      <c r="B7" s="107" t="s">
        <v>310</v>
      </c>
      <c r="C7" s="107"/>
      <c r="D7" s="107"/>
      <c r="E7" s="107"/>
      <c r="F7" s="107"/>
      <c r="G7" s="107"/>
      <c r="H7" s="107"/>
      <c r="I7" s="107"/>
      <c r="J7" s="107"/>
      <c r="K7" s="107"/>
      <c r="L7" s="107"/>
      <c r="M7" s="107"/>
      <c r="N7" s="107"/>
      <c r="O7" s="107"/>
      <c r="P7" s="107"/>
      <c r="Q7" s="107"/>
      <c r="R7" s="107"/>
      <c r="S7" s="107"/>
      <c r="T7" s="107"/>
      <c r="U7" s="107"/>
    </row>
    <row r="8" spans="1:21" x14ac:dyDescent="0.25">
      <c r="A8" s="69" t="s">
        <v>280</v>
      </c>
      <c r="B8" s="107" t="s">
        <v>513</v>
      </c>
      <c r="C8" s="107"/>
      <c r="D8" s="107"/>
      <c r="E8" s="107"/>
      <c r="F8" s="107"/>
      <c r="G8" s="107"/>
      <c r="H8" s="107"/>
      <c r="I8" s="107"/>
      <c r="J8" s="107"/>
      <c r="K8" s="107"/>
      <c r="L8" s="107"/>
      <c r="M8" s="107"/>
      <c r="N8" s="107"/>
      <c r="O8" s="107"/>
      <c r="P8" s="107"/>
      <c r="Q8" s="107"/>
      <c r="R8" s="107"/>
      <c r="S8" s="107"/>
      <c r="T8" s="107"/>
      <c r="U8" s="107"/>
    </row>
    <row r="9" spans="1:21" x14ac:dyDescent="0.25">
      <c r="A9" s="69" t="s">
        <v>282</v>
      </c>
      <c r="B9" s="107" t="s">
        <v>514</v>
      </c>
      <c r="C9" s="107"/>
      <c r="D9" s="107"/>
      <c r="E9" s="107"/>
      <c r="F9" s="107"/>
      <c r="G9" s="107"/>
      <c r="H9" s="107"/>
      <c r="I9" s="107"/>
      <c r="J9" s="107"/>
      <c r="K9" s="107"/>
      <c r="L9" s="107"/>
      <c r="M9" s="107"/>
      <c r="N9" s="107"/>
      <c r="O9" s="107"/>
      <c r="P9" s="107"/>
      <c r="Q9" s="107"/>
      <c r="R9" s="107"/>
      <c r="S9" s="107"/>
      <c r="T9" s="107"/>
      <c r="U9" s="107"/>
    </row>
    <row r="10" spans="1:21" x14ac:dyDescent="0.25">
      <c r="A10" s="69" t="s">
        <v>6</v>
      </c>
      <c r="B10" s="107" t="s">
        <v>547</v>
      </c>
      <c r="C10" s="107"/>
      <c r="D10" s="107"/>
      <c r="E10" s="107"/>
      <c r="F10" s="107"/>
      <c r="G10" s="107"/>
      <c r="H10" s="107"/>
      <c r="I10" s="107"/>
      <c r="J10" s="107"/>
      <c r="K10" s="107"/>
      <c r="L10" s="107"/>
      <c r="M10" s="107"/>
      <c r="N10" s="107"/>
      <c r="O10" s="107"/>
      <c r="P10" s="107"/>
      <c r="Q10" s="107"/>
      <c r="R10" s="107"/>
      <c r="S10" s="107"/>
      <c r="T10" s="107"/>
      <c r="U10" s="107"/>
    </row>
    <row r="11" spans="1:21" x14ac:dyDescent="0.25">
      <c r="A11" s="69" t="s">
        <v>285</v>
      </c>
      <c r="B11" s="107" t="s">
        <v>359</v>
      </c>
      <c r="C11" s="107"/>
      <c r="D11" s="107"/>
      <c r="E11" s="107"/>
      <c r="F11" s="107"/>
      <c r="G11" s="107"/>
      <c r="H11" s="107"/>
      <c r="I11" s="107"/>
      <c r="J11" s="107"/>
      <c r="K11" s="107"/>
      <c r="L11" s="107"/>
      <c r="M11" s="107"/>
      <c r="N11" s="107"/>
      <c r="O11" s="107"/>
      <c r="P11" s="107"/>
      <c r="Q11" s="107"/>
      <c r="R11" s="107"/>
      <c r="S11" s="107"/>
      <c r="T11" s="107"/>
      <c r="U11" s="107"/>
    </row>
    <row r="12" spans="1:21" x14ac:dyDescent="0.25">
      <c r="A12" s="69" t="s">
        <v>287</v>
      </c>
      <c r="B12" s="107" t="s">
        <v>520</v>
      </c>
      <c r="C12" s="107"/>
      <c r="D12" s="107"/>
      <c r="E12" s="107"/>
      <c r="F12" s="107"/>
      <c r="G12" s="107"/>
      <c r="H12" s="107"/>
      <c r="I12" s="107"/>
      <c r="J12" s="107"/>
      <c r="K12" s="107"/>
      <c r="L12" s="107"/>
      <c r="M12" s="107"/>
      <c r="N12" s="107"/>
      <c r="O12" s="107"/>
      <c r="P12" s="107"/>
      <c r="Q12" s="107"/>
      <c r="R12" s="107"/>
      <c r="S12" s="107"/>
      <c r="T12" s="107"/>
      <c r="U12" s="107"/>
    </row>
    <row r="13" spans="1:21" x14ac:dyDescent="0.25">
      <c r="A13" s="69" t="s">
        <v>289</v>
      </c>
      <c r="B13" s="107">
        <v>0</v>
      </c>
      <c r="C13" s="107"/>
      <c r="D13" s="107"/>
      <c r="E13" s="107"/>
      <c r="F13" s="107"/>
      <c r="G13" s="107"/>
      <c r="H13" s="107"/>
      <c r="I13" s="107"/>
      <c r="J13" s="107"/>
      <c r="K13" s="107"/>
      <c r="L13" s="107"/>
      <c r="M13" s="107"/>
      <c r="N13" s="107"/>
      <c r="O13" s="107"/>
      <c r="P13" s="107"/>
      <c r="Q13" s="107"/>
      <c r="R13" s="107"/>
      <c r="S13" s="107"/>
      <c r="T13" s="107"/>
      <c r="U13" s="107"/>
    </row>
    <row r="14" spans="1:21" x14ac:dyDescent="0.25">
      <c r="A14" s="69" t="s">
        <v>291</v>
      </c>
      <c r="B14" s="107">
        <v>713</v>
      </c>
      <c r="C14" s="107"/>
      <c r="D14" s="107"/>
      <c r="E14" s="107"/>
      <c r="F14" s="107"/>
      <c r="G14" s="107"/>
      <c r="H14" s="107"/>
      <c r="I14" s="107"/>
      <c r="J14" s="107"/>
      <c r="K14" s="107"/>
      <c r="L14" s="107"/>
      <c r="M14" s="107"/>
      <c r="N14" s="107"/>
      <c r="O14" s="107"/>
      <c r="P14" s="107"/>
      <c r="Q14" s="107"/>
      <c r="R14" s="107"/>
      <c r="S14" s="107"/>
      <c r="T14" s="107"/>
      <c r="U14" s="107"/>
    </row>
    <row r="15" spans="1:21" x14ac:dyDescent="0.25">
      <c r="A15" s="69" t="s">
        <v>293</v>
      </c>
      <c r="B15" s="107" t="s">
        <v>548</v>
      </c>
      <c r="C15" s="107"/>
      <c r="D15" s="107"/>
      <c r="E15" s="107"/>
      <c r="F15" s="107"/>
      <c r="G15" s="107"/>
      <c r="H15" s="107"/>
      <c r="I15" s="107"/>
      <c r="J15" s="107"/>
      <c r="K15" s="107"/>
      <c r="L15" s="107"/>
      <c r="M15" s="107"/>
      <c r="N15" s="107"/>
      <c r="O15" s="107"/>
      <c r="P15" s="107"/>
      <c r="Q15" s="107"/>
      <c r="R15" s="107"/>
      <c r="S15" s="107"/>
      <c r="T15" s="107"/>
      <c r="U15" s="107"/>
    </row>
    <row r="16" spans="1:21" x14ac:dyDescent="0.25">
      <c r="A16" s="69" t="s">
        <v>295</v>
      </c>
      <c r="B16" s="107" t="s">
        <v>549</v>
      </c>
      <c r="C16" s="107"/>
      <c r="D16" s="107"/>
      <c r="E16" s="107"/>
      <c r="F16" s="107"/>
      <c r="G16" s="107"/>
      <c r="H16" s="107"/>
      <c r="I16" s="107"/>
      <c r="J16" s="107"/>
      <c r="K16" s="107"/>
      <c r="L16" s="107"/>
      <c r="M16" s="107"/>
      <c r="N16" s="107"/>
      <c r="O16" s="107"/>
      <c r="P16" s="107"/>
      <c r="Q16" s="107"/>
      <c r="R16" s="107"/>
      <c r="S16" s="107"/>
      <c r="T16" s="107"/>
      <c r="U16" s="107"/>
    </row>
    <row r="17" spans="1:21" x14ac:dyDescent="0.25">
      <c r="A17" s="69" t="s">
        <v>725</v>
      </c>
      <c r="B17" s="107"/>
      <c r="C17" s="107"/>
      <c r="D17" s="107"/>
      <c r="E17" s="107"/>
      <c r="F17" s="107"/>
      <c r="G17" s="107"/>
      <c r="H17" s="107"/>
      <c r="I17" s="107"/>
      <c r="J17" s="107"/>
      <c r="K17" s="107"/>
      <c r="L17" s="107"/>
      <c r="M17" s="107"/>
      <c r="N17" s="107"/>
      <c r="O17" s="107"/>
      <c r="P17" s="107"/>
      <c r="Q17" s="107"/>
      <c r="R17" s="107"/>
      <c r="S17" s="107"/>
      <c r="T17" s="107"/>
      <c r="U17" s="107"/>
    </row>
    <row r="18" spans="1:21" x14ac:dyDescent="0.25">
      <c r="A18" s="85" t="s">
        <v>299</v>
      </c>
      <c r="B18" s="164">
        <v>45202</v>
      </c>
      <c r="C18" s="107"/>
      <c r="D18" s="107"/>
      <c r="E18" s="107"/>
      <c r="F18" s="107"/>
      <c r="G18" s="107"/>
      <c r="H18" s="107"/>
      <c r="I18" s="107"/>
      <c r="J18" s="107"/>
      <c r="K18" s="107"/>
      <c r="L18" s="107"/>
      <c r="M18" s="107"/>
      <c r="N18" s="107"/>
      <c r="O18" s="107"/>
      <c r="P18" s="107"/>
      <c r="Q18" s="107"/>
      <c r="R18" s="107"/>
      <c r="S18" s="107"/>
      <c r="T18" s="107"/>
      <c r="U18" s="107"/>
    </row>
    <row r="19" spans="1:21" x14ac:dyDescent="0.25">
      <c r="A19" s="85" t="s">
        <v>301</v>
      </c>
      <c r="B19" s="164">
        <v>45202</v>
      </c>
      <c r="C19" s="107"/>
      <c r="D19" s="107"/>
      <c r="E19" s="107"/>
      <c r="F19" s="107"/>
      <c r="G19" s="107"/>
      <c r="H19" s="107"/>
      <c r="I19" s="107"/>
      <c r="J19" s="107"/>
      <c r="K19" s="107"/>
      <c r="L19" s="107"/>
      <c r="M19" s="107"/>
      <c r="N19" s="107"/>
      <c r="O19" s="107"/>
      <c r="P19" s="107"/>
      <c r="Q19" s="107"/>
      <c r="R19" s="107"/>
      <c r="S19" s="107"/>
      <c r="T19" s="107"/>
      <c r="U19" s="107"/>
    </row>
    <row r="20" spans="1:21" x14ac:dyDescent="0.25">
      <c r="A20" s="85" t="s">
        <v>303</v>
      </c>
      <c r="B20" s="107" t="s">
        <v>317</v>
      </c>
      <c r="C20" s="107"/>
      <c r="D20" s="107"/>
      <c r="E20" s="107"/>
      <c r="F20" s="107"/>
      <c r="G20" s="107"/>
      <c r="H20" s="107"/>
      <c r="I20" s="107"/>
      <c r="J20" s="107"/>
      <c r="K20" s="107"/>
      <c r="L20" s="107"/>
      <c r="M20" s="107"/>
      <c r="N20" s="107"/>
      <c r="O20" s="107"/>
      <c r="P20" s="107"/>
      <c r="Q20" s="107"/>
      <c r="R20" s="107"/>
      <c r="S20" s="107"/>
      <c r="T20" s="107"/>
      <c r="U20" s="107"/>
    </row>
    <row r="21" spans="1:21" x14ac:dyDescent="0.25">
      <c r="A21" s="85" t="s">
        <v>309</v>
      </c>
      <c r="B21" s="107" t="s">
        <v>318</v>
      </c>
      <c r="C21" s="107"/>
      <c r="D21" s="107"/>
      <c r="E21" s="107"/>
      <c r="F21" s="107"/>
      <c r="G21" s="107"/>
      <c r="H21" s="107"/>
      <c r="I21" s="107"/>
      <c r="J21" s="107"/>
      <c r="K21" s="107"/>
      <c r="L21" s="107"/>
      <c r="M21" s="107"/>
      <c r="N21" s="107"/>
      <c r="O21" s="107"/>
      <c r="P21" s="107"/>
      <c r="Q21" s="107"/>
      <c r="R21" s="107"/>
      <c r="S21" s="107"/>
      <c r="T21" s="107"/>
      <c r="U21" s="107"/>
    </row>
    <row r="23" spans="1:21" x14ac:dyDescent="0.25">
      <c r="B23" s="103" t="str">
        <f>HYPERLINK("#'Factor List'!A1","Back to Factor List")</f>
        <v>Back to Factor List</v>
      </c>
    </row>
    <row r="24" spans="1:21" x14ac:dyDescent="0.25">
      <c r="B24" s="103" t="s">
        <v>15</v>
      </c>
    </row>
    <row r="26" spans="1:21" ht="13" x14ac:dyDescent="0.25">
      <c r="A26" s="98" t="s">
        <v>408</v>
      </c>
      <c r="B26" s="98" t="s">
        <v>778</v>
      </c>
      <c r="C26" s="98" t="s">
        <v>779</v>
      </c>
      <c r="D26" s="98" t="s">
        <v>780</v>
      </c>
      <c r="E26" s="98" t="s">
        <v>781</v>
      </c>
      <c r="F26" s="98" t="s">
        <v>782</v>
      </c>
      <c r="G26" s="98" t="s">
        <v>783</v>
      </c>
      <c r="H26" s="98" t="s">
        <v>784</v>
      </c>
      <c r="I26" s="98" t="s">
        <v>785</v>
      </c>
      <c r="J26" s="98" t="s">
        <v>786</v>
      </c>
      <c r="K26" s="98" t="s">
        <v>787</v>
      </c>
      <c r="L26" s="98" t="s">
        <v>788</v>
      </c>
      <c r="M26" s="98" t="s">
        <v>789</v>
      </c>
      <c r="N26" s="98" t="s">
        <v>790</v>
      </c>
      <c r="O26" s="98" t="s">
        <v>791</v>
      </c>
      <c r="P26" s="98" t="s">
        <v>792</v>
      </c>
      <c r="Q26" s="98" t="s">
        <v>793</v>
      </c>
      <c r="R26" s="98" t="s">
        <v>794</v>
      </c>
      <c r="S26" s="98" t="s">
        <v>795</v>
      </c>
      <c r="T26" s="98" t="s">
        <v>796</v>
      </c>
      <c r="U26" s="98" t="s">
        <v>797</v>
      </c>
    </row>
    <row r="27" spans="1:21" x14ac:dyDescent="0.25">
      <c r="A27" s="99">
        <v>16</v>
      </c>
      <c r="B27" s="100">
        <v>194.7</v>
      </c>
      <c r="C27" s="100">
        <v>99.1</v>
      </c>
      <c r="D27" s="100">
        <v>67.3</v>
      </c>
      <c r="E27" s="100">
        <v>51.4</v>
      </c>
      <c r="F27" s="100">
        <v>41.9</v>
      </c>
      <c r="G27" s="100">
        <v>35.5</v>
      </c>
      <c r="H27" s="100">
        <v>31</v>
      </c>
      <c r="I27" s="100">
        <v>27.6</v>
      </c>
      <c r="J27" s="100">
        <v>25</v>
      </c>
      <c r="K27" s="100">
        <v>22.9</v>
      </c>
      <c r="L27" s="100">
        <v>21.2</v>
      </c>
      <c r="M27" s="100">
        <v>19.7</v>
      </c>
      <c r="N27" s="100">
        <v>18.5</v>
      </c>
      <c r="O27" s="100">
        <v>17.5</v>
      </c>
      <c r="P27" s="100">
        <v>16.600000000000001</v>
      </c>
      <c r="Q27" s="100">
        <v>15.8</v>
      </c>
      <c r="R27" s="100">
        <v>15.2</v>
      </c>
      <c r="S27" s="100">
        <v>14.6</v>
      </c>
      <c r="T27" s="100">
        <v>14</v>
      </c>
      <c r="U27" s="100">
        <v>13.5</v>
      </c>
    </row>
    <row r="28" spans="1:21" x14ac:dyDescent="0.25">
      <c r="A28" s="99">
        <v>17</v>
      </c>
      <c r="B28" s="100">
        <v>197.5</v>
      </c>
      <c r="C28" s="100">
        <v>100.6</v>
      </c>
      <c r="D28" s="100">
        <v>68.3</v>
      </c>
      <c r="E28" s="100">
        <v>52.2</v>
      </c>
      <c r="F28" s="100">
        <v>42.5</v>
      </c>
      <c r="G28" s="100">
        <v>36</v>
      </c>
      <c r="H28" s="100">
        <v>31.5</v>
      </c>
      <c r="I28" s="100">
        <v>28</v>
      </c>
      <c r="J28" s="100">
        <v>25.3</v>
      </c>
      <c r="K28" s="100">
        <v>23.2</v>
      </c>
      <c r="L28" s="100">
        <v>21.5</v>
      </c>
      <c r="M28" s="100">
        <v>20</v>
      </c>
      <c r="N28" s="100">
        <v>18.8</v>
      </c>
      <c r="O28" s="100">
        <v>17.8</v>
      </c>
      <c r="P28" s="100">
        <v>16.899999999999999</v>
      </c>
      <c r="Q28" s="100">
        <v>16.100000000000001</v>
      </c>
      <c r="R28" s="100">
        <v>15.4</v>
      </c>
      <c r="S28" s="100">
        <v>14.8</v>
      </c>
      <c r="T28" s="100">
        <v>14.2</v>
      </c>
      <c r="U28" s="100">
        <v>13.7</v>
      </c>
    </row>
    <row r="29" spans="1:21" x14ac:dyDescent="0.25">
      <c r="A29" s="99">
        <v>18</v>
      </c>
      <c r="B29" s="100">
        <v>200.4</v>
      </c>
      <c r="C29" s="100">
        <v>102.1</v>
      </c>
      <c r="D29" s="100">
        <v>69.3</v>
      </c>
      <c r="E29" s="100">
        <v>52.9</v>
      </c>
      <c r="F29" s="100">
        <v>43.1</v>
      </c>
      <c r="G29" s="100">
        <v>36.6</v>
      </c>
      <c r="H29" s="100">
        <v>31.9</v>
      </c>
      <c r="I29" s="100">
        <v>28.4</v>
      </c>
      <c r="J29" s="100">
        <v>25.7</v>
      </c>
      <c r="K29" s="100">
        <v>23.6</v>
      </c>
      <c r="L29" s="100">
        <v>21.8</v>
      </c>
      <c r="M29" s="100">
        <v>20.3</v>
      </c>
      <c r="N29" s="100">
        <v>19.100000000000001</v>
      </c>
      <c r="O29" s="100">
        <v>18</v>
      </c>
      <c r="P29" s="100">
        <v>17.100000000000001</v>
      </c>
      <c r="Q29" s="100">
        <v>16.3</v>
      </c>
      <c r="R29" s="100">
        <v>15.6</v>
      </c>
      <c r="S29" s="100">
        <v>15</v>
      </c>
      <c r="T29" s="100">
        <v>14.4</v>
      </c>
      <c r="U29" s="100">
        <v>13.9</v>
      </c>
    </row>
    <row r="30" spans="1:21" x14ac:dyDescent="0.25">
      <c r="A30" s="99">
        <v>19</v>
      </c>
      <c r="B30" s="100">
        <v>203.3</v>
      </c>
      <c r="C30" s="100">
        <v>103.6</v>
      </c>
      <c r="D30" s="100">
        <v>70.3</v>
      </c>
      <c r="E30" s="100">
        <v>53.7</v>
      </c>
      <c r="F30" s="100">
        <v>43.7</v>
      </c>
      <c r="G30" s="100">
        <v>37.1</v>
      </c>
      <c r="H30" s="100">
        <v>32.4</v>
      </c>
      <c r="I30" s="100">
        <v>28.8</v>
      </c>
      <c r="J30" s="100">
        <v>26.1</v>
      </c>
      <c r="K30" s="100">
        <v>23.9</v>
      </c>
      <c r="L30" s="100">
        <v>22.1</v>
      </c>
      <c r="M30" s="100">
        <v>20.6</v>
      </c>
      <c r="N30" s="100">
        <v>19.399999999999999</v>
      </c>
      <c r="O30" s="100">
        <v>18.3</v>
      </c>
      <c r="P30" s="100">
        <v>17.399999999999999</v>
      </c>
      <c r="Q30" s="100">
        <v>16.600000000000001</v>
      </c>
      <c r="R30" s="100">
        <v>15.8</v>
      </c>
      <c r="S30" s="100">
        <v>15.2</v>
      </c>
      <c r="T30" s="100">
        <v>14.7</v>
      </c>
      <c r="U30" s="100">
        <v>14.2</v>
      </c>
    </row>
    <row r="31" spans="1:21" x14ac:dyDescent="0.25">
      <c r="A31" s="99">
        <v>20</v>
      </c>
      <c r="B31" s="100">
        <v>206.3</v>
      </c>
      <c r="C31" s="100">
        <v>105</v>
      </c>
      <c r="D31" s="100">
        <v>71.3</v>
      </c>
      <c r="E31" s="100">
        <v>54.5</v>
      </c>
      <c r="F31" s="100">
        <v>44.4</v>
      </c>
      <c r="G31" s="100">
        <v>37.6</v>
      </c>
      <c r="H31" s="100">
        <v>32.799999999999997</v>
      </c>
      <c r="I31" s="100">
        <v>29.3</v>
      </c>
      <c r="J31" s="100">
        <v>26.5</v>
      </c>
      <c r="K31" s="100">
        <v>24.2</v>
      </c>
      <c r="L31" s="100">
        <v>22.4</v>
      </c>
      <c r="M31" s="100">
        <v>20.9</v>
      </c>
      <c r="N31" s="100">
        <v>19.600000000000001</v>
      </c>
      <c r="O31" s="100">
        <v>18.600000000000001</v>
      </c>
      <c r="P31" s="100">
        <v>17.600000000000001</v>
      </c>
      <c r="Q31" s="100">
        <v>16.8</v>
      </c>
      <c r="R31" s="100">
        <v>16.100000000000001</v>
      </c>
      <c r="S31" s="100">
        <v>15.4</v>
      </c>
      <c r="T31" s="100">
        <v>14.9</v>
      </c>
      <c r="U31" s="100">
        <v>14.4</v>
      </c>
    </row>
    <row r="32" spans="1:21" x14ac:dyDescent="0.25">
      <c r="A32" s="99">
        <v>21</v>
      </c>
      <c r="B32" s="100">
        <v>209.2</v>
      </c>
      <c r="C32" s="100">
        <v>106.5</v>
      </c>
      <c r="D32" s="100">
        <v>72.3</v>
      </c>
      <c r="E32" s="100">
        <v>55.3</v>
      </c>
      <c r="F32" s="100">
        <v>45</v>
      </c>
      <c r="G32" s="100">
        <v>38.200000000000003</v>
      </c>
      <c r="H32" s="100">
        <v>33.299999999999997</v>
      </c>
      <c r="I32" s="100">
        <v>29.7</v>
      </c>
      <c r="J32" s="100">
        <v>26.8</v>
      </c>
      <c r="K32" s="100">
        <v>24.6</v>
      </c>
      <c r="L32" s="100">
        <v>22.7</v>
      </c>
      <c r="M32" s="100">
        <v>21.2</v>
      </c>
      <c r="N32" s="100">
        <v>19.899999999999999</v>
      </c>
      <c r="O32" s="100">
        <v>18.8</v>
      </c>
      <c r="P32" s="100">
        <v>17.899999999999999</v>
      </c>
      <c r="Q32" s="100">
        <v>17</v>
      </c>
      <c r="R32" s="100">
        <v>16.3</v>
      </c>
      <c r="S32" s="100">
        <v>15.7</v>
      </c>
      <c r="T32" s="100">
        <v>15.1</v>
      </c>
      <c r="U32" s="100">
        <v>14.6</v>
      </c>
    </row>
    <row r="33" spans="1:21" x14ac:dyDescent="0.25">
      <c r="A33" s="99">
        <v>22</v>
      </c>
      <c r="B33" s="100">
        <v>212.2</v>
      </c>
      <c r="C33" s="100">
        <v>108.1</v>
      </c>
      <c r="D33" s="100">
        <v>73.400000000000006</v>
      </c>
      <c r="E33" s="100">
        <v>56</v>
      </c>
      <c r="F33" s="100">
        <v>45.6</v>
      </c>
      <c r="G33" s="100">
        <v>38.700000000000003</v>
      </c>
      <c r="H33" s="100">
        <v>33.799999999999997</v>
      </c>
      <c r="I33" s="100">
        <v>30.1</v>
      </c>
      <c r="J33" s="100">
        <v>27.2</v>
      </c>
      <c r="K33" s="100">
        <v>24.9</v>
      </c>
      <c r="L33" s="100">
        <v>23.1</v>
      </c>
      <c r="M33" s="100">
        <v>21.5</v>
      </c>
      <c r="N33" s="100">
        <v>20.2</v>
      </c>
      <c r="O33" s="100">
        <v>19.100000000000001</v>
      </c>
      <c r="P33" s="100">
        <v>18.100000000000001</v>
      </c>
      <c r="Q33" s="100">
        <v>17.3</v>
      </c>
      <c r="R33" s="100">
        <v>16.5</v>
      </c>
      <c r="S33" s="100">
        <v>15.9</v>
      </c>
      <c r="T33" s="100">
        <v>15.3</v>
      </c>
      <c r="U33" s="100">
        <v>14.8</v>
      </c>
    </row>
    <row r="34" spans="1:21" x14ac:dyDescent="0.25">
      <c r="A34" s="99">
        <v>23</v>
      </c>
      <c r="B34" s="100">
        <v>215.2</v>
      </c>
      <c r="C34" s="100">
        <v>109.6</v>
      </c>
      <c r="D34" s="100">
        <v>74.400000000000006</v>
      </c>
      <c r="E34" s="100">
        <v>56.8</v>
      </c>
      <c r="F34" s="100">
        <v>46.3</v>
      </c>
      <c r="G34" s="100">
        <v>39.299999999999997</v>
      </c>
      <c r="H34" s="100">
        <v>34.299999999999997</v>
      </c>
      <c r="I34" s="100">
        <v>30.5</v>
      </c>
      <c r="J34" s="100">
        <v>27.6</v>
      </c>
      <c r="K34" s="100">
        <v>25.3</v>
      </c>
      <c r="L34" s="100">
        <v>23.4</v>
      </c>
      <c r="M34" s="100">
        <v>21.8</v>
      </c>
      <c r="N34" s="100">
        <v>20.5</v>
      </c>
      <c r="O34" s="100">
        <v>19.399999999999999</v>
      </c>
      <c r="P34" s="100">
        <v>18.399999999999999</v>
      </c>
      <c r="Q34" s="100">
        <v>17.5</v>
      </c>
      <c r="R34" s="100">
        <v>16.8</v>
      </c>
      <c r="S34" s="100">
        <v>16.100000000000001</v>
      </c>
      <c r="T34" s="100">
        <v>15.5</v>
      </c>
      <c r="U34" s="100">
        <v>15</v>
      </c>
    </row>
    <row r="35" spans="1:21" x14ac:dyDescent="0.25">
      <c r="A35" s="99">
        <v>24</v>
      </c>
      <c r="B35" s="100">
        <v>218.3</v>
      </c>
      <c r="C35" s="100">
        <v>111.2</v>
      </c>
      <c r="D35" s="100">
        <v>75.5</v>
      </c>
      <c r="E35" s="100">
        <v>57.6</v>
      </c>
      <c r="F35" s="100">
        <v>47</v>
      </c>
      <c r="G35" s="100">
        <v>39.799999999999997</v>
      </c>
      <c r="H35" s="100">
        <v>34.799999999999997</v>
      </c>
      <c r="I35" s="100">
        <v>31</v>
      </c>
      <c r="J35" s="100">
        <v>28</v>
      </c>
      <c r="K35" s="100">
        <v>25.7</v>
      </c>
      <c r="L35" s="100">
        <v>23.7</v>
      </c>
      <c r="M35" s="100">
        <v>22.1</v>
      </c>
      <c r="N35" s="100">
        <v>20.8</v>
      </c>
      <c r="O35" s="100">
        <v>19.600000000000001</v>
      </c>
      <c r="P35" s="100">
        <v>18.7</v>
      </c>
      <c r="Q35" s="100">
        <v>17.8</v>
      </c>
      <c r="R35" s="100">
        <v>17</v>
      </c>
      <c r="S35" s="100">
        <v>16.399999999999999</v>
      </c>
      <c r="T35" s="100">
        <v>15.8</v>
      </c>
      <c r="U35" s="100">
        <v>15.2</v>
      </c>
    </row>
    <row r="36" spans="1:21" x14ac:dyDescent="0.25">
      <c r="A36" s="99">
        <v>25</v>
      </c>
      <c r="B36" s="100">
        <v>221.3</v>
      </c>
      <c r="C36" s="100">
        <v>112.7</v>
      </c>
      <c r="D36" s="100">
        <v>76.5</v>
      </c>
      <c r="E36" s="100">
        <v>58.5</v>
      </c>
      <c r="F36" s="100">
        <v>47.6</v>
      </c>
      <c r="G36" s="100">
        <v>40.4</v>
      </c>
      <c r="H36" s="100">
        <v>35.299999999999997</v>
      </c>
      <c r="I36" s="100">
        <v>31.4</v>
      </c>
      <c r="J36" s="100">
        <v>28.4</v>
      </c>
      <c r="K36" s="100">
        <v>26</v>
      </c>
      <c r="L36" s="100">
        <v>24.1</v>
      </c>
      <c r="M36" s="100">
        <v>22.5</v>
      </c>
      <c r="N36" s="100">
        <v>21.1</v>
      </c>
      <c r="O36" s="100">
        <v>19.899999999999999</v>
      </c>
      <c r="P36" s="100">
        <v>18.899999999999999</v>
      </c>
      <c r="Q36" s="100">
        <v>18</v>
      </c>
      <c r="R36" s="100">
        <v>17.3</v>
      </c>
      <c r="S36" s="100">
        <v>16.600000000000001</v>
      </c>
      <c r="T36" s="100">
        <v>16</v>
      </c>
      <c r="U36" s="100">
        <v>15.4</v>
      </c>
    </row>
    <row r="37" spans="1:21" x14ac:dyDescent="0.25">
      <c r="A37" s="99">
        <v>26</v>
      </c>
      <c r="B37" s="100">
        <v>224.5</v>
      </c>
      <c r="C37" s="100">
        <v>114.3</v>
      </c>
      <c r="D37" s="100">
        <v>77.599999999999994</v>
      </c>
      <c r="E37" s="100">
        <v>59.3</v>
      </c>
      <c r="F37" s="100">
        <v>48.3</v>
      </c>
      <c r="G37" s="100">
        <v>41</v>
      </c>
      <c r="H37" s="100">
        <v>35.799999999999997</v>
      </c>
      <c r="I37" s="100">
        <v>31.9</v>
      </c>
      <c r="J37" s="100">
        <v>28.8</v>
      </c>
      <c r="K37" s="100">
        <v>26.4</v>
      </c>
      <c r="L37" s="100">
        <v>24.4</v>
      </c>
      <c r="M37" s="100">
        <v>22.8</v>
      </c>
      <c r="N37" s="100">
        <v>21.4</v>
      </c>
      <c r="O37" s="100">
        <v>20.2</v>
      </c>
      <c r="P37" s="100">
        <v>19.2</v>
      </c>
      <c r="Q37" s="100">
        <v>18.3</v>
      </c>
      <c r="R37" s="100">
        <v>17.5</v>
      </c>
      <c r="S37" s="100">
        <v>16.8</v>
      </c>
      <c r="T37" s="100">
        <v>16.2</v>
      </c>
      <c r="U37" s="100">
        <v>15.7</v>
      </c>
    </row>
    <row r="38" spans="1:21" x14ac:dyDescent="0.25">
      <c r="A38" s="99">
        <v>27</v>
      </c>
      <c r="B38" s="100">
        <v>227.6</v>
      </c>
      <c r="C38" s="100">
        <v>115.9</v>
      </c>
      <c r="D38" s="100">
        <v>78.7</v>
      </c>
      <c r="E38" s="100">
        <v>60.1</v>
      </c>
      <c r="F38" s="100">
        <v>49</v>
      </c>
      <c r="G38" s="100">
        <v>41.6</v>
      </c>
      <c r="H38" s="100">
        <v>36.299999999999997</v>
      </c>
      <c r="I38" s="100">
        <v>32.299999999999997</v>
      </c>
      <c r="J38" s="100">
        <v>29.2</v>
      </c>
      <c r="K38" s="100">
        <v>26.8</v>
      </c>
      <c r="L38" s="100">
        <v>24.8</v>
      </c>
      <c r="M38" s="100">
        <v>23.1</v>
      </c>
      <c r="N38" s="100">
        <v>21.7</v>
      </c>
      <c r="O38" s="100">
        <v>20.5</v>
      </c>
      <c r="P38" s="100">
        <v>19.5</v>
      </c>
      <c r="Q38" s="100">
        <v>18.600000000000001</v>
      </c>
      <c r="R38" s="100">
        <v>17.8</v>
      </c>
      <c r="S38" s="100">
        <v>17.100000000000001</v>
      </c>
      <c r="T38" s="100">
        <v>16.5</v>
      </c>
      <c r="U38" s="100">
        <v>15.9</v>
      </c>
    </row>
    <row r="39" spans="1:21" x14ac:dyDescent="0.25">
      <c r="A39" s="99">
        <v>28</v>
      </c>
      <c r="B39" s="100">
        <v>230.8</v>
      </c>
      <c r="C39" s="100">
        <v>117.6</v>
      </c>
      <c r="D39" s="100">
        <v>79.8</v>
      </c>
      <c r="E39" s="100">
        <v>61</v>
      </c>
      <c r="F39" s="100">
        <v>49.7</v>
      </c>
      <c r="G39" s="100">
        <v>42.2</v>
      </c>
      <c r="H39" s="100">
        <v>36.799999999999997</v>
      </c>
      <c r="I39" s="100">
        <v>32.799999999999997</v>
      </c>
      <c r="J39" s="100">
        <v>29.7</v>
      </c>
      <c r="K39" s="100">
        <v>27.2</v>
      </c>
      <c r="L39" s="100">
        <v>25.1</v>
      </c>
      <c r="M39" s="100">
        <v>23.4</v>
      </c>
      <c r="N39" s="100">
        <v>22</v>
      </c>
      <c r="O39" s="100">
        <v>20.8</v>
      </c>
      <c r="P39" s="100">
        <v>19.8</v>
      </c>
      <c r="Q39" s="100">
        <v>18.8</v>
      </c>
      <c r="R39" s="100">
        <v>18</v>
      </c>
      <c r="S39" s="100">
        <v>17.3</v>
      </c>
      <c r="T39" s="100">
        <v>16.7</v>
      </c>
      <c r="U39" s="100">
        <v>16.100000000000001</v>
      </c>
    </row>
    <row r="40" spans="1:21" x14ac:dyDescent="0.25">
      <c r="A40" s="99">
        <v>29</v>
      </c>
      <c r="B40" s="100">
        <v>234.1</v>
      </c>
      <c r="C40" s="100">
        <v>119.2</v>
      </c>
      <c r="D40" s="100">
        <v>81</v>
      </c>
      <c r="E40" s="100">
        <v>61.8</v>
      </c>
      <c r="F40" s="100">
        <v>50.4</v>
      </c>
      <c r="G40" s="100">
        <v>42.8</v>
      </c>
      <c r="H40" s="100">
        <v>37.299999999999997</v>
      </c>
      <c r="I40" s="100">
        <v>33.200000000000003</v>
      </c>
      <c r="J40" s="100">
        <v>30.1</v>
      </c>
      <c r="K40" s="100">
        <v>27.6</v>
      </c>
      <c r="L40" s="100">
        <v>25.5</v>
      </c>
      <c r="M40" s="100">
        <v>23.8</v>
      </c>
      <c r="N40" s="100">
        <v>22.3</v>
      </c>
      <c r="O40" s="100">
        <v>21.1</v>
      </c>
      <c r="P40" s="100">
        <v>20.100000000000001</v>
      </c>
      <c r="Q40" s="100">
        <v>19.100000000000001</v>
      </c>
      <c r="R40" s="100">
        <v>18.3</v>
      </c>
      <c r="S40" s="100">
        <v>17.600000000000001</v>
      </c>
      <c r="T40" s="100">
        <v>17</v>
      </c>
      <c r="U40" s="100">
        <v>16.399999999999999</v>
      </c>
    </row>
    <row r="41" spans="1:21" x14ac:dyDescent="0.25">
      <c r="A41" s="99">
        <v>30</v>
      </c>
      <c r="B41" s="100">
        <v>237.4</v>
      </c>
      <c r="C41" s="100">
        <v>120.9</v>
      </c>
      <c r="D41" s="100">
        <v>82.1</v>
      </c>
      <c r="E41" s="100">
        <v>62.7</v>
      </c>
      <c r="F41" s="100">
        <v>51.1</v>
      </c>
      <c r="G41" s="100">
        <v>43.4</v>
      </c>
      <c r="H41" s="100">
        <v>37.799999999999997</v>
      </c>
      <c r="I41" s="100">
        <v>33.700000000000003</v>
      </c>
      <c r="J41" s="100">
        <v>30.5</v>
      </c>
      <c r="K41" s="100">
        <v>28</v>
      </c>
      <c r="L41" s="100">
        <v>25.9</v>
      </c>
      <c r="M41" s="100">
        <v>24.1</v>
      </c>
      <c r="N41" s="100">
        <v>22.7</v>
      </c>
      <c r="O41" s="100">
        <v>21.4</v>
      </c>
      <c r="P41" s="100">
        <v>20.3</v>
      </c>
      <c r="Q41" s="100">
        <v>19.399999999999999</v>
      </c>
      <c r="R41" s="100">
        <v>18.600000000000001</v>
      </c>
      <c r="S41" s="100">
        <v>17.899999999999999</v>
      </c>
      <c r="T41" s="100">
        <v>17.2</v>
      </c>
      <c r="U41" s="100">
        <v>16.600000000000001</v>
      </c>
    </row>
    <row r="42" spans="1:21" x14ac:dyDescent="0.25">
      <c r="A42" s="99">
        <v>31</v>
      </c>
      <c r="B42" s="100">
        <v>240.7</v>
      </c>
      <c r="C42" s="100">
        <v>122.6</v>
      </c>
      <c r="D42" s="100">
        <v>83.3</v>
      </c>
      <c r="E42" s="100">
        <v>63.6</v>
      </c>
      <c r="F42" s="100">
        <v>51.8</v>
      </c>
      <c r="G42" s="100">
        <v>44</v>
      </c>
      <c r="H42" s="100">
        <v>38.4</v>
      </c>
      <c r="I42" s="100">
        <v>34.200000000000003</v>
      </c>
      <c r="J42" s="100">
        <v>30.9</v>
      </c>
      <c r="K42" s="100">
        <v>28.4</v>
      </c>
      <c r="L42" s="100">
        <v>26.2</v>
      </c>
      <c r="M42" s="100">
        <v>24.5</v>
      </c>
      <c r="N42" s="100">
        <v>23</v>
      </c>
      <c r="O42" s="100">
        <v>21.7</v>
      </c>
      <c r="P42" s="100">
        <v>20.6</v>
      </c>
      <c r="Q42" s="100">
        <v>19.7</v>
      </c>
      <c r="R42" s="100">
        <v>18.899999999999999</v>
      </c>
      <c r="S42" s="100">
        <v>18.100000000000001</v>
      </c>
      <c r="T42" s="100">
        <v>17.5</v>
      </c>
      <c r="U42" s="100">
        <v>16.899999999999999</v>
      </c>
    </row>
    <row r="43" spans="1:21" x14ac:dyDescent="0.25">
      <c r="A43" s="99">
        <v>32</v>
      </c>
      <c r="B43" s="100">
        <v>244</v>
      </c>
      <c r="C43" s="100">
        <v>124.3</v>
      </c>
      <c r="D43" s="100">
        <v>84.4</v>
      </c>
      <c r="E43" s="100">
        <v>64.5</v>
      </c>
      <c r="F43" s="100">
        <v>52.6</v>
      </c>
      <c r="G43" s="100">
        <v>44.6</v>
      </c>
      <c r="H43" s="100">
        <v>38.9</v>
      </c>
      <c r="I43" s="100">
        <v>34.700000000000003</v>
      </c>
      <c r="J43" s="100">
        <v>31.4</v>
      </c>
      <c r="K43" s="100">
        <v>28.8</v>
      </c>
      <c r="L43" s="100">
        <v>26.6</v>
      </c>
      <c r="M43" s="100">
        <v>24.8</v>
      </c>
      <c r="N43" s="100">
        <v>23.3</v>
      </c>
      <c r="O43" s="100">
        <v>22.1</v>
      </c>
      <c r="P43" s="100">
        <v>20.9</v>
      </c>
      <c r="Q43" s="100">
        <v>20</v>
      </c>
      <c r="R43" s="100">
        <v>19.100000000000001</v>
      </c>
      <c r="S43" s="100">
        <v>18.399999999999999</v>
      </c>
      <c r="T43" s="100">
        <v>17.7</v>
      </c>
      <c r="U43" s="100">
        <v>17.100000000000001</v>
      </c>
    </row>
    <row r="44" spans="1:21" x14ac:dyDescent="0.25">
      <c r="A44" s="99">
        <v>33</v>
      </c>
      <c r="B44" s="100">
        <v>247.4</v>
      </c>
      <c r="C44" s="100">
        <v>126.1</v>
      </c>
      <c r="D44" s="100">
        <v>85.6</v>
      </c>
      <c r="E44" s="100">
        <v>65.400000000000006</v>
      </c>
      <c r="F44" s="100">
        <v>53.3</v>
      </c>
      <c r="G44" s="100">
        <v>45.2</v>
      </c>
      <c r="H44" s="100">
        <v>39.5</v>
      </c>
      <c r="I44" s="100">
        <v>35.200000000000003</v>
      </c>
      <c r="J44" s="100">
        <v>31.8</v>
      </c>
      <c r="K44" s="100">
        <v>29.2</v>
      </c>
      <c r="L44" s="100">
        <v>27</v>
      </c>
      <c r="M44" s="100">
        <v>25.2</v>
      </c>
      <c r="N44" s="100">
        <v>23.7</v>
      </c>
      <c r="O44" s="100">
        <v>22.4</v>
      </c>
      <c r="P44" s="100">
        <v>21.3</v>
      </c>
      <c r="Q44" s="100">
        <v>20.3</v>
      </c>
      <c r="R44" s="100">
        <v>19.399999999999999</v>
      </c>
      <c r="S44" s="100">
        <v>18.7</v>
      </c>
      <c r="T44" s="100">
        <v>18</v>
      </c>
      <c r="U44" s="100">
        <v>17.399999999999999</v>
      </c>
    </row>
    <row r="45" spans="1:21" x14ac:dyDescent="0.25">
      <c r="A45" s="99">
        <v>34</v>
      </c>
      <c r="B45" s="100">
        <v>250.9</v>
      </c>
      <c r="C45" s="100">
        <v>127.8</v>
      </c>
      <c r="D45" s="100">
        <v>86.8</v>
      </c>
      <c r="E45" s="100">
        <v>66.3</v>
      </c>
      <c r="F45" s="100">
        <v>54</v>
      </c>
      <c r="G45" s="100">
        <v>45.9</v>
      </c>
      <c r="H45" s="100">
        <v>40</v>
      </c>
      <c r="I45" s="100">
        <v>35.700000000000003</v>
      </c>
      <c r="J45" s="100">
        <v>32.299999999999997</v>
      </c>
      <c r="K45" s="100">
        <v>29.6</v>
      </c>
      <c r="L45" s="100">
        <v>27.4</v>
      </c>
      <c r="M45" s="100">
        <v>25.6</v>
      </c>
      <c r="N45" s="100">
        <v>24</v>
      </c>
      <c r="O45" s="100">
        <v>22.7</v>
      </c>
      <c r="P45" s="100">
        <v>21.6</v>
      </c>
      <c r="Q45" s="100">
        <v>20.6</v>
      </c>
      <c r="R45" s="100">
        <v>19.7</v>
      </c>
      <c r="S45" s="100">
        <v>18.899999999999999</v>
      </c>
      <c r="T45" s="100">
        <v>18.3</v>
      </c>
      <c r="U45" s="100">
        <v>17.7</v>
      </c>
    </row>
    <row r="46" spans="1:21" x14ac:dyDescent="0.25">
      <c r="A46" s="99">
        <v>35</v>
      </c>
      <c r="B46" s="100">
        <v>254.3</v>
      </c>
      <c r="C46" s="100">
        <v>129.6</v>
      </c>
      <c r="D46" s="100">
        <v>88</v>
      </c>
      <c r="E46" s="100">
        <v>67.2</v>
      </c>
      <c r="F46" s="100">
        <v>54.8</v>
      </c>
      <c r="G46" s="100">
        <v>46.5</v>
      </c>
      <c r="H46" s="100">
        <v>40.6</v>
      </c>
      <c r="I46" s="100">
        <v>36.200000000000003</v>
      </c>
      <c r="J46" s="100">
        <v>32.799999999999997</v>
      </c>
      <c r="K46" s="100">
        <v>30</v>
      </c>
      <c r="L46" s="100">
        <v>27.8</v>
      </c>
      <c r="M46" s="100">
        <v>25.9</v>
      </c>
      <c r="N46" s="100">
        <v>24.4</v>
      </c>
      <c r="O46" s="100">
        <v>23</v>
      </c>
      <c r="P46" s="100">
        <v>21.9</v>
      </c>
      <c r="Q46" s="100">
        <v>20.9</v>
      </c>
      <c r="R46" s="100">
        <v>20</v>
      </c>
      <c r="S46" s="100">
        <v>19.2</v>
      </c>
      <c r="T46" s="100">
        <v>18.5</v>
      </c>
      <c r="U46" s="100">
        <v>17.899999999999999</v>
      </c>
    </row>
    <row r="47" spans="1:21" x14ac:dyDescent="0.25">
      <c r="A47" s="99">
        <v>36</v>
      </c>
      <c r="B47" s="100">
        <v>257.8</v>
      </c>
      <c r="C47" s="100">
        <v>131.4</v>
      </c>
      <c r="D47" s="100">
        <v>89.2</v>
      </c>
      <c r="E47" s="100">
        <v>68.2</v>
      </c>
      <c r="F47" s="100">
        <v>55.6</v>
      </c>
      <c r="G47" s="100">
        <v>47.2</v>
      </c>
      <c r="H47" s="100">
        <v>41.2</v>
      </c>
      <c r="I47" s="100">
        <v>36.700000000000003</v>
      </c>
      <c r="J47" s="100">
        <v>33.200000000000003</v>
      </c>
      <c r="K47" s="100">
        <v>30.4</v>
      </c>
      <c r="L47" s="100">
        <v>28.2</v>
      </c>
      <c r="M47" s="100">
        <v>26.3</v>
      </c>
      <c r="N47" s="100">
        <v>24.7</v>
      </c>
      <c r="O47" s="100">
        <v>23.4</v>
      </c>
      <c r="P47" s="100">
        <v>22.2</v>
      </c>
      <c r="Q47" s="100">
        <v>21.2</v>
      </c>
      <c r="R47" s="100">
        <v>20.3</v>
      </c>
      <c r="S47" s="100">
        <v>19.5</v>
      </c>
      <c r="T47" s="100">
        <v>18.8</v>
      </c>
      <c r="U47" s="100">
        <v>18.2</v>
      </c>
    </row>
    <row r="48" spans="1:21" x14ac:dyDescent="0.25">
      <c r="A48" s="99">
        <v>37</v>
      </c>
      <c r="B48" s="100">
        <v>261.39999999999998</v>
      </c>
      <c r="C48" s="100">
        <v>133.19999999999999</v>
      </c>
      <c r="D48" s="100">
        <v>90.5</v>
      </c>
      <c r="E48" s="100">
        <v>69.099999999999994</v>
      </c>
      <c r="F48" s="100">
        <v>56.3</v>
      </c>
      <c r="G48" s="100">
        <v>47.8</v>
      </c>
      <c r="H48" s="100">
        <v>41.8</v>
      </c>
      <c r="I48" s="100">
        <v>37.200000000000003</v>
      </c>
      <c r="J48" s="100">
        <v>33.700000000000003</v>
      </c>
      <c r="K48" s="100">
        <v>30.9</v>
      </c>
      <c r="L48" s="100">
        <v>28.6</v>
      </c>
      <c r="M48" s="100">
        <v>26.7</v>
      </c>
      <c r="N48" s="100">
        <v>25.1</v>
      </c>
      <c r="O48" s="100">
        <v>23.7</v>
      </c>
      <c r="P48" s="100">
        <v>22.5</v>
      </c>
      <c r="Q48" s="100">
        <v>21.5</v>
      </c>
      <c r="R48" s="100">
        <v>20.6</v>
      </c>
      <c r="S48" s="100">
        <v>19.8</v>
      </c>
      <c r="T48" s="100">
        <v>19.100000000000001</v>
      </c>
      <c r="U48" s="100">
        <v>18.5</v>
      </c>
    </row>
    <row r="49" spans="1:21" x14ac:dyDescent="0.25">
      <c r="A49" s="99">
        <v>38</v>
      </c>
      <c r="B49" s="100">
        <v>264.89999999999998</v>
      </c>
      <c r="C49" s="100">
        <v>135</v>
      </c>
      <c r="D49" s="100">
        <v>91.7</v>
      </c>
      <c r="E49" s="100">
        <v>70.099999999999994</v>
      </c>
      <c r="F49" s="100">
        <v>57.1</v>
      </c>
      <c r="G49" s="100">
        <v>48.5</v>
      </c>
      <c r="H49" s="100">
        <v>42.3</v>
      </c>
      <c r="I49" s="100">
        <v>37.700000000000003</v>
      </c>
      <c r="J49" s="100">
        <v>34.200000000000003</v>
      </c>
      <c r="K49" s="100">
        <v>31.3</v>
      </c>
      <c r="L49" s="100">
        <v>29</v>
      </c>
      <c r="M49" s="100">
        <v>27.1</v>
      </c>
      <c r="N49" s="100">
        <v>25.4</v>
      </c>
      <c r="O49" s="100">
        <v>24.1</v>
      </c>
      <c r="P49" s="100">
        <v>22.9</v>
      </c>
      <c r="Q49" s="100">
        <v>21.8</v>
      </c>
      <c r="R49" s="100">
        <v>20.9</v>
      </c>
      <c r="S49" s="100">
        <v>20.100000000000001</v>
      </c>
      <c r="T49" s="100">
        <v>19.399999999999999</v>
      </c>
      <c r="U49" s="100">
        <v>18.8</v>
      </c>
    </row>
    <row r="50" spans="1:21" x14ac:dyDescent="0.25">
      <c r="A50" s="99">
        <v>39</v>
      </c>
      <c r="B50" s="100">
        <v>268.60000000000002</v>
      </c>
      <c r="C50" s="100">
        <v>136.9</v>
      </c>
      <c r="D50" s="100">
        <v>93</v>
      </c>
      <c r="E50" s="100">
        <v>71.099999999999994</v>
      </c>
      <c r="F50" s="100">
        <v>57.9</v>
      </c>
      <c r="G50" s="100">
        <v>49.2</v>
      </c>
      <c r="H50" s="100">
        <v>42.9</v>
      </c>
      <c r="I50" s="100">
        <v>38.299999999999997</v>
      </c>
      <c r="J50" s="100">
        <v>34.700000000000003</v>
      </c>
      <c r="K50" s="100">
        <v>31.8</v>
      </c>
      <c r="L50" s="100">
        <v>29.4</v>
      </c>
      <c r="M50" s="100">
        <v>27.5</v>
      </c>
      <c r="N50" s="100">
        <v>25.8</v>
      </c>
      <c r="O50" s="100">
        <v>24.4</v>
      </c>
      <c r="P50" s="100">
        <v>23.2</v>
      </c>
      <c r="Q50" s="100">
        <v>22.2</v>
      </c>
      <c r="R50" s="100">
        <v>21.3</v>
      </c>
      <c r="S50" s="100">
        <v>20.399999999999999</v>
      </c>
      <c r="T50" s="100">
        <v>19.7</v>
      </c>
      <c r="U50" s="100">
        <v>19.100000000000001</v>
      </c>
    </row>
    <row r="51" spans="1:21" x14ac:dyDescent="0.25">
      <c r="A51" s="99">
        <v>40</v>
      </c>
      <c r="B51" s="100">
        <v>272.2</v>
      </c>
      <c r="C51" s="100">
        <v>138.69999999999999</v>
      </c>
      <c r="D51" s="100">
        <v>94.3</v>
      </c>
      <c r="E51" s="100">
        <v>72</v>
      </c>
      <c r="F51" s="100">
        <v>58.7</v>
      </c>
      <c r="G51" s="100">
        <v>49.9</v>
      </c>
      <c r="H51" s="100">
        <v>43.6</v>
      </c>
      <c r="I51" s="100">
        <v>38.799999999999997</v>
      </c>
      <c r="J51" s="100">
        <v>35.200000000000003</v>
      </c>
      <c r="K51" s="100">
        <v>32.200000000000003</v>
      </c>
      <c r="L51" s="100">
        <v>29.9</v>
      </c>
      <c r="M51" s="100">
        <v>27.9</v>
      </c>
      <c r="N51" s="100">
        <v>26.2</v>
      </c>
      <c r="O51" s="100">
        <v>24.8</v>
      </c>
      <c r="P51" s="100">
        <v>23.6</v>
      </c>
      <c r="Q51" s="100">
        <v>22.5</v>
      </c>
      <c r="R51" s="100">
        <v>21.6</v>
      </c>
      <c r="S51" s="100">
        <v>20.8</v>
      </c>
      <c r="T51" s="100">
        <v>20.100000000000001</v>
      </c>
      <c r="U51" s="100">
        <v>19.399999999999999</v>
      </c>
    </row>
    <row r="52" spans="1:21" x14ac:dyDescent="0.25">
      <c r="A52" s="99">
        <v>41</v>
      </c>
      <c r="B52" s="100">
        <v>276</v>
      </c>
      <c r="C52" s="100">
        <v>140.69999999999999</v>
      </c>
      <c r="D52" s="100">
        <v>95.6</v>
      </c>
      <c r="E52" s="100">
        <v>73.099999999999994</v>
      </c>
      <c r="F52" s="100">
        <v>59.6</v>
      </c>
      <c r="G52" s="100">
        <v>50.6</v>
      </c>
      <c r="H52" s="100">
        <v>44.2</v>
      </c>
      <c r="I52" s="100">
        <v>39.4</v>
      </c>
      <c r="J52" s="100">
        <v>35.700000000000003</v>
      </c>
      <c r="K52" s="100">
        <v>32.700000000000003</v>
      </c>
      <c r="L52" s="100">
        <v>30.3</v>
      </c>
      <c r="M52" s="100">
        <v>28.3</v>
      </c>
      <c r="N52" s="100">
        <v>26.6</v>
      </c>
      <c r="O52" s="100">
        <v>25.2</v>
      </c>
      <c r="P52" s="100">
        <v>23.9</v>
      </c>
      <c r="Q52" s="100">
        <v>22.9</v>
      </c>
      <c r="R52" s="100">
        <v>21.9</v>
      </c>
      <c r="S52" s="100">
        <v>21.1</v>
      </c>
      <c r="T52" s="100">
        <v>20.399999999999999</v>
      </c>
      <c r="U52" s="100">
        <v>19.8</v>
      </c>
    </row>
    <row r="53" spans="1:21" x14ac:dyDescent="0.25">
      <c r="A53" s="99">
        <v>42</v>
      </c>
      <c r="B53" s="100">
        <v>279.7</v>
      </c>
      <c r="C53" s="100">
        <v>142.6</v>
      </c>
      <c r="D53" s="100">
        <v>96.9</v>
      </c>
      <c r="E53" s="100">
        <v>74.099999999999994</v>
      </c>
      <c r="F53" s="100">
        <v>60.4</v>
      </c>
      <c r="G53" s="100">
        <v>51.3</v>
      </c>
      <c r="H53" s="100">
        <v>44.8</v>
      </c>
      <c r="I53" s="100">
        <v>40</v>
      </c>
      <c r="J53" s="100">
        <v>36.200000000000003</v>
      </c>
      <c r="K53" s="100">
        <v>33.200000000000003</v>
      </c>
      <c r="L53" s="100">
        <v>30.7</v>
      </c>
      <c r="M53" s="100">
        <v>28.7</v>
      </c>
      <c r="N53" s="100">
        <v>27</v>
      </c>
      <c r="O53" s="100">
        <v>25.6</v>
      </c>
      <c r="P53" s="100">
        <v>24.3</v>
      </c>
      <c r="Q53" s="100">
        <v>23.2</v>
      </c>
      <c r="R53" s="100">
        <v>22.3</v>
      </c>
      <c r="S53" s="100">
        <v>21.5</v>
      </c>
      <c r="T53" s="100">
        <v>20.7</v>
      </c>
      <c r="U53" s="100">
        <v>20.100000000000001</v>
      </c>
    </row>
    <row r="54" spans="1:21" x14ac:dyDescent="0.25">
      <c r="A54" s="99">
        <v>43</v>
      </c>
      <c r="B54" s="100">
        <v>283.5</v>
      </c>
      <c r="C54" s="100">
        <v>144.5</v>
      </c>
      <c r="D54" s="100">
        <v>98.2</v>
      </c>
      <c r="E54" s="100">
        <v>75.099999999999994</v>
      </c>
      <c r="F54" s="100">
        <v>61.2</v>
      </c>
      <c r="G54" s="100">
        <v>52</v>
      </c>
      <c r="H54" s="100">
        <v>45.4</v>
      </c>
      <c r="I54" s="100">
        <v>40.5</v>
      </c>
      <c r="J54" s="100">
        <v>36.700000000000003</v>
      </c>
      <c r="K54" s="100">
        <v>33.700000000000003</v>
      </c>
      <c r="L54" s="100">
        <v>31.2</v>
      </c>
      <c r="M54" s="100">
        <v>29.2</v>
      </c>
      <c r="N54" s="100">
        <v>27.4</v>
      </c>
      <c r="O54" s="100">
        <v>26</v>
      </c>
      <c r="P54" s="100">
        <v>24.7</v>
      </c>
      <c r="Q54" s="100">
        <v>23.6</v>
      </c>
      <c r="R54" s="100">
        <v>22.7</v>
      </c>
      <c r="S54" s="100">
        <v>21.8</v>
      </c>
      <c r="T54" s="100">
        <v>21.1</v>
      </c>
      <c r="U54" s="100">
        <v>20.5</v>
      </c>
    </row>
    <row r="55" spans="1:21" x14ac:dyDescent="0.25">
      <c r="A55" s="99">
        <v>44</v>
      </c>
      <c r="B55" s="100">
        <v>287.39999999999998</v>
      </c>
      <c r="C55" s="100">
        <v>146.5</v>
      </c>
      <c r="D55" s="100">
        <v>99.6</v>
      </c>
      <c r="E55" s="100">
        <v>76.099999999999994</v>
      </c>
      <c r="F55" s="100">
        <v>62.1</v>
      </c>
      <c r="G55" s="100">
        <v>52.7</v>
      </c>
      <c r="H55" s="100">
        <v>46.1</v>
      </c>
      <c r="I55" s="100">
        <v>41.1</v>
      </c>
      <c r="J55" s="100">
        <v>37.200000000000003</v>
      </c>
      <c r="K55" s="100">
        <v>34.200000000000003</v>
      </c>
      <c r="L55" s="100">
        <v>31.7</v>
      </c>
      <c r="M55" s="100">
        <v>29.6</v>
      </c>
      <c r="N55" s="100">
        <v>27.9</v>
      </c>
      <c r="O55" s="100">
        <v>26.4</v>
      </c>
      <c r="P55" s="100">
        <v>25.1</v>
      </c>
      <c r="Q55" s="100">
        <v>24</v>
      </c>
      <c r="R55" s="100">
        <v>23.1</v>
      </c>
      <c r="S55" s="100">
        <v>22.2</v>
      </c>
      <c r="T55" s="100">
        <v>21.5</v>
      </c>
      <c r="U55" s="100">
        <v>20.8</v>
      </c>
    </row>
    <row r="56" spans="1:21" x14ac:dyDescent="0.25">
      <c r="A56" s="99">
        <v>45</v>
      </c>
      <c r="B56" s="100">
        <v>291.3</v>
      </c>
      <c r="C56" s="100">
        <v>148.5</v>
      </c>
      <c r="D56" s="100">
        <v>100.9</v>
      </c>
      <c r="E56" s="100">
        <v>77.2</v>
      </c>
      <c r="F56" s="100">
        <v>63</v>
      </c>
      <c r="G56" s="100">
        <v>53.5</v>
      </c>
      <c r="H56" s="100">
        <v>46.7</v>
      </c>
      <c r="I56" s="100">
        <v>41.7</v>
      </c>
      <c r="J56" s="100">
        <v>37.799999999999997</v>
      </c>
      <c r="K56" s="100">
        <v>34.700000000000003</v>
      </c>
      <c r="L56" s="100">
        <v>32.200000000000003</v>
      </c>
      <c r="M56" s="100">
        <v>30.1</v>
      </c>
      <c r="N56" s="100">
        <v>28.3</v>
      </c>
      <c r="O56" s="100">
        <v>26.8</v>
      </c>
      <c r="P56" s="100">
        <v>25.6</v>
      </c>
      <c r="Q56" s="100">
        <v>24.5</v>
      </c>
      <c r="R56" s="100">
        <v>23.5</v>
      </c>
      <c r="S56" s="100">
        <v>22.6</v>
      </c>
      <c r="T56" s="100">
        <v>21.9</v>
      </c>
      <c r="U56" s="100">
        <v>21.2</v>
      </c>
    </row>
    <row r="57" spans="1:21" x14ac:dyDescent="0.25">
      <c r="A57" s="99">
        <v>46</v>
      </c>
      <c r="B57" s="100">
        <v>295.2</v>
      </c>
      <c r="C57" s="100">
        <v>150.5</v>
      </c>
      <c r="D57" s="100">
        <v>102.3</v>
      </c>
      <c r="E57" s="100">
        <v>78.3</v>
      </c>
      <c r="F57" s="100">
        <v>63.8</v>
      </c>
      <c r="G57" s="100">
        <v>54.3</v>
      </c>
      <c r="H57" s="100">
        <v>47.4</v>
      </c>
      <c r="I57" s="100">
        <v>42.3</v>
      </c>
      <c r="J57" s="100">
        <v>38.4</v>
      </c>
      <c r="K57" s="100">
        <v>35.200000000000003</v>
      </c>
      <c r="L57" s="100">
        <v>32.700000000000003</v>
      </c>
      <c r="M57" s="100">
        <v>30.6</v>
      </c>
      <c r="N57" s="100">
        <v>28.8</v>
      </c>
      <c r="O57" s="100">
        <v>27.3</v>
      </c>
      <c r="P57" s="100">
        <v>26</v>
      </c>
      <c r="Q57" s="100">
        <v>24.9</v>
      </c>
      <c r="R57" s="100">
        <v>23.9</v>
      </c>
      <c r="S57" s="100">
        <v>23.1</v>
      </c>
      <c r="T57" s="100">
        <v>22.3</v>
      </c>
      <c r="U57" s="100">
        <v>21.6</v>
      </c>
    </row>
    <row r="58" spans="1:21" x14ac:dyDescent="0.25">
      <c r="A58" s="99">
        <v>47</v>
      </c>
      <c r="B58" s="100">
        <v>299.2</v>
      </c>
      <c r="C58" s="100">
        <v>152.6</v>
      </c>
      <c r="D58" s="100">
        <v>103.7</v>
      </c>
      <c r="E58" s="100">
        <v>79.400000000000006</v>
      </c>
      <c r="F58" s="100">
        <v>64.8</v>
      </c>
      <c r="G58" s="100">
        <v>55</v>
      </c>
      <c r="H58" s="100">
        <v>48.1</v>
      </c>
      <c r="I58" s="100">
        <v>43</v>
      </c>
      <c r="J58" s="100">
        <v>39</v>
      </c>
      <c r="K58" s="100">
        <v>35.799999999999997</v>
      </c>
      <c r="L58" s="100">
        <v>33.200000000000003</v>
      </c>
      <c r="M58" s="100">
        <v>31.1</v>
      </c>
      <c r="N58" s="100">
        <v>29.3</v>
      </c>
      <c r="O58" s="100">
        <v>27.8</v>
      </c>
      <c r="P58" s="100">
        <v>26.5</v>
      </c>
      <c r="Q58" s="100">
        <v>25.4</v>
      </c>
      <c r="R58" s="100">
        <v>24.4</v>
      </c>
      <c r="S58" s="100">
        <v>23.5</v>
      </c>
      <c r="T58" s="100">
        <v>22.7</v>
      </c>
      <c r="U58" s="100"/>
    </row>
    <row r="59" spans="1:21" x14ac:dyDescent="0.25">
      <c r="A59" s="99">
        <v>48</v>
      </c>
      <c r="B59" s="100">
        <v>303.3</v>
      </c>
      <c r="C59" s="100">
        <v>154.69999999999999</v>
      </c>
      <c r="D59" s="100">
        <v>105.2</v>
      </c>
      <c r="E59" s="100">
        <v>80.5</v>
      </c>
      <c r="F59" s="100">
        <v>65.7</v>
      </c>
      <c r="G59" s="100">
        <v>55.9</v>
      </c>
      <c r="H59" s="100">
        <v>48.9</v>
      </c>
      <c r="I59" s="100">
        <v>43.7</v>
      </c>
      <c r="J59" s="100">
        <v>39.6</v>
      </c>
      <c r="K59" s="100">
        <v>36.4</v>
      </c>
      <c r="L59" s="100">
        <v>33.799999999999997</v>
      </c>
      <c r="M59" s="100">
        <v>31.6</v>
      </c>
      <c r="N59" s="100">
        <v>29.8</v>
      </c>
      <c r="O59" s="100">
        <v>28.3</v>
      </c>
      <c r="P59" s="100">
        <v>27</v>
      </c>
      <c r="Q59" s="100">
        <v>25.8</v>
      </c>
      <c r="R59" s="100">
        <v>24.9</v>
      </c>
      <c r="S59" s="100">
        <v>24</v>
      </c>
      <c r="T59" s="100"/>
      <c r="U59" s="100"/>
    </row>
    <row r="60" spans="1:21" x14ac:dyDescent="0.25">
      <c r="A60" s="99">
        <v>49</v>
      </c>
      <c r="B60" s="100">
        <v>307.39999999999998</v>
      </c>
      <c r="C60" s="100">
        <v>156.9</v>
      </c>
      <c r="D60" s="100">
        <v>106.7</v>
      </c>
      <c r="E60" s="100">
        <v>81.7</v>
      </c>
      <c r="F60" s="100">
        <v>66.7</v>
      </c>
      <c r="G60" s="100">
        <v>56.8</v>
      </c>
      <c r="H60" s="100">
        <v>49.7</v>
      </c>
      <c r="I60" s="100">
        <v>44.4</v>
      </c>
      <c r="J60" s="100">
        <v>40.299999999999997</v>
      </c>
      <c r="K60" s="100">
        <v>37</v>
      </c>
      <c r="L60" s="100">
        <v>34.4</v>
      </c>
      <c r="M60" s="100">
        <v>32.200000000000003</v>
      </c>
      <c r="N60" s="100">
        <v>30.4</v>
      </c>
      <c r="O60" s="100">
        <v>28.8</v>
      </c>
      <c r="P60" s="100">
        <v>27.5</v>
      </c>
      <c r="Q60" s="100">
        <v>26.4</v>
      </c>
      <c r="R60" s="100">
        <v>25.3</v>
      </c>
      <c r="S60" s="100"/>
      <c r="T60" s="100"/>
      <c r="U60" s="100"/>
    </row>
    <row r="61" spans="1:21" x14ac:dyDescent="0.25">
      <c r="A61" s="99">
        <v>50</v>
      </c>
      <c r="B61" s="100">
        <v>311.7</v>
      </c>
      <c r="C61" s="100">
        <v>159.1</v>
      </c>
      <c r="D61" s="100">
        <v>108.3</v>
      </c>
      <c r="E61" s="100">
        <v>82.9</v>
      </c>
      <c r="F61" s="100">
        <v>67.8</v>
      </c>
      <c r="G61" s="100">
        <v>57.7</v>
      </c>
      <c r="H61" s="100">
        <v>50.5</v>
      </c>
      <c r="I61" s="100">
        <v>45.1</v>
      </c>
      <c r="J61" s="100">
        <v>41</v>
      </c>
      <c r="K61" s="100">
        <v>37.700000000000003</v>
      </c>
      <c r="L61" s="100">
        <v>35</v>
      </c>
      <c r="M61" s="100">
        <v>32.799999999999997</v>
      </c>
      <c r="N61" s="100">
        <v>31</v>
      </c>
      <c r="O61" s="100">
        <v>29.4</v>
      </c>
      <c r="P61" s="100">
        <v>28.1</v>
      </c>
      <c r="Q61" s="100">
        <v>26.9</v>
      </c>
      <c r="R61" s="100"/>
      <c r="S61" s="100"/>
      <c r="T61" s="100"/>
      <c r="U61" s="100"/>
    </row>
    <row r="62" spans="1:21" x14ac:dyDescent="0.25">
      <c r="A62" s="99">
        <v>51</v>
      </c>
      <c r="B62" s="100">
        <v>316.10000000000002</v>
      </c>
      <c r="C62" s="100">
        <v>161.4</v>
      </c>
      <c r="D62" s="100">
        <v>109.9</v>
      </c>
      <c r="E62" s="100">
        <v>84.2</v>
      </c>
      <c r="F62" s="100">
        <v>68.8</v>
      </c>
      <c r="G62" s="100">
        <v>58.6</v>
      </c>
      <c r="H62" s="100">
        <v>51.3</v>
      </c>
      <c r="I62" s="100">
        <v>45.9</v>
      </c>
      <c r="J62" s="100">
        <v>41.7</v>
      </c>
      <c r="K62" s="100">
        <v>38.4</v>
      </c>
      <c r="L62" s="100">
        <v>35.700000000000003</v>
      </c>
      <c r="M62" s="100">
        <v>33.5</v>
      </c>
      <c r="N62" s="100">
        <v>31.6</v>
      </c>
      <c r="O62" s="100">
        <v>30</v>
      </c>
      <c r="P62" s="100">
        <v>28.6</v>
      </c>
      <c r="Q62" s="100"/>
      <c r="R62" s="100"/>
      <c r="S62" s="100"/>
      <c r="T62" s="100"/>
      <c r="U62" s="100"/>
    </row>
    <row r="63" spans="1:21" x14ac:dyDescent="0.25">
      <c r="A63" s="99">
        <v>52</v>
      </c>
      <c r="B63" s="100">
        <v>320.5</v>
      </c>
      <c r="C63" s="100">
        <v>163.69999999999999</v>
      </c>
      <c r="D63" s="100">
        <v>111.5</v>
      </c>
      <c r="E63" s="100">
        <v>85.5</v>
      </c>
      <c r="F63" s="100">
        <v>69.900000000000006</v>
      </c>
      <c r="G63" s="100">
        <v>59.6</v>
      </c>
      <c r="H63" s="100">
        <v>52.2</v>
      </c>
      <c r="I63" s="100">
        <v>46.7</v>
      </c>
      <c r="J63" s="100">
        <v>42.5</v>
      </c>
      <c r="K63" s="100">
        <v>39.1</v>
      </c>
      <c r="L63" s="100">
        <v>36.4</v>
      </c>
      <c r="M63" s="100">
        <v>34.1</v>
      </c>
      <c r="N63" s="100">
        <v>32.200000000000003</v>
      </c>
      <c r="O63" s="100">
        <v>30.6</v>
      </c>
      <c r="P63" s="100"/>
      <c r="Q63" s="100"/>
      <c r="R63" s="100"/>
      <c r="S63" s="100"/>
      <c r="T63" s="100"/>
      <c r="U63" s="100"/>
    </row>
    <row r="64" spans="1:21" x14ac:dyDescent="0.25">
      <c r="A64" s="99">
        <v>53</v>
      </c>
      <c r="B64" s="100">
        <v>324.89999999999998</v>
      </c>
      <c r="C64" s="100">
        <v>166.1</v>
      </c>
      <c r="D64" s="100">
        <v>113.2</v>
      </c>
      <c r="E64" s="100">
        <v>86.8</v>
      </c>
      <c r="F64" s="100">
        <v>71</v>
      </c>
      <c r="G64" s="100">
        <v>60.5</v>
      </c>
      <c r="H64" s="100">
        <v>53.1</v>
      </c>
      <c r="I64" s="100">
        <v>47.5</v>
      </c>
      <c r="J64" s="100">
        <v>43.2</v>
      </c>
      <c r="K64" s="100">
        <v>39.799999999999997</v>
      </c>
      <c r="L64" s="100">
        <v>37.1</v>
      </c>
      <c r="M64" s="100">
        <v>34.799999999999997</v>
      </c>
      <c r="N64" s="100">
        <v>32.799999999999997</v>
      </c>
      <c r="O64" s="100"/>
      <c r="P64" s="100"/>
      <c r="Q64" s="100"/>
      <c r="R64" s="100"/>
      <c r="S64" s="100"/>
      <c r="T64" s="100"/>
      <c r="U64" s="100"/>
    </row>
    <row r="65" spans="1:21" x14ac:dyDescent="0.25">
      <c r="A65" s="99">
        <v>54</v>
      </c>
      <c r="B65" s="100">
        <v>329.4</v>
      </c>
      <c r="C65" s="100">
        <v>168.5</v>
      </c>
      <c r="D65" s="100">
        <v>114.9</v>
      </c>
      <c r="E65" s="100">
        <v>88.1</v>
      </c>
      <c r="F65" s="100">
        <v>72.2</v>
      </c>
      <c r="G65" s="100">
        <v>61.5</v>
      </c>
      <c r="H65" s="100">
        <v>54</v>
      </c>
      <c r="I65" s="100">
        <v>48.4</v>
      </c>
      <c r="J65" s="100">
        <v>44</v>
      </c>
      <c r="K65" s="100">
        <v>40.6</v>
      </c>
      <c r="L65" s="100">
        <v>37.799999999999997</v>
      </c>
      <c r="M65" s="100">
        <v>35.4</v>
      </c>
      <c r="N65" s="100"/>
      <c r="O65" s="100"/>
      <c r="P65" s="100"/>
      <c r="Q65" s="100"/>
      <c r="R65" s="100"/>
      <c r="S65" s="100"/>
      <c r="T65" s="100"/>
      <c r="U65" s="100"/>
    </row>
    <row r="66" spans="1:21" x14ac:dyDescent="0.25">
      <c r="A66" s="99">
        <v>55</v>
      </c>
      <c r="B66" s="100">
        <v>334</v>
      </c>
      <c r="C66" s="100">
        <v>170.9</v>
      </c>
      <c r="D66" s="100">
        <v>116.6</v>
      </c>
      <c r="E66" s="100">
        <v>89.5</v>
      </c>
      <c r="F66" s="100">
        <v>73.3</v>
      </c>
      <c r="G66" s="100">
        <v>62.6</v>
      </c>
      <c r="H66" s="100">
        <v>54.9</v>
      </c>
      <c r="I66" s="100">
        <v>49.2</v>
      </c>
      <c r="J66" s="100">
        <v>44.8</v>
      </c>
      <c r="K66" s="100">
        <v>41.3</v>
      </c>
      <c r="L66" s="100">
        <v>38.5</v>
      </c>
      <c r="M66" s="100"/>
      <c r="N66" s="100"/>
      <c r="O66" s="100"/>
      <c r="P66" s="100"/>
      <c r="Q66" s="100"/>
      <c r="R66" s="100"/>
      <c r="S66" s="100"/>
      <c r="T66" s="100"/>
      <c r="U66" s="100"/>
    </row>
    <row r="67" spans="1:21" x14ac:dyDescent="0.25">
      <c r="A67" s="99">
        <v>56</v>
      </c>
      <c r="B67" s="100">
        <v>338.7</v>
      </c>
      <c r="C67" s="100">
        <v>173.4</v>
      </c>
      <c r="D67" s="100">
        <v>118.4</v>
      </c>
      <c r="E67" s="100">
        <v>90.9</v>
      </c>
      <c r="F67" s="100">
        <v>74.5</v>
      </c>
      <c r="G67" s="100">
        <v>63.6</v>
      </c>
      <c r="H67" s="100">
        <v>55.9</v>
      </c>
      <c r="I67" s="100">
        <v>50.1</v>
      </c>
      <c r="J67" s="100">
        <v>45.6</v>
      </c>
      <c r="K67" s="100">
        <v>42.1</v>
      </c>
      <c r="L67" s="100"/>
      <c r="M67" s="100"/>
      <c r="N67" s="100"/>
      <c r="O67" s="100"/>
      <c r="P67" s="100"/>
      <c r="Q67" s="100"/>
      <c r="R67" s="100"/>
      <c r="S67" s="100"/>
      <c r="T67" s="100"/>
      <c r="U67" s="100"/>
    </row>
    <row r="68" spans="1:21" x14ac:dyDescent="0.25">
      <c r="A68" s="99">
        <v>57</v>
      </c>
      <c r="B68" s="100">
        <v>343.6</v>
      </c>
      <c r="C68" s="100">
        <v>176</v>
      </c>
      <c r="D68" s="100">
        <v>120.2</v>
      </c>
      <c r="E68" s="100">
        <v>92.4</v>
      </c>
      <c r="F68" s="100">
        <v>75.8</v>
      </c>
      <c r="G68" s="100">
        <v>64.7</v>
      </c>
      <c r="H68" s="100">
        <v>56.9</v>
      </c>
      <c r="I68" s="100">
        <v>51</v>
      </c>
      <c r="J68" s="100">
        <v>46.5</v>
      </c>
      <c r="K68" s="100"/>
      <c r="L68" s="100"/>
      <c r="M68" s="100"/>
      <c r="N68" s="100"/>
      <c r="O68" s="100"/>
      <c r="P68" s="100"/>
      <c r="Q68" s="100"/>
      <c r="R68" s="100"/>
      <c r="S68" s="100"/>
      <c r="T68" s="100"/>
      <c r="U68" s="100"/>
    </row>
    <row r="69" spans="1:21" x14ac:dyDescent="0.25">
      <c r="A69" s="99">
        <v>58</v>
      </c>
      <c r="B69" s="100">
        <v>348.6</v>
      </c>
      <c r="C69" s="100">
        <v>178.7</v>
      </c>
      <c r="D69" s="100">
        <v>122.1</v>
      </c>
      <c r="E69" s="100">
        <v>93.9</v>
      </c>
      <c r="F69" s="100">
        <v>77</v>
      </c>
      <c r="G69" s="100">
        <v>65.8</v>
      </c>
      <c r="H69" s="100">
        <v>57.9</v>
      </c>
      <c r="I69" s="100">
        <v>52</v>
      </c>
      <c r="J69" s="100"/>
      <c r="K69" s="100"/>
      <c r="L69" s="100"/>
      <c r="M69" s="100"/>
      <c r="N69" s="100"/>
      <c r="O69" s="100"/>
      <c r="P69" s="100"/>
      <c r="Q69" s="100"/>
      <c r="R69" s="100"/>
      <c r="S69" s="100"/>
      <c r="T69" s="100"/>
      <c r="U69" s="100"/>
    </row>
    <row r="70" spans="1:21" x14ac:dyDescent="0.25">
      <c r="A70" s="99">
        <v>59</v>
      </c>
      <c r="B70" s="100">
        <v>353.9</v>
      </c>
      <c r="C70" s="100">
        <v>181.5</v>
      </c>
      <c r="D70" s="100">
        <v>124.1</v>
      </c>
      <c r="E70" s="100">
        <v>95.5</v>
      </c>
      <c r="F70" s="100">
        <v>78.400000000000006</v>
      </c>
      <c r="G70" s="100">
        <v>67</v>
      </c>
      <c r="H70" s="100">
        <v>59</v>
      </c>
      <c r="I70" s="100"/>
      <c r="J70" s="100"/>
      <c r="K70" s="100"/>
      <c r="L70" s="100"/>
      <c r="M70" s="100"/>
      <c r="N70" s="100"/>
      <c r="O70" s="100"/>
      <c r="P70" s="100"/>
      <c r="Q70" s="100"/>
      <c r="R70" s="100"/>
      <c r="S70" s="100"/>
      <c r="T70" s="100"/>
      <c r="U70" s="100"/>
    </row>
    <row r="71" spans="1:21" x14ac:dyDescent="0.25">
      <c r="A71" s="99">
        <v>60</v>
      </c>
      <c r="B71" s="100">
        <v>359.4</v>
      </c>
      <c r="C71" s="100">
        <v>184.4</v>
      </c>
      <c r="D71" s="100">
        <v>126.2</v>
      </c>
      <c r="E71" s="100">
        <v>97.1</v>
      </c>
      <c r="F71" s="100">
        <v>79.8</v>
      </c>
      <c r="G71" s="100">
        <v>68.3</v>
      </c>
      <c r="H71" s="100"/>
      <c r="I71" s="100"/>
      <c r="J71" s="100"/>
      <c r="K71" s="100"/>
      <c r="L71" s="100"/>
      <c r="M71" s="100"/>
      <c r="N71" s="100"/>
      <c r="O71" s="100"/>
      <c r="P71" s="100"/>
      <c r="Q71" s="100"/>
      <c r="R71" s="100"/>
      <c r="S71" s="100"/>
      <c r="T71" s="100"/>
      <c r="U71" s="100"/>
    </row>
    <row r="72" spans="1:21" x14ac:dyDescent="0.25">
      <c r="A72" s="99">
        <v>61</v>
      </c>
      <c r="B72" s="100">
        <v>365.3</v>
      </c>
      <c r="C72" s="100">
        <v>187.5</v>
      </c>
      <c r="D72" s="100">
        <v>128.4</v>
      </c>
      <c r="E72" s="100">
        <v>98.9</v>
      </c>
      <c r="F72" s="100">
        <v>81.3</v>
      </c>
      <c r="G72" s="100"/>
      <c r="H72" s="100"/>
      <c r="I72" s="100"/>
      <c r="J72" s="100"/>
      <c r="K72" s="100"/>
      <c r="L72" s="100"/>
      <c r="M72" s="100"/>
      <c r="N72" s="100"/>
      <c r="O72" s="100"/>
      <c r="P72" s="100"/>
      <c r="Q72" s="100"/>
      <c r="R72" s="100"/>
      <c r="S72" s="100"/>
      <c r="T72" s="100"/>
      <c r="U72" s="100"/>
    </row>
    <row r="73" spans="1:21" x14ac:dyDescent="0.25">
      <c r="A73" s="99">
        <v>62</v>
      </c>
      <c r="B73" s="100">
        <v>371.5</v>
      </c>
      <c r="C73" s="100">
        <v>190.8</v>
      </c>
      <c r="D73" s="100">
        <v>130.69999999999999</v>
      </c>
      <c r="E73" s="100">
        <v>100.8</v>
      </c>
      <c r="F73" s="100"/>
      <c r="G73" s="100"/>
      <c r="H73" s="100"/>
      <c r="I73" s="100"/>
      <c r="J73" s="100"/>
      <c r="K73" s="100"/>
      <c r="L73" s="100"/>
      <c r="M73" s="100"/>
      <c r="N73" s="100"/>
      <c r="O73" s="100"/>
      <c r="P73" s="100"/>
      <c r="Q73" s="100"/>
      <c r="R73" s="100"/>
      <c r="S73" s="100"/>
      <c r="T73" s="100"/>
      <c r="U73" s="100"/>
    </row>
    <row r="74" spans="1:21" x14ac:dyDescent="0.25">
      <c r="A74" s="99">
        <v>63</v>
      </c>
      <c r="B74" s="100">
        <v>378.1</v>
      </c>
      <c r="C74" s="100">
        <v>194.3</v>
      </c>
      <c r="D74" s="100">
        <v>133.19999999999999</v>
      </c>
      <c r="E74" s="100"/>
      <c r="F74" s="100"/>
      <c r="G74" s="100"/>
      <c r="H74" s="100"/>
      <c r="I74" s="100"/>
      <c r="J74" s="100"/>
      <c r="K74" s="100"/>
      <c r="L74" s="100"/>
      <c r="M74" s="100"/>
      <c r="N74" s="100"/>
      <c r="O74" s="100"/>
      <c r="P74" s="100"/>
      <c r="Q74" s="100"/>
      <c r="R74" s="100"/>
      <c r="S74" s="100"/>
      <c r="T74" s="100"/>
      <c r="U74" s="100"/>
    </row>
    <row r="75" spans="1:21" x14ac:dyDescent="0.25">
      <c r="A75" s="99">
        <v>64</v>
      </c>
      <c r="B75" s="100">
        <v>385.2</v>
      </c>
      <c r="C75" s="100">
        <v>198.1</v>
      </c>
      <c r="D75" s="100"/>
      <c r="E75" s="100"/>
      <c r="F75" s="100"/>
      <c r="G75" s="100"/>
      <c r="H75" s="100"/>
      <c r="I75" s="100"/>
      <c r="J75" s="100"/>
      <c r="K75" s="100"/>
      <c r="L75" s="100"/>
      <c r="M75" s="100"/>
      <c r="N75" s="100"/>
      <c r="O75" s="100"/>
      <c r="P75" s="100"/>
      <c r="Q75" s="100"/>
      <c r="R75" s="100"/>
      <c r="S75" s="100"/>
      <c r="T75" s="100"/>
      <c r="U75" s="100"/>
    </row>
    <row r="76" spans="1:21" x14ac:dyDescent="0.25">
      <c r="A76" s="99">
        <v>65</v>
      </c>
      <c r="B76" s="100">
        <v>392.7</v>
      </c>
      <c r="C76" s="100"/>
      <c r="D76" s="100"/>
      <c r="E76" s="100"/>
      <c r="F76" s="100"/>
      <c r="G76" s="100"/>
      <c r="H76" s="100"/>
      <c r="I76" s="100"/>
      <c r="J76" s="100"/>
      <c r="K76" s="100"/>
      <c r="L76" s="100"/>
      <c r="M76" s="100"/>
      <c r="N76" s="100"/>
      <c r="O76" s="100"/>
      <c r="P76" s="100"/>
      <c r="Q76" s="100"/>
      <c r="R76" s="100"/>
      <c r="S76" s="100"/>
      <c r="T76" s="100"/>
      <c r="U76" s="100"/>
    </row>
  </sheetData>
  <sheetProtection algorithmName="SHA-512" hashValue="Mc30K6naN9YQADwzMsbKNkj6iBXRn5n0shsDszeT8R48KAp6hc9FOMgo6ba0U/Z8XGe872sh0rswGSg4YP9gIw==" saltValue="fhLTeWl+6WkoXq2x1BurBQ==" spinCount="100000" sheet="1" objects="1" scenarios="1"/>
  <conditionalFormatting sqref="A6:A21">
    <cfRule type="expression" dxfId="377" priority="17" stopIfTrue="1">
      <formula>MOD(ROW(),2)=0</formula>
    </cfRule>
    <cfRule type="expression" dxfId="376" priority="18" stopIfTrue="1">
      <formula>MOD(ROW(),2)&lt;&gt;0</formula>
    </cfRule>
  </conditionalFormatting>
  <conditionalFormatting sqref="A26:A76">
    <cfRule type="expression" dxfId="375" priority="3" stopIfTrue="1">
      <formula>MOD(ROW(),2)=0</formula>
    </cfRule>
    <cfRule type="expression" dxfId="374" priority="4" stopIfTrue="1">
      <formula>MOD(ROW(),2)&lt;&gt;0</formula>
    </cfRule>
  </conditionalFormatting>
  <conditionalFormatting sqref="B17:B21">
    <cfRule type="expression" dxfId="373" priority="1" stopIfTrue="1">
      <formula>MOD(ROW(),2)=0</formula>
    </cfRule>
    <cfRule type="expression" dxfId="372" priority="2" stopIfTrue="1">
      <formula>MOD(ROW(),2)&lt;&gt;0</formula>
    </cfRule>
  </conditionalFormatting>
  <conditionalFormatting sqref="B6:U21">
    <cfRule type="expression" dxfId="371" priority="27" stopIfTrue="1">
      <formula>MOD(ROW(),2)=0</formula>
    </cfRule>
    <cfRule type="expression" dxfId="370" priority="28" stopIfTrue="1">
      <formula>MOD(ROW(),2)&lt;&gt;0</formula>
    </cfRule>
  </conditionalFormatting>
  <conditionalFormatting sqref="B26:U76">
    <cfRule type="expression" dxfId="369" priority="5" stopIfTrue="1">
      <formula>MOD(ROW(),2)=0</formula>
    </cfRule>
    <cfRule type="expression" dxfId="368" priority="6" stopIfTrue="1">
      <formula>MOD(ROW(),2)&lt;&gt;0</formula>
    </cfRule>
  </conditionalFormatting>
  <hyperlinks>
    <hyperlink ref="B24" location="Assumptions!A1" display="Assumptions" xr:uid="{9E309707-F00A-4EE1-87AF-EA422546E82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100"/>
  <dimension ref="A1:U77"/>
  <sheetViews>
    <sheetView showGridLines="0" zoomScale="85" zoomScaleNormal="85" workbookViewId="0">
      <selection activeCell="A4" sqref="A4"/>
    </sheetView>
  </sheetViews>
  <sheetFormatPr defaultColWidth="10" defaultRowHeight="12.5" x14ac:dyDescent="0.25"/>
  <cols>
    <col min="1" max="1" width="31.90625" style="25" customWidth="1"/>
    <col min="2" max="21" width="22.90625" style="25" customWidth="1"/>
    <col min="22" max="16384" width="10" style="25"/>
  </cols>
  <sheetData>
    <row r="1" spans="1:21" ht="20" x14ac:dyDescent="0.4">
      <c r="A1" s="36" t="s">
        <v>0</v>
      </c>
      <c r="B1" s="37"/>
      <c r="C1" s="37"/>
      <c r="D1" s="37"/>
      <c r="E1" s="37"/>
      <c r="F1" s="37"/>
      <c r="G1" s="37"/>
      <c r="H1" s="37"/>
      <c r="I1" s="37"/>
    </row>
    <row r="2" spans="1:21" ht="15.5" x14ac:dyDescent="0.35">
      <c r="A2" s="38" t="str">
        <f>IF(title="&gt; Enter workbook title here","Enter workbook title in Cover sheet",title)</f>
        <v>NHSPS_NI - Consolidated Factor Spreadsheet</v>
      </c>
      <c r="B2" s="39"/>
      <c r="C2" s="39"/>
      <c r="D2" s="39"/>
      <c r="E2" s="39"/>
      <c r="F2" s="39"/>
      <c r="G2" s="39"/>
      <c r="H2" s="39"/>
      <c r="I2" s="39"/>
    </row>
    <row r="3" spans="1:21" ht="15.5" x14ac:dyDescent="0.35">
      <c r="A3" s="40" t="str">
        <f>TABLE_FACTOR_TYPE_1&amp;" - x-"&amp;TABLE_SERIES_NUMBER_1</f>
        <v>Added pension - x-714</v>
      </c>
      <c r="B3" s="39"/>
      <c r="C3" s="39"/>
      <c r="D3" s="39"/>
      <c r="E3" s="39"/>
      <c r="F3" s="39"/>
      <c r="G3" s="39"/>
      <c r="H3" s="39"/>
      <c r="I3" s="39"/>
    </row>
    <row r="4" spans="1:21" x14ac:dyDescent="0.25">
      <c r="A4" s="41"/>
    </row>
    <row r="6" spans="1:21" ht="13" x14ac:dyDescent="0.3">
      <c r="A6" s="163" t="s">
        <v>276</v>
      </c>
      <c r="B6" s="107" t="s">
        <v>277</v>
      </c>
      <c r="C6" s="107"/>
      <c r="D6" s="107"/>
      <c r="E6" s="107"/>
      <c r="F6" s="107"/>
      <c r="G6" s="107"/>
      <c r="H6" s="107"/>
      <c r="I6" s="107"/>
      <c r="J6" s="107"/>
      <c r="K6" s="107"/>
      <c r="L6" s="107"/>
      <c r="M6" s="107"/>
      <c r="N6" s="107"/>
      <c r="O6" s="107"/>
      <c r="P6" s="107"/>
      <c r="Q6" s="107"/>
      <c r="R6" s="107"/>
      <c r="S6" s="107"/>
      <c r="T6" s="107"/>
      <c r="U6" s="107"/>
    </row>
    <row r="7" spans="1:21" x14ac:dyDescent="0.25">
      <c r="A7" s="69" t="s">
        <v>278</v>
      </c>
      <c r="B7" s="107" t="s">
        <v>310</v>
      </c>
      <c r="C7" s="107"/>
      <c r="D7" s="107"/>
      <c r="E7" s="107"/>
      <c r="F7" s="107"/>
      <c r="G7" s="107"/>
      <c r="H7" s="107"/>
      <c r="I7" s="107"/>
      <c r="J7" s="107"/>
      <c r="K7" s="107"/>
      <c r="L7" s="107"/>
      <c r="M7" s="107"/>
      <c r="N7" s="107"/>
      <c r="O7" s="107"/>
      <c r="P7" s="107"/>
      <c r="Q7" s="107"/>
      <c r="R7" s="107"/>
      <c r="S7" s="107"/>
      <c r="T7" s="107"/>
      <c r="U7" s="107"/>
    </row>
    <row r="8" spans="1:21" x14ac:dyDescent="0.25">
      <c r="A8" s="69" t="s">
        <v>280</v>
      </c>
      <c r="B8" s="107" t="s">
        <v>513</v>
      </c>
      <c r="C8" s="107"/>
      <c r="D8" s="107"/>
      <c r="E8" s="107"/>
      <c r="F8" s="107"/>
      <c r="G8" s="107"/>
      <c r="H8" s="107"/>
      <c r="I8" s="107"/>
      <c r="J8" s="107"/>
      <c r="K8" s="107"/>
      <c r="L8" s="107"/>
      <c r="M8" s="107"/>
      <c r="N8" s="107"/>
      <c r="O8" s="107"/>
      <c r="P8" s="107"/>
      <c r="Q8" s="107"/>
      <c r="R8" s="107"/>
      <c r="S8" s="107"/>
      <c r="T8" s="107"/>
      <c r="U8" s="107"/>
    </row>
    <row r="9" spans="1:21" x14ac:dyDescent="0.25">
      <c r="A9" s="69" t="s">
        <v>282</v>
      </c>
      <c r="B9" s="107" t="s">
        <v>514</v>
      </c>
      <c r="C9" s="107"/>
      <c r="D9" s="107"/>
      <c r="E9" s="107"/>
      <c r="F9" s="107"/>
      <c r="G9" s="107"/>
      <c r="H9" s="107"/>
      <c r="I9" s="107"/>
      <c r="J9" s="107"/>
      <c r="K9" s="107"/>
      <c r="L9" s="107"/>
      <c r="M9" s="107"/>
      <c r="N9" s="107"/>
      <c r="O9" s="107"/>
      <c r="P9" s="107"/>
      <c r="Q9" s="107"/>
      <c r="R9" s="107"/>
      <c r="S9" s="107"/>
      <c r="T9" s="107"/>
      <c r="U9" s="107"/>
    </row>
    <row r="10" spans="1:21" x14ac:dyDescent="0.25">
      <c r="A10" s="69" t="s">
        <v>6</v>
      </c>
      <c r="B10" s="107" t="s">
        <v>550</v>
      </c>
      <c r="C10" s="107"/>
      <c r="D10" s="107"/>
      <c r="E10" s="107"/>
      <c r="F10" s="107"/>
      <c r="G10" s="107"/>
      <c r="H10" s="107"/>
      <c r="I10" s="107"/>
      <c r="J10" s="107"/>
      <c r="K10" s="107"/>
      <c r="L10" s="107"/>
      <c r="M10" s="107"/>
      <c r="N10" s="107"/>
      <c r="O10" s="107"/>
      <c r="P10" s="107"/>
      <c r="Q10" s="107"/>
      <c r="R10" s="107"/>
      <c r="S10" s="107"/>
      <c r="T10" s="107"/>
      <c r="U10" s="107"/>
    </row>
    <row r="11" spans="1:21" x14ac:dyDescent="0.25">
      <c r="A11" s="69" t="s">
        <v>285</v>
      </c>
      <c r="B11" s="107" t="s">
        <v>359</v>
      </c>
      <c r="C11" s="107"/>
      <c r="D11" s="107"/>
      <c r="E11" s="107"/>
      <c r="F11" s="107"/>
      <c r="G11" s="107"/>
      <c r="H11" s="107"/>
      <c r="I11" s="107"/>
      <c r="J11" s="107"/>
      <c r="K11" s="107"/>
      <c r="L11" s="107"/>
      <c r="M11" s="107"/>
      <c r="N11" s="107"/>
      <c r="O11" s="107"/>
      <c r="P11" s="107"/>
      <c r="Q11" s="107"/>
      <c r="R11" s="107"/>
      <c r="S11" s="107"/>
      <c r="T11" s="107"/>
      <c r="U11" s="107"/>
    </row>
    <row r="12" spans="1:21" x14ac:dyDescent="0.25">
      <c r="A12" s="69" t="s">
        <v>287</v>
      </c>
      <c r="B12" s="107" t="s">
        <v>520</v>
      </c>
      <c r="C12" s="107"/>
      <c r="D12" s="107"/>
      <c r="E12" s="107"/>
      <c r="F12" s="107"/>
      <c r="G12" s="107"/>
      <c r="H12" s="107"/>
      <c r="I12" s="107"/>
      <c r="J12" s="107"/>
      <c r="K12" s="107"/>
      <c r="L12" s="107"/>
      <c r="M12" s="107"/>
      <c r="N12" s="107"/>
      <c r="O12" s="107"/>
      <c r="P12" s="107"/>
      <c r="Q12" s="107"/>
      <c r="R12" s="107"/>
      <c r="S12" s="107"/>
      <c r="T12" s="107"/>
      <c r="U12" s="107"/>
    </row>
    <row r="13" spans="1:21" x14ac:dyDescent="0.25">
      <c r="A13" s="69" t="s">
        <v>289</v>
      </c>
      <c r="B13" s="107">
        <v>0</v>
      </c>
      <c r="C13" s="107"/>
      <c r="D13" s="107"/>
      <c r="E13" s="107"/>
      <c r="F13" s="107"/>
      <c r="G13" s="107"/>
      <c r="H13" s="107"/>
      <c r="I13" s="107"/>
      <c r="J13" s="107"/>
      <c r="K13" s="107"/>
      <c r="L13" s="107"/>
      <c r="M13" s="107"/>
      <c r="N13" s="107"/>
      <c r="O13" s="107"/>
      <c r="P13" s="107"/>
      <c r="Q13" s="107"/>
      <c r="R13" s="107"/>
      <c r="S13" s="107"/>
      <c r="T13" s="107"/>
      <c r="U13" s="107"/>
    </row>
    <row r="14" spans="1:21" x14ac:dyDescent="0.25">
      <c r="A14" s="69" t="s">
        <v>291</v>
      </c>
      <c r="B14" s="107">
        <v>714</v>
      </c>
      <c r="C14" s="107"/>
      <c r="D14" s="107"/>
      <c r="E14" s="107"/>
      <c r="F14" s="107"/>
      <c r="G14" s="107"/>
      <c r="H14" s="107"/>
      <c r="I14" s="107"/>
      <c r="J14" s="107"/>
      <c r="K14" s="107"/>
      <c r="L14" s="107"/>
      <c r="M14" s="107"/>
      <c r="N14" s="107"/>
      <c r="O14" s="107"/>
      <c r="P14" s="107"/>
      <c r="Q14" s="107"/>
      <c r="R14" s="107"/>
      <c r="S14" s="107"/>
      <c r="T14" s="107"/>
      <c r="U14" s="107"/>
    </row>
    <row r="15" spans="1:21" x14ac:dyDescent="0.25">
      <c r="A15" s="69" t="s">
        <v>293</v>
      </c>
      <c r="B15" s="107" t="s">
        <v>551</v>
      </c>
      <c r="C15" s="107"/>
      <c r="D15" s="107"/>
      <c r="E15" s="107"/>
      <c r="F15" s="107"/>
      <c r="G15" s="107"/>
      <c r="H15" s="107"/>
      <c r="I15" s="107"/>
      <c r="J15" s="107"/>
      <c r="K15" s="107"/>
      <c r="L15" s="107"/>
      <c r="M15" s="107"/>
      <c r="N15" s="107"/>
      <c r="O15" s="107"/>
      <c r="P15" s="107"/>
      <c r="Q15" s="107"/>
      <c r="R15" s="107"/>
      <c r="S15" s="107"/>
      <c r="T15" s="107"/>
      <c r="U15" s="107"/>
    </row>
    <row r="16" spans="1:21" x14ac:dyDescent="0.25">
      <c r="A16" s="69" t="s">
        <v>295</v>
      </c>
      <c r="B16" s="107" t="s">
        <v>552</v>
      </c>
      <c r="C16" s="107"/>
      <c r="D16" s="107"/>
      <c r="E16" s="107"/>
      <c r="F16" s="107"/>
      <c r="G16" s="107"/>
      <c r="H16" s="107"/>
      <c r="I16" s="107"/>
      <c r="J16" s="107"/>
      <c r="K16" s="107"/>
      <c r="L16" s="107"/>
      <c r="M16" s="107"/>
      <c r="N16" s="107"/>
      <c r="O16" s="107"/>
      <c r="P16" s="107"/>
      <c r="Q16" s="107"/>
      <c r="R16" s="107"/>
      <c r="S16" s="107"/>
      <c r="T16" s="107"/>
      <c r="U16" s="107"/>
    </row>
    <row r="17" spans="1:21" x14ac:dyDescent="0.25">
      <c r="A17" s="69" t="s">
        <v>725</v>
      </c>
      <c r="B17" s="107"/>
      <c r="C17" s="107"/>
      <c r="D17" s="107"/>
      <c r="E17" s="107"/>
      <c r="F17" s="107"/>
      <c r="G17" s="107"/>
      <c r="H17" s="107"/>
      <c r="I17" s="107"/>
      <c r="J17" s="107"/>
      <c r="K17" s="107"/>
      <c r="L17" s="107"/>
      <c r="M17" s="107"/>
      <c r="N17" s="107"/>
      <c r="O17" s="107"/>
      <c r="P17" s="107"/>
      <c r="Q17" s="107"/>
      <c r="R17" s="107"/>
      <c r="S17" s="107"/>
      <c r="T17" s="107"/>
      <c r="U17" s="107"/>
    </row>
    <row r="18" spans="1:21" x14ac:dyDescent="0.25">
      <c r="A18" s="85" t="s">
        <v>299</v>
      </c>
      <c r="B18" s="164">
        <v>45202</v>
      </c>
      <c r="C18" s="107"/>
      <c r="D18" s="107"/>
      <c r="E18" s="107"/>
      <c r="F18" s="107"/>
      <c r="G18" s="107"/>
      <c r="H18" s="107"/>
      <c r="I18" s="107"/>
      <c r="J18" s="107"/>
      <c r="K18" s="107"/>
      <c r="L18" s="107"/>
      <c r="M18" s="107"/>
      <c r="N18" s="107"/>
      <c r="O18" s="107"/>
      <c r="P18" s="107"/>
      <c r="Q18" s="107"/>
      <c r="R18" s="107"/>
      <c r="S18" s="107"/>
      <c r="T18" s="107"/>
      <c r="U18" s="107"/>
    </row>
    <row r="19" spans="1:21" x14ac:dyDescent="0.25">
      <c r="A19" s="85" t="s">
        <v>301</v>
      </c>
      <c r="B19" s="164">
        <v>45202</v>
      </c>
      <c r="C19" s="107"/>
      <c r="D19" s="107"/>
      <c r="E19" s="107"/>
      <c r="F19" s="107"/>
      <c r="G19" s="107"/>
      <c r="H19" s="107"/>
      <c r="I19" s="107"/>
      <c r="J19" s="107"/>
      <c r="K19" s="107"/>
      <c r="L19" s="107"/>
      <c r="M19" s="107"/>
      <c r="N19" s="107"/>
      <c r="O19" s="107"/>
      <c r="P19" s="107"/>
      <c r="Q19" s="107"/>
      <c r="R19" s="107"/>
      <c r="S19" s="107"/>
      <c r="T19" s="107"/>
      <c r="U19" s="107"/>
    </row>
    <row r="20" spans="1:21" x14ac:dyDescent="0.25">
      <c r="A20" s="85" t="s">
        <v>303</v>
      </c>
      <c r="B20" s="107" t="s">
        <v>317</v>
      </c>
      <c r="C20" s="107"/>
      <c r="D20" s="107"/>
      <c r="E20" s="107"/>
      <c r="F20" s="107"/>
      <c r="G20" s="107"/>
      <c r="H20" s="107"/>
      <c r="I20" s="107"/>
      <c r="J20" s="107"/>
      <c r="K20" s="107"/>
      <c r="L20" s="107"/>
      <c r="M20" s="107"/>
      <c r="N20" s="107"/>
      <c r="O20" s="107"/>
      <c r="P20" s="107"/>
      <c r="Q20" s="107"/>
      <c r="R20" s="107"/>
      <c r="S20" s="107"/>
      <c r="T20" s="107"/>
      <c r="U20" s="107"/>
    </row>
    <row r="21" spans="1:21" x14ac:dyDescent="0.25">
      <c r="A21" s="85" t="s">
        <v>309</v>
      </c>
      <c r="B21" s="107" t="s">
        <v>318</v>
      </c>
      <c r="C21" s="107"/>
      <c r="D21" s="107"/>
      <c r="E21" s="107"/>
      <c r="F21" s="107"/>
      <c r="G21" s="107"/>
      <c r="H21" s="107"/>
      <c r="I21" s="107"/>
      <c r="J21" s="107"/>
      <c r="K21" s="107"/>
      <c r="L21" s="107"/>
      <c r="M21" s="107"/>
      <c r="N21" s="107"/>
      <c r="O21" s="107"/>
      <c r="P21" s="107"/>
      <c r="Q21" s="107"/>
      <c r="R21" s="107"/>
      <c r="S21" s="107"/>
      <c r="T21" s="107"/>
      <c r="U21" s="107"/>
    </row>
    <row r="23" spans="1:21" x14ac:dyDescent="0.25">
      <c r="B23" s="103" t="str">
        <f>HYPERLINK("#'Factor List'!A1","Back to Factor List")</f>
        <v>Back to Factor List</v>
      </c>
    </row>
    <row r="24" spans="1:21" x14ac:dyDescent="0.25">
      <c r="B24" s="103" t="s">
        <v>15</v>
      </c>
    </row>
    <row r="26" spans="1:21" ht="13" x14ac:dyDescent="0.25">
      <c r="A26" s="98" t="s">
        <v>408</v>
      </c>
      <c r="B26" s="98" t="s">
        <v>778</v>
      </c>
      <c r="C26" s="98" t="s">
        <v>779</v>
      </c>
      <c r="D26" s="98" t="s">
        <v>780</v>
      </c>
      <c r="E26" s="98" t="s">
        <v>781</v>
      </c>
      <c r="F26" s="98" t="s">
        <v>782</v>
      </c>
      <c r="G26" s="98" t="s">
        <v>783</v>
      </c>
      <c r="H26" s="98" t="s">
        <v>784</v>
      </c>
      <c r="I26" s="98" t="s">
        <v>785</v>
      </c>
      <c r="J26" s="98" t="s">
        <v>786</v>
      </c>
      <c r="K26" s="98" t="s">
        <v>787</v>
      </c>
      <c r="L26" s="98" t="s">
        <v>788</v>
      </c>
      <c r="M26" s="98" t="s">
        <v>789</v>
      </c>
      <c r="N26" s="98" t="s">
        <v>790</v>
      </c>
      <c r="O26" s="98" t="s">
        <v>791</v>
      </c>
      <c r="P26" s="98" t="s">
        <v>792</v>
      </c>
      <c r="Q26" s="98" t="s">
        <v>793</v>
      </c>
      <c r="R26" s="98" t="s">
        <v>794</v>
      </c>
      <c r="S26" s="98" t="s">
        <v>795</v>
      </c>
      <c r="T26" s="98" t="s">
        <v>796</v>
      </c>
      <c r="U26" s="98" t="s">
        <v>797</v>
      </c>
    </row>
    <row r="27" spans="1:21" x14ac:dyDescent="0.25">
      <c r="A27" s="99">
        <v>16</v>
      </c>
      <c r="B27" s="100">
        <v>187.1</v>
      </c>
      <c r="C27" s="100">
        <v>95.3</v>
      </c>
      <c r="D27" s="100">
        <v>64.7</v>
      </c>
      <c r="E27" s="100">
        <v>49.4</v>
      </c>
      <c r="F27" s="100">
        <v>40.200000000000003</v>
      </c>
      <c r="G27" s="100">
        <v>34.1</v>
      </c>
      <c r="H27" s="100">
        <v>29.8</v>
      </c>
      <c r="I27" s="100">
        <v>26.5</v>
      </c>
      <c r="J27" s="100">
        <v>24</v>
      </c>
      <c r="K27" s="100">
        <v>22</v>
      </c>
      <c r="L27" s="100">
        <v>20.3</v>
      </c>
      <c r="M27" s="100">
        <v>19</v>
      </c>
      <c r="N27" s="100">
        <v>17.8</v>
      </c>
      <c r="O27" s="100">
        <v>16.8</v>
      </c>
      <c r="P27" s="100">
        <v>16</v>
      </c>
      <c r="Q27" s="100">
        <v>15.2</v>
      </c>
      <c r="R27" s="100">
        <v>14.6</v>
      </c>
      <c r="S27" s="100">
        <v>14</v>
      </c>
      <c r="T27" s="100">
        <v>13.5</v>
      </c>
      <c r="U27" s="100">
        <v>13</v>
      </c>
    </row>
    <row r="28" spans="1:21" x14ac:dyDescent="0.25">
      <c r="A28" s="99">
        <v>17</v>
      </c>
      <c r="B28" s="100">
        <v>189.8</v>
      </c>
      <c r="C28" s="100">
        <v>96.7</v>
      </c>
      <c r="D28" s="100">
        <v>65.599999999999994</v>
      </c>
      <c r="E28" s="100">
        <v>50.1</v>
      </c>
      <c r="F28" s="100">
        <v>40.799999999999997</v>
      </c>
      <c r="G28" s="100">
        <v>34.6</v>
      </c>
      <c r="H28" s="100">
        <v>30.2</v>
      </c>
      <c r="I28" s="100">
        <v>26.9</v>
      </c>
      <c r="J28" s="100">
        <v>24.3</v>
      </c>
      <c r="K28" s="100">
        <v>22.3</v>
      </c>
      <c r="L28" s="100">
        <v>20.6</v>
      </c>
      <c r="M28" s="100">
        <v>19.2</v>
      </c>
      <c r="N28" s="100">
        <v>18.100000000000001</v>
      </c>
      <c r="O28" s="100">
        <v>17.100000000000001</v>
      </c>
      <c r="P28" s="100">
        <v>16.2</v>
      </c>
      <c r="Q28" s="100">
        <v>15.4</v>
      </c>
      <c r="R28" s="100">
        <v>14.8</v>
      </c>
      <c r="S28" s="100">
        <v>14.2</v>
      </c>
      <c r="T28" s="100">
        <v>13.7</v>
      </c>
      <c r="U28" s="100">
        <v>13.2</v>
      </c>
    </row>
    <row r="29" spans="1:21" x14ac:dyDescent="0.25">
      <c r="A29" s="99">
        <v>18</v>
      </c>
      <c r="B29" s="100">
        <v>192.6</v>
      </c>
      <c r="C29" s="100">
        <v>98.1</v>
      </c>
      <c r="D29" s="100">
        <v>66.599999999999994</v>
      </c>
      <c r="E29" s="100">
        <v>50.8</v>
      </c>
      <c r="F29" s="100">
        <v>41.4</v>
      </c>
      <c r="G29" s="100">
        <v>35.1</v>
      </c>
      <c r="H29" s="100">
        <v>30.7</v>
      </c>
      <c r="I29" s="100">
        <v>27.3</v>
      </c>
      <c r="J29" s="100">
        <v>24.7</v>
      </c>
      <c r="K29" s="100">
        <v>22.6</v>
      </c>
      <c r="L29" s="100">
        <v>20.9</v>
      </c>
      <c r="M29" s="100">
        <v>19.5</v>
      </c>
      <c r="N29" s="100">
        <v>18.3</v>
      </c>
      <c r="O29" s="100">
        <v>17.3</v>
      </c>
      <c r="P29" s="100">
        <v>16.399999999999999</v>
      </c>
      <c r="Q29" s="100">
        <v>15.7</v>
      </c>
      <c r="R29" s="100">
        <v>15</v>
      </c>
      <c r="S29" s="100">
        <v>14.4</v>
      </c>
      <c r="T29" s="100">
        <v>13.9</v>
      </c>
      <c r="U29" s="100">
        <v>13.4</v>
      </c>
    </row>
    <row r="30" spans="1:21" x14ac:dyDescent="0.25">
      <c r="A30" s="99">
        <v>19</v>
      </c>
      <c r="B30" s="100">
        <v>195.3</v>
      </c>
      <c r="C30" s="100">
        <v>99.5</v>
      </c>
      <c r="D30" s="100">
        <v>67.5</v>
      </c>
      <c r="E30" s="100">
        <v>51.6</v>
      </c>
      <c r="F30" s="100">
        <v>42</v>
      </c>
      <c r="G30" s="100">
        <v>35.6</v>
      </c>
      <c r="H30" s="100">
        <v>31.1</v>
      </c>
      <c r="I30" s="100">
        <v>27.7</v>
      </c>
      <c r="J30" s="100">
        <v>25.1</v>
      </c>
      <c r="K30" s="100">
        <v>23</v>
      </c>
      <c r="L30" s="100">
        <v>21.2</v>
      </c>
      <c r="M30" s="100">
        <v>19.8</v>
      </c>
      <c r="N30" s="100">
        <v>18.600000000000001</v>
      </c>
      <c r="O30" s="100">
        <v>17.600000000000001</v>
      </c>
      <c r="P30" s="100">
        <v>16.7</v>
      </c>
      <c r="Q30" s="100">
        <v>15.9</v>
      </c>
      <c r="R30" s="100">
        <v>15.2</v>
      </c>
      <c r="S30" s="100">
        <v>14.6</v>
      </c>
      <c r="T30" s="100">
        <v>14.1</v>
      </c>
      <c r="U30" s="100">
        <v>13.6</v>
      </c>
    </row>
    <row r="31" spans="1:21" x14ac:dyDescent="0.25">
      <c r="A31" s="99">
        <v>20</v>
      </c>
      <c r="B31" s="100">
        <v>198.1</v>
      </c>
      <c r="C31" s="100">
        <v>100.9</v>
      </c>
      <c r="D31" s="100">
        <v>68.5</v>
      </c>
      <c r="E31" s="100">
        <v>52.3</v>
      </c>
      <c r="F31" s="100">
        <v>42.6</v>
      </c>
      <c r="G31" s="100">
        <v>36.200000000000003</v>
      </c>
      <c r="H31" s="100">
        <v>31.6</v>
      </c>
      <c r="I31" s="100">
        <v>28.1</v>
      </c>
      <c r="J31" s="100">
        <v>25.4</v>
      </c>
      <c r="K31" s="100">
        <v>23.3</v>
      </c>
      <c r="L31" s="100">
        <v>21.5</v>
      </c>
      <c r="M31" s="100">
        <v>20.100000000000001</v>
      </c>
      <c r="N31" s="100">
        <v>18.899999999999999</v>
      </c>
      <c r="O31" s="100">
        <v>17.8</v>
      </c>
      <c r="P31" s="100">
        <v>16.899999999999999</v>
      </c>
      <c r="Q31" s="100">
        <v>16.100000000000001</v>
      </c>
      <c r="R31" s="100">
        <v>15.4</v>
      </c>
      <c r="S31" s="100">
        <v>14.8</v>
      </c>
      <c r="T31" s="100">
        <v>14.3</v>
      </c>
      <c r="U31" s="100">
        <v>13.8</v>
      </c>
    </row>
    <row r="32" spans="1:21" x14ac:dyDescent="0.25">
      <c r="A32" s="99">
        <v>21</v>
      </c>
      <c r="B32" s="100">
        <v>200.9</v>
      </c>
      <c r="C32" s="100">
        <v>102.3</v>
      </c>
      <c r="D32" s="100">
        <v>69.5</v>
      </c>
      <c r="E32" s="100">
        <v>53.1</v>
      </c>
      <c r="F32" s="100">
        <v>43.2</v>
      </c>
      <c r="G32" s="100">
        <v>36.700000000000003</v>
      </c>
      <c r="H32" s="100">
        <v>32</v>
      </c>
      <c r="I32" s="100">
        <v>28.5</v>
      </c>
      <c r="J32" s="100">
        <v>25.8</v>
      </c>
      <c r="K32" s="100">
        <v>23.6</v>
      </c>
      <c r="L32" s="100">
        <v>21.8</v>
      </c>
      <c r="M32" s="100">
        <v>20.399999999999999</v>
      </c>
      <c r="N32" s="100">
        <v>19.100000000000001</v>
      </c>
      <c r="O32" s="100">
        <v>18.100000000000001</v>
      </c>
      <c r="P32" s="100">
        <v>17.2</v>
      </c>
      <c r="Q32" s="100">
        <v>16.399999999999999</v>
      </c>
      <c r="R32" s="100">
        <v>15.7</v>
      </c>
      <c r="S32" s="100">
        <v>15</v>
      </c>
      <c r="T32" s="100">
        <v>14.5</v>
      </c>
      <c r="U32" s="100">
        <v>14</v>
      </c>
    </row>
    <row r="33" spans="1:21" x14ac:dyDescent="0.25">
      <c r="A33" s="99">
        <v>22</v>
      </c>
      <c r="B33" s="100">
        <v>203.8</v>
      </c>
      <c r="C33" s="100">
        <v>103.8</v>
      </c>
      <c r="D33" s="100">
        <v>70.5</v>
      </c>
      <c r="E33" s="100">
        <v>53.8</v>
      </c>
      <c r="F33" s="100">
        <v>43.8</v>
      </c>
      <c r="G33" s="100">
        <v>37.200000000000003</v>
      </c>
      <c r="H33" s="100">
        <v>32.5</v>
      </c>
      <c r="I33" s="100">
        <v>28.9</v>
      </c>
      <c r="J33" s="100">
        <v>26.2</v>
      </c>
      <c r="K33" s="100">
        <v>24</v>
      </c>
      <c r="L33" s="100">
        <v>22.2</v>
      </c>
      <c r="M33" s="100">
        <v>20.7</v>
      </c>
      <c r="N33" s="100">
        <v>19.399999999999999</v>
      </c>
      <c r="O33" s="100">
        <v>18.3</v>
      </c>
      <c r="P33" s="100">
        <v>17.399999999999999</v>
      </c>
      <c r="Q33" s="100">
        <v>16.600000000000001</v>
      </c>
      <c r="R33" s="100">
        <v>15.9</v>
      </c>
      <c r="S33" s="100">
        <v>15.3</v>
      </c>
      <c r="T33" s="100">
        <v>14.7</v>
      </c>
      <c r="U33" s="100">
        <v>14.2</v>
      </c>
    </row>
    <row r="34" spans="1:21" x14ac:dyDescent="0.25">
      <c r="A34" s="99">
        <v>23</v>
      </c>
      <c r="B34" s="100">
        <v>206.6</v>
      </c>
      <c r="C34" s="100">
        <v>105.2</v>
      </c>
      <c r="D34" s="100">
        <v>71.5</v>
      </c>
      <c r="E34" s="100">
        <v>54.6</v>
      </c>
      <c r="F34" s="100">
        <v>44.5</v>
      </c>
      <c r="G34" s="100">
        <v>37.700000000000003</v>
      </c>
      <c r="H34" s="100">
        <v>32.9</v>
      </c>
      <c r="I34" s="100">
        <v>29.3</v>
      </c>
      <c r="J34" s="100">
        <v>26.5</v>
      </c>
      <c r="K34" s="100">
        <v>24.3</v>
      </c>
      <c r="L34" s="100">
        <v>22.5</v>
      </c>
      <c r="M34" s="100">
        <v>21</v>
      </c>
      <c r="N34" s="100">
        <v>19.7</v>
      </c>
      <c r="O34" s="100">
        <v>18.600000000000001</v>
      </c>
      <c r="P34" s="100">
        <v>17.7</v>
      </c>
      <c r="Q34" s="100">
        <v>16.8</v>
      </c>
      <c r="R34" s="100">
        <v>16.100000000000001</v>
      </c>
      <c r="S34" s="100">
        <v>15.5</v>
      </c>
      <c r="T34" s="100">
        <v>14.9</v>
      </c>
      <c r="U34" s="100">
        <v>14.4</v>
      </c>
    </row>
    <row r="35" spans="1:21" x14ac:dyDescent="0.25">
      <c r="A35" s="99">
        <v>24</v>
      </c>
      <c r="B35" s="100">
        <v>209.6</v>
      </c>
      <c r="C35" s="100">
        <v>106.7</v>
      </c>
      <c r="D35" s="100">
        <v>72.5</v>
      </c>
      <c r="E35" s="100">
        <v>55.3</v>
      </c>
      <c r="F35" s="100">
        <v>45.1</v>
      </c>
      <c r="G35" s="100">
        <v>38.299999999999997</v>
      </c>
      <c r="H35" s="100">
        <v>33.4</v>
      </c>
      <c r="I35" s="100">
        <v>29.7</v>
      </c>
      <c r="J35" s="100">
        <v>26.9</v>
      </c>
      <c r="K35" s="100">
        <v>24.6</v>
      </c>
      <c r="L35" s="100">
        <v>22.8</v>
      </c>
      <c r="M35" s="100">
        <v>21.3</v>
      </c>
      <c r="N35" s="100">
        <v>20</v>
      </c>
      <c r="O35" s="100">
        <v>18.899999999999999</v>
      </c>
      <c r="P35" s="100">
        <v>17.899999999999999</v>
      </c>
      <c r="Q35" s="100">
        <v>17.100000000000001</v>
      </c>
      <c r="R35" s="100">
        <v>16.3</v>
      </c>
      <c r="S35" s="100">
        <v>15.7</v>
      </c>
      <c r="T35" s="100">
        <v>15.1</v>
      </c>
      <c r="U35" s="100">
        <v>14.6</v>
      </c>
    </row>
    <row r="36" spans="1:21" x14ac:dyDescent="0.25">
      <c r="A36" s="99">
        <v>25</v>
      </c>
      <c r="B36" s="100">
        <v>212.5</v>
      </c>
      <c r="C36" s="100">
        <v>108.2</v>
      </c>
      <c r="D36" s="100">
        <v>73.5</v>
      </c>
      <c r="E36" s="100">
        <v>56.1</v>
      </c>
      <c r="F36" s="100">
        <v>45.7</v>
      </c>
      <c r="G36" s="100">
        <v>38.799999999999997</v>
      </c>
      <c r="H36" s="100">
        <v>33.9</v>
      </c>
      <c r="I36" s="100">
        <v>30.2</v>
      </c>
      <c r="J36" s="100">
        <v>27.3</v>
      </c>
      <c r="K36" s="100">
        <v>25</v>
      </c>
      <c r="L36" s="100">
        <v>23.1</v>
      </c>
      <c r="M36" s="100">
        <v>21.6</v>
      </c>
      <c r="N36" s="100">
        <v>20.3</v>
      </c>
      <c r="O36" s="100">
        <v>19.100000000000001</v>
      </c>
      <c r="P36" s="100">
        <v>18.2</v>
      </c>
      <c r="Q36" s="100">
        <v>17.3</v>
      </c>
      <c r="R36" s="100">
        <v>16.600000000000001</v>
      </c>
      <c r="S36" s="100">
        <v>15.9</v>
      </c>
      <c r="T36" s="100">
        <v>15.3</v>
      </c>
      <c r="U36" s="100">
        <v>14.8</v>
      </c>
    </row>
    <row r="37" spans="1:21" x14ac:dyDescent="0.25">
      <c r="A37" s="99">
        <v>26</v>
      </c>
      <c r="B37" s="100">
        <v>215.5</v>
      </c>
      <c r="C37" s="100">
        <v>109.7</v>
      </c>
      <c r="D37" s="100">
        <v>74.5</v>
      </c>
      <c r="E37" s="100">
        <v>56.9</v>
      </c>
      <c r="F37" s="100">
        <v>46.4</v>
      </c>
      <c r="G37" s="100">
        <v>39.299999999999997</v>
      </c>
      <c r="H37" s="100">
        <v>34.299999999999997</v>
      </c>
      <c r="I37" s="100">
        <v>30.6</v>
      </c>
      <c r="J37" s="100">
        <v>27.7</v>
      </c>
      <c r="K37" s="100">
        <v>25.3</v>
      </c>
      <c r="L37" s="100">
        <v>23.4</v>
      </c>
      <c r="M37" s="100">
        <v>21.9</v>
      </c>
      <c r="N37" s="100">
        <v>20.5</v>
      </c>
      <c r="O37" s="100">
        <v>19.399999999999999</v>
      </c>
      <c r="P37" s="100">
        <v>18.399999999999999</v>
      </c>
      <c r="Q37" s="100">
        <v>17.600000000000001</v>
      </c>
      <c r="R37" s="100">
        <v>16.8</v>
      </c>
      <c r="S37" s="100">
        <v>16.2</v>
      </c>
      <c r="T37" s="100">
        <v>15.6</v>
      </c>
      <c r="U37" s="100">
        <v>15</v>
      </c>
    </row>
    <row r="38" spans="1:21" x14ac:dyDescent="0.25">
      <c r="A38" s="99">
        <v>27</v>
      </c>
      <c r="B38" s="100">
        <v>218.5</v>
      </c>
      <c r="C38" s="100">
        <v>111.3</v>
      </c>
      <c r="D38" s="100">
        <v>75.599999999999994</v>
      </c>
      <c r="E38" s="100">
        <v>57.7</v>
      </c>
      <c r="F38" s="100">
        <v>47</v>
      </c>
      <c r="G38" s="100">
        <v>39.9</v>
      </c>
      <c r="H38" s="100">
        <v>34.799999999999997</v>
      </c>
      <c r="I38" s="100">
        <v>31</v>
      </c>
      <c r="J38" s="100">
        <v>28.1</v>
      </c>
      <c r="K38" s="100">
        <v>25.7</v>
      </c>
      <c r="L38" s="100">
        <v>23.8</v>
      </c>
      <c r="M38" s="100">
        <v>22.2</v>
      </c>
      <c r="N38" s="100">
        <v>20.8</v>
      </c>
      <c r="O38" s="100">
        <v>19.7</v>
      </c>
      <c r="P38" s="100">
        <v>18.7</v>
      </c>
      <c r="Q38" s="100">
        <v>17.8</v>
      </c>
      <c r="R38" s="100">
        <v>17.100000000000001</v>
      </c>
      <c r="S38" s="100">
        <v>16.399999999999999</v>
      </c>
      <c r="T38" s="100">
        <v>15.8</v>
      </c>
      <c r="U38" s="100">
        <v>15.3</v>
      </c>
    </row>
    <row r="39" spans="1:21" x14ac:dyDescent="0.25">
      <c r="A39" s="99">
        <v>28</v>
      </c>
      <c r="B39" s="100">
        <v>221.5</v>
      </c>
      <c r="C39" s="100">
        <v>112.8</v>
      </c>
      <c r="D39" s="100">
        <v>76.599999999999994</v>
      </c>
      <c r="E39" s="100">
        <v>58.5</v>
      </c>
      <c r="F39" s="100">
        <v>47.7</v>
      </c>
      <c r="G39" s="100">
        <v>40.5</v>
      </c>
      <c r="H39" s="100">
        <v>35.299999999999997</v>
      </c>
      <c r="I39" s="100">
        <v>31.5</v>
      </c>
      <c r="J39" s="100">
        <v>28.5</v>
      </c>
      <c r="K39" s="100">
        <v>26.1</v>
      </c>
      <c r="L39" s="100">
        <v>24.1</v>
      </c>
      <c r="M39" s="100">
        <v>22.5</v>
      </c>
      <c r="N39" s="100">
        <v>21.1</v>
      </c>
      <c r="O39" s="100">
        <v>20</v>
      </c>
      <c r="P39" s="100">
        <v>19</v>
      </c>
      <c r="Q39" s="100">
        <v>18.100000000000001</v>
      </c>
      <c r="R39" s="100">
        <v>17.3</v>
      </c>
      <c r="S39" s="100">
        <v>16.600000000000001</v>
      </c>
      <c r="T39" s="100">
        <v>16</v>
      </c>
      <c r="U39" s="100">
        <v>15.5</v>
      </c>
    </row>
    <row r="40" spans="1:21" x14ac:dyDescent="0.25">
      <c r="A40" s="99">
        <v>29</v>
      </c>
      <c r="B40" s="100">
        <v>224.6</v>
      </c>
      <c r="C40" s="100">
        <v>114.4</v>
      </c>
      <c r="D40" s="100">
        <v>77.7</v>
      </c>
      <c r="E40" s="100">
        <v>59.3</v>
      </c>
      <c r="F40" s="100">
        <v>48.3</v>
      </c>
      <c r="G40" s="100">
        <v>41</v>
      </c>
      <c r="H40" s="100">
        <v>35.799999999999997</v>
      </c>
      <c r="I40" s="100">
        <v>31.9</v>
      </c>
      <c r="J40" s="100">
        <v>28.9</v>
      </c>
      <c r="K40" s="100">
        <v>26.4</v>
      </c>
      <c r="L40" s="100">
        <v>24.5</v>
      </c>
      <c r="M40" s="100">
        <v>22.8</v>
      </c>
      <c r="N40" s="100">
        <v>21.4</v>
      </c>
      <c r="O40" s="100">
        <v>20.3</v>
      </c>
      <c r="P40" s="100">
        <v>19.2</v>
      </c>
      <c r="Q40" s="100">
        <v>18.399999999999999</v>
      </c>
      <c r="R40" s="100">
        <v>17.600000000000001</v>
      </c>
      <c r="S40" s="100">
        <v>16.899999999999999</v>
      </c>
      <c r="T40" s="100">
        <v>16.3</v>
      </c>
      <c r="U40" s="100">
        <v>15.7</v>
      </c>
    </row>
    <row r="41" spans="1:21" x14ac:dyDescent="0.25">
      <c r="A41" s="99">
        <v>30</v>
      </c>
      <c r="B41" s="100">
        <v>227.7</v>
      </c>
      <c r="C41" s="100">
        <v>116</v>
      </c>
      <c r="D41" s="100">
        <v>78.8</v>
      </c>
      <c r="E41" s="100">
        <v>60.2</v>
      </c>
      <c r="F41" s="100">
        <v>49</v>
      </c>
      <c r="G41" s="100">
        <v>41.6</v>
      </c>
      <c r="H41" s="100">
        <v>36.299999999999997</v>
      </c>
      <c r="I41" s="100">
        <v>32.299999999999997</v>
      </c>
      <c r="J41" s="100">
        <v>29.3</v>
      </c>
      <c r="K41" s="100">
        <v>26.8</v>
      </c>
      <c r="L41" s="100">
        <v>24.8</v>
      </c>
      <c r="M41" s="100">
        <v>23.2</v>
      </c>
      <c r="N41" s="100">
        <v>21.8</v>
      </c>
      <c r="O41" s="100">
        <v>20.6</v>
      </c>
      <c r="P41" s="100">
        <v>19.5</v>
      </c>
      <c r="Q41" s="100">
        <v>18.600000000000001</v>
      </c>
      <c r="R41" s="100">
        <v>17.8</v>
      </c>
      <c r="S41" s="100">
        <v>17.100000000000001</v>
      </c>
      <c r="T41" s="100">
        <v>16.5</v>
      </c>
      <c r="U41" s="100">
        <v>16</v>
      </c>
    </row>
    <row r="42" spans="1:21" x14ac:dyDescent="0.25">
      <c r="A42" s="99">
        <v>31</v>
      </c>
      <c r="B42" s="100">
        <v>230.9</v>
      </c>
      <c r="C42" s="100">
        <v>117.6</v>
      </c>
      <c r="D42" s="100">
        <v>79.900000000000006</v>
      </c>
      <c r="E42" s="100">
        <v>61</v>
      </c>
      <c r="F42" s="100">
        <v>49.7</v>
      </c>
      <c r="G42" s="100">
        <v>42.2</v>
      </c>
      <c r="H42" s="100">
        <v>36.799999999999997</v>
      </c>
      <c r="I42" s="100">
        <v>32.799999999999997</v>
      </c>
      <c r="J42" s="100">
        <v>29.7</v>
      </c>
      <c r="K42" s="100">
        <v>27.2</v>
      </c>
      <c r="L42" s="100">
        <v>25.2</v>
      </c>
      <c r="M42" s="100">
        <v>23.5</v>
      </c>
      <c r="N42" s="100">
        <v>22.1</v>
      </c>
      <c r="O42" s="100">
        <v>20.9</v>
      </c>
      <c r="P42" s="100">
        <v>19.8</v>
      </c>
      <c r="Q42" s="100">
        <v>18.899999999999999</v>
      </c>
      <c r="R42" s="100">
        <v>18.100000000000001</v>
      </c>
      <c r="S42" s="100">
        <v>17.399999999999999</v>
      </c>
      <c r="T42" s="100">
        <v>16.8</v>
      </c>
      <c r="U42" s="100">
        <v>16.2</v>
      </c>
    </row>
    <row r="43" spans="1:21" x14ac:dyDescent="0.25">
      <c r="A43" s="99">
        <v>32</v>
      </c>
      <c r="B43" s="100">
        <v>234.1</v>
      </c>
      <c r="C43" s="100">
        <v>119.2</v>
      </c>
      <c r="D43" s="100">
        <v>81</v>
      </c>
      <c r="E43" s="100">
        <v>61.9</v>
      </c>
      <c r="F43" s="100">
        <v>50.4</v>
      </c>
      <c r="G43" s="100">
        <v>42.8</v>
      </c>
      <c r="H43" s="100">
        <v>37.299999999999997</v>
      </c>
      <c r="I43" s="100">
        <v>33.299999999999997</v>
      </c>
      <c r="J43" s="100">
        <v>30.1</v>
      </c>
      <c r="K43" s="100">
        <v>27.6</v>
      </c>
      <c r="L43" s="100">
        <v>25.5</v>
      </c>
      <c r="M43" s="100">
        <v>23.8</v>
      </c>
      <c r="N43" s="100">
        <v>22.4</v>
      </c>
      <c r="O43" s="100">
        <v>21.2</v>
      </c>
      <c r="P43" s="100">
        <v>20.100000000000001</v>
      </c>
      <c r="Q43" s="100">
        <v>19.2</v>
      </c>
      <c r="R43" s="100">
        <v>18.399999999999999</v>
      </c>
      <c r="S43" s="100">
        <v>17.600000000000001</v>
      </c>
      <c r="T43" s="100">
        <v>17</v>
      </c>
      <c r="U43" s="100">
        <v>16.399999999999999</v>
      </c>
    </row>
    <row r="44" spans="1:21" x14ac:dyDescent="0.25">
      <c r="A44" s="99">
        <v>33</v>
      </c>
      <c r="B44" s="100">
        <v>237.3</v>
      </c>
      <c r="C44" s="100">
        <v>120.9</v>
      </c>
      <c r="D44" s="100">
        <v>82.1</v>
      </c>
      <c r="E44" s="100">
        <v>62.7</v>
      </c>
      <c r="F44" s="100">
        <v>51.1</v>
      </c>
      <c r="G44" s="100">
        <v>43.4</v>
      </c>
      <c r="H44" s="100">
        <v>37.9</v>
      </c>
      <c r="I44" s="100">
        <v>33.700000000000003</v>
      </c>
      <c r="J44" s="100">
        <v>30.5</v>
      </c>
      <c r="K44" s="100">
        <v>28</v>
      </c>
      <c r="L44" s="100">
        <v>25.9</v>
      </c>
      <c r="M44" s="100">
        <v>24.2</v>
      </c>
      <c r="N44" s="100">
        <v>22.7</v>
      </c>
      <c r="O44" s="100">
        <v>21.5</v>
      </c>
      <c r="P44" s="100">
        <v>20.399999999999999</v>
      </c>
      <c r="Q44" s="100">
        <v>19.399999999999999</v>
      </c>
      <c r="R44" s="100">
        <v>18.600000000000001</v>
      </c>
      <c r="S44" s="100">
        <v>17.899999999999999</v>
      </c>
      <c r="T44" s="100">
        <v>17.3</v>
      </c>
      <c r="U44" s="100">
        <v>16.7</v>
      </c>
    </row>
    <row r="45" spans="1:21" x14ac:dyDescent="0.25">
      <c r="A45" s="99">
        <v>34</v>
      </c>
      <c r="B45" s="100">
        <v>240.6</v>
      </c>
      <c r="C45" s="100">
        <v>122.6</v>
      </c>
      <c r="D45" s="100">
        <v>83.2</v>
      </c>
      <c r="E45" s="100">
        <v>63.6</v>
      </c>
      <c r="F45" s="100">
        <v>51.8</v>
      </c>
      <c r="G45" s="100">
        <v>44</v>
      </c>
      <c r="H45" s="100">
        <v>38.4</v>
      </c>
      <c r="I45" s="100">
        <v>34.200000000000003</v>
      </c>
      <c r="J45" s="100">
        <v>31</v>
      </c>
      <c r="K45" s="100">
        <v>28.4</v>
      </c>
      <c r="L45" s="100">
        <v>26.3</v>
      </c>
      <c r="M45" s="100">
        <v>24.5</v>
      </c>
      <c r="N45" s="100">
        <v>23</v>
      </c>
      <c r="O45" s="100">
        <v>21.8</v>
      </c>
      <c r="P45" s="100">
        <v>20.7</v>
      </c>
      <c r="Q45" s="100">
        <v>19.7</v>
      </c>
      <c r="R45" s="100">
        <v>18.899999999999999</v>
      </c>
      <c r="S45" s="100">
        <v>18.2</v>
      </c>
      <c r="T45" s="100">
        <v>17.5</v>
      </c>
      <c r="U45" s="100">
        <v>16.899999999999999</v>
      </c>
    </row>
    <row r="46" spans="1:21" x14ac:dyDescent="0.25">
      <c r="A46" s="99">
        <v>35</v>
      </c>
      <c r="B46" s="100">
        <v>243.9</v>
      </c>
      <c r="C46" s="100">
        <v>124.2</v>
      </c>
      <c r="D46" s="100">
        <v>84.4</v>
      </c>
      <c r="E46" s="100">
        <v>64.5</v>
      </c>
      <c r="F46" s="100">
        <v>52.5</v>
      </c>
      <c r="G46" s="100">
        <v>44.6</v>
      </c>
      <c r="H46" s="100">
        <v>38.9</v>
      </c>
      <c r="I46" s="100">
        <v>34.700000000000003</v>
      </c>
      <c r="J46" s="100">
        <v>31.4</v>
      </c>
      <c r="K46" s="100">
        <v>28.8</v>
      </c>
      <c r="L46" s="100">
        <v>26.6</v>
      </c>
      <c r="M46" s="100">
        <v>24.9</v>
      </c>
      <c r="N46" s="100">
        <v>23.4</v>
      </c>
      <c r="O46" s="100">
        <v>22.1</v>
      </c>
      <c r="P46" s="100">
        <v>21</v>
      </c>
      <c r="Q46" s="100">
        <v>20</v>
      </c>
      <c r="R46" s="100">
        <v>19.2</v>
      </c>
      <c r="S46" s="100">
        <v>18.399999999999999</v>
      </c>
      <c r="T46" s="100">
        <v>17.8</v>
      </c>
      <c r="U46" s="100">
        <v>17.2</v>
      </c>
    </row>
    <row r="47" spans="1:21" x14ac:dyDescent="0.25">
      <c r="A47" s="99">
        <v>36</v>
      </c>
      <c r="B47" s="100">
        <v>247.2</v>
      </c>
      <c r="C47" s="100">
        <v>125.9</v>
      </c>
      <c r="D47" s="100">
        <v>85.5</v>
      </c>
      <c r="E47" s="100">
        <v>65.400000000000006</v>
      </c>
      <c r="F47" s="100">
        <v>53.3</v>
      </c>
      <c r="G47" s="100">
        <v>45.2</v>
      </c>
      <c r="H47" s="100">
        <v>39.5</v>
      </c>
      <c r="I47" s="100">
        <v>35.200000000000003</v>
      </c>
      <c r="J47" s="100">
        <v>31.8</v>
      </c>
      <c r="K47" s="100">
        <v>29.2</v>
      </c>
      <c r="L47" s="100">
        <v>27</v>
      </c>
      <c r="M47" s="100">
        <v>25.2</v>
      </c>
      <c r="N47" s="100">
        <v>23.7</v>
      </c>
      <c r="O47" s="100">
        <v>22.4</v>
      </c>
      <c r="P47" s="100">
        <v>21.3</v>
      </c>
      <c r="Q47" s="100">
        <v>20.3</v>
      </c>
      <c r="R47" s="100">
        <v>19.5</v>
      </c>
      <c r="S47" s="100">
        <v>18.7</v>
      </c>
      <c r="T47" s="100">
        <v>18</v>
      </c>
      <c r="U47" s="100">
        <v>17.5</v>
      </c>
    </row>
    <row r="48" spans="1:21" x14ac:dyDescent="0.25">
      <c r="A48" s="99">
        <v>37</v>
      </c>
      <c r="B48" s="100">
        <v>250.5</v>
      </c>
      <c r="C48" s="100">
        <v>127.6</v>
      </c>
      <c r="D48" s="100">
        <v>86.7</v>
      </c>
      <c r="E48" s="100">
        <v>66.3</v>
      </c>
      <c r="F48" s="100">
        <v>54</v>
      </c>
      <c r="G48" s="100">
        <v>45.8</v>
      </c>
      <c r="H48" s="100">
        <v>40</v>
      </c>
      <c r="I48" s="100">
        <v>35.700000000000003</v>
      </c>
      <c r="J48" s="100">
        <v>32.299999999999997</v>
      </c>
      <c r="K48" s="100">
        <v>29.6</v>
      </c>
      <c r="L48" s="100">
        <v>27.4</v>
      </c>
      <c r="M48" s="100">
        <v>25.6</v>
      </c>
      <c r="N48" s="100">
        <v>24</v>
      </c>
      <c r="O48" s="100">
        <v>22.7</v>
      </c>
      <c r="P48" s="100">
        <v>21.6</v>
      </c>
      <c r="Q48" s="100">
        <v>20.6</v>
      </c>
      <c r="R48" s="100">
        <v>19.8</v>
      </c>
      <c r="S48" s="100">
        <v>19</v>
      </c>
      <c r="T48" s="100">
        <v>18.3</v>
      </c>
      <c r="U48" s="100">
        <v>17.7</v>
      </c>
    </row>
    <row r="49" spans="1:21" x14ac:dyDescent="0.25">
      <c r="A49" s="99">
        <v>38</v>
      </c>
      <c r="B49" s="100">
        <v>253.9</v>
      </c>
      <c r="C49" s="100">
        <v>129.4</v>
      </c>
      <c r="D49" s="100">
        <v>87.9</v>
      </c>
      <c r="E49" s="100">
        <v>67.2</v>
      </c>
      <c r="F49" s="100">
        <v>54.7</v>
      </c>
      <c r="G49" s="100">
        <v>46.5</v>
      </c>
      <c r="H49" s="100">
        <v>40.6</v>
      </c>
      <c r="I49" s="100">
        <v>36.200000000000003</v>
      </c>
      <c r="J49" s="100">
        <v>32.700000000000003</v>
      </c>
      <c r="K49" s="100">
        <v>30</v>
      </c>
      <c r="L49" s="100">
        <v>27.8</v>
      </c>
      <c r="M49" s="100">
        <v>25.9</v>
      </c>
      <c r="N49" s="100">
        <v>24.4</v>
      </c>
      <c r="O49" s="100">
        <v>23.1</v>
      </c>
      <c r="P49" s="100">
        <v>21.9</v>
      </c>
      <c r="Q49" s="100">
        <v>20.9</v>
      </c>
      <c r="R49" s="100">
        <v>20.100000000000001</v>
      </c>
      <c r="S49" s="100">
        <v>19.3</v>
      </c>
      <c r="T49" s="100">
        <v>18.600000000000001</v>
      </c>
      <c r="U49" s="100">
        <v>18</v>
      </c>
    </row>
    <row r="50" spans="1:21" x14ac:dyDescent="0.25">
      <c r="A50" s="99">
        <v>39</v>
      </c>
      <c r="B50" s="100">
        <v>257.3</v>
      </c>
      <c r="C50" s="100">
        <v>131.1</v>
      </c>
      <c r="D50" s="100">
        <v>89.1</v>
      </c>
      <c r="E50" s="100">
        <v>68.099999999999994</v>
      </c>
      <c r="F50" s="100">
        <v>55.5</v>
      </c>
      <c r="G50" s="100">
        <v>47.1</v>
      </c>
      <c r="H50" s="100">
        <v>41.2</v>
      </c>
      <c r="I50" s="100">
        <v>36.700000000000003</v>
      </c>
      <c r="J50" s="100">
        <v>33.200000000000003</v>
      </c>
      <c r="K50" s="100">
        <v>30.4</v>
      </c>
      <c r="L50" s="100">
        <v>28.2</v>
      </c>
      <c r="M50" s="100">
        <v>26.3</v>
      </c>
      <c r="N50" s="100">
        <v>24.7</v>
      </c>
      <c r="O50" s="100">
        <v>23.4</v>
      </c>
      <c r="P50" s="100">
        <v>22.2</v>
      </c>
      <c r="Q50" s="100">
        <v>21.2</v>
      </c>
      <c r="R50" s="100">
        <v>20.399999999999999</v>
      </c>
      <c r="S50" s="100">
        <v>19.600000000000001</v>
      </c>
      <c r="T50" s="100">
        <v>18.899999999999999</v>
      </c>
      <c r="U50" s="100">
        <v>18.3</v>
      </c>
    </row>
    <row r="51" spans="1:21" x14ac:dyDescent="0.25">
      <c r="A51" s="99">
        <v>40</v>
      </c>
      <c r="B51" s="100">
        <v>260.8</v>
      </c>
      <c r="C51" s="100">
        <v>132.9</v>
      </c>
      <c r="D51" s="100">
        <v>90.3</v>
      </c>
      <c r="E51" s="100">
        <v>69</v>
      </c>
      <c r="F51" s="100">
        <v>56.3</v>
      </c>
      <c r="G51" s="100">
        <v>47.8</v>
      </c>
      <c r="H51" s="100">
        <v>41.7</v>
      </c>
      <c r="I51" s="100">
        <v>37.200000000000003</v>
      </c>
      <c r="J51" s="100">
        <v>33.700000000000003</v>
      </c>
      <c r="K51" s="100">
        <v>30.9</v>
      </c>
      <c r="L51" s="100">
        <v>28.6</v>
      </c>
      <c r="M51" s="100">
        <v>26.7</v>
      </c>
      <c r="N51" s="100">
        <v>25.1</v>
      </c>
      <c r="O51" s="100">
        <v>23.8</v>
      </c>
      <c r="P51" s="100">
        <v>22.6</v>
      </c>
      <c r="Q51" s="100">
        <v>21.6</v>
      </c>
      <c r="R51" s="100">
        <v>20.7</v>
      </c>
      <c r="S51" s="100">
        <v>19.899999999999999</v>
      </c>
      <c r="T51" s="100">
        <v>19.2</v>
      </c>
      <c r="U51" s="100">
        <v>18.600000000000001</v>
      </c>
    </row>
    <row r="52" spans="1:21" x14ac:dyDescent="0.25">
      <c r="A52" s="99">
        <v>41</v>
      </c>
      <c r="B52" s="100">
        <v>264.3</v>
      </c>
      <c r="C52" s="100">
        <v>134.69999999999999</v>
      </c>
      <c r="D52" s="100">
        <v>91.5</v>
      </c>
      <c r="E52" s="100">
        <v>70</v>
      </c>
      <c r="F52" s="100">
        <v>57.1</v>
      </c>
      <c r="G52" s="100">
        <v>48.4</v>
      </c>
      <c r="H52" s="100">
        <v>42.3</v>
      </c>
      <c r="I52" s="100">
        <v>37.700000000000003</v>
      </c>
      <c r="J52" s="100">
        <v>34.200000000000003</v>
      </c>
      <c r="K52" s="100">
        <v>31.3</v>
      </c>
      <c r="L52" s="100">
        <v>29</v>
      </c>
      <c r="M52" s="100">
        <v>27.1</v>
      </c>
      <c r="N52" s="100">
        <v>25.5</v>
      </c>
      <c r="O52" s="100">
        <v>24.1</v>
      </c>
      <c r="P52" s="100">
        <v>22.9</v>
      </c>
      <c r="Q52" s="100">
        <v>21.9</v>
      </c>
      <c r="R52" s="100">
        <v>21</v>
      </c>
      <c r="S52" s="100">
        <v>20.2</v>
      </c>
      <c r="T52" s="100">
        <v>19.5</v>
      </c>
      <c r="U52" s="100">
        <v>18.899999999999999</v>
      </c>
    </row>
    <row r="53" spans="1:21" x14ac:dyDescent="0.25">
      <c r="A53" s="99">
        <v>42</v>
      </c>
      <c r="B53" s="100">
        <v>267.89999999999998</v>
      </c>
      <c r="C53" s="100">
        <v>136.5</v>
      </c>
      <c r="D53" s="100">
        <v>92.8</v>
      </c>
      <c r="E53" s="100">
        <v>70.900000000000006</v>
      </c>
      <c r="F53" s="100">
        <v>57.8</v>
      </c>
      <c r="G53" s="100">
        <v>49.1</v>
      </c>
      <c r="H53" s="100">
        <v>42.9</v>
      </c>
      <c r="I53" s="100">
        <v>38.299999999999997</v>
      </c>
      <c r="J53" s="100">
        <v>34.700000000000003</v>
      </c>
      <c r="K53" s="100">
        <v>31.8</v>
      </c>
      <c r="L53" s="100">
        <v>29.4</v>
      </c>
      <c r="M53" s="100">
        <v>27.5</v>
      </c>
      <c r="N53" s="100">
        <v>25.9</v>
      </c>
      <c r="O53" s="100">
        <v>24.5</v>
      </c>
      <c r="P53" s="100">
        <v>23.3</v>
      </c>
      <c r="Q53" s="100">
        <v>22.3</v>
      </c>
      <c r="R53" s="100">
        <v>21.4</v>
      </c>
      <c r="S53" s="100">
        <v>20.6</v>
      </c>
      <c r="T53" s="100">
        <v>19.899999999999999</v>
      </c>
      <c r="U53" s="100">
        <v>19.2</v>
      </c>
    </row>
    <row r="54" spans="1:21" x14ac:dyDescent="0.25">
      <c r="A54" s="99">
        <v>43</v>
      </c>
      <c r="B54" s="100">
        <v>271.5</v>
      </c>
      <c r="C54" s="100">
        <v>138.4</v>
      </c>
      <c r="D54" s="100">
        <v>94.1</v>
      </c>
      <c r="E54" s="100">
        <v>71.900000000000006</v>
      </c>
      <c r="F54" s="100">
        <v>58.6</v>
      </c>
      <c r="G54" s="100">
        <v>49.8</v>
      </c>
      <c r="H54" s="100">
        <v>43.5</v>
      </c>
      <c r="I54" s="100">
        <v>38.799999999999997</v>
      </c>
      <c r="J54" s="100">
        <v>35.200000000000003</v>
      </c>
      <c r="K54" s="100">
        <v>32.200000000000003</v>
      </c>
      <c r="L54" s="100">
        <v>29.9</v>
      </c>
      <c r="M54" s="100">
        <v>27.9</v>
      </c>
      <c r="N54" s="100">
        <v>26.3</v>
      </c>
      <c r="O54" s="100">
        <v>24.9</v>
      </c>
      <c r="P54" s="100">
        <v>23.7</v>
      </c>
      <c r="Q54" s="100">
        <v>22.6</v>
      </c>
      <c r="R54" s="100">
        <v>21.7</v>
      </c>
      <c r="S54" s="100">
        <v>20.9</v>
      </c>
      <c r="T54" s="100">
        <v>20.2</v>
      </c>
      <c r="U54" s="100">
        <v>19.600000000000001</v>
      </c>
    </row>
    <row r="55" spans="1:21" x14ac:dyDescent="0.25">
      <c r="A55" s="99">
        <v>44</v>
      </c>
      <c r="B55" s="100">
        <v>275.10000000000002</v>
      </c>
      <c r="C55" s="100">
        <v>140.19999999999999</v>
      </c>
      <c r="D55" s="100">
        <v>95.3</v>
      </c>
      <c r="E55" s="100">
        <v>72.900000000000006</v>
      </c>
      <c r="F55" s="100">
        <v>59.4</v>
      </c>
      <c r="G55" s="100">
        <v>50.5</v>
      </c>
      <c r="H55" s="100">
        <v>44.1</v>
      </c>
      <c r="I55" s="100">
        <v>39.4</v>
      </c>
      <c r="J55" s="100">
        <v>35.700000000000003</v>
      </c>
      <c r="K55" s="100">
        <v>32.700000000000003</v>
      </c>
      <c r="L55" s="100">
        <v>30.3</v>
      </c>
      <c r="M55" s="100">
        <v>28.3</v>
      </c>
      <c r="N55" s="100">
        <v>26.7</v>
      </c>
      <c r="O55" s="100">
        <v>25.3</v>
      </c>
      <c r="P55" s="100">
        <v>24.1</v>
      </c>
      <c r="Q55" s="100">
        <v>23</v>
      </c>
      <c r="R55" s="100">
        <v>22.1</v>
      </c>
      <c r="S55" s="100">
        <v>21.3</v>
      </c>
      <c r="T55" s="100">
        <v>20.6</v>
      </c>
      <c r="U55" s="100">
        <v>19.899999999999999</v>
      </c>
    </row>
    <row r="56" spans="1:21" x14ac:dyDescent="0.25">
      <c r="A56" s="99">
        <v>45</v>
      </c>
      <c r="B56" s="100">
        <v>278.8</v>
      </c>
      <c r="C56" s="100">
        <v>142.1</v>
      </c>
      <c r="D56" s="100">
        <v>96.6</v>
      </c>
      <c r="E56" s="100">
        <v>73.900000000000006</v>
      </c>
      <c r="F56" s="100">
        <v>60.3</v>
      </c>
      <c r="G56" s="100">
        <v>51.2</v>
      </c>
      <c r="H56" s="100">
        <v>44.7</v>
      </c>
      <c r="I56" s="100">
        <v>39.9</v>
      </c>
      <c r="J56" s="100">
        <v>36.200000000000003</v>
      </c>
      <c r="K56" s="100">
        <v>33.200000000000003</v>
      </c>
      <c r="L56" s="100">
        <v>30.8</v>
      </c>
      <c r="M56" s="100">
        <v>28.8</v>
      </c>
      <c r="N56" s="100">
        <v>27.1</v>
      </c>
      <c r="O56" s="100">
        <v>25.7</v>
      </c>
      <c r="P56" s="100">
        <v>24.5</v>
      </c>
      <c r="Q56" s="100">
        <v>23.4</v>
      </c>
      <c r="R56" s="100">
        <v>22.5</v>
      </c>
      <c r="S56" s="100">
        <v>21.7</v>
      </c>
      <c r="T56" s="100">
        <v>21</v>
      </c>
      <c r="U56" s="100">
        <v>20.3</v>
      </c>
    </row>
    <row r="57" spans="1:21" x14ac:dyDescent="0.25">
      <c r="A57" s="99">
        <v>46</v>
      </c>
      <c r="B57" s="100">
        <v>282.5</v>
      </c>
      <c r="C57" s="100">
        <v>144</v>
      </c>
      <c r="D57" s="100">
        <v>97.9</v>
      </c>
      <c r="E57" s="100">
        <v>74.900000000000006</v>
      </c>
      <c r="F57" s="100">
        <v>61.1</v>
      </c>
      <c r="G57" s="100">
        <v>51.9</v>
      </c>
      <c r="H57" s="100">
        <v>45.4</v>
      </c>
      <c r="I57" s="100">
        <v>40.5</v>
      </c>
      <c r="J57" s="100">
        <v>36.700000000000003</v>
      </c>
      <c r="K57" s="100">
        <v>33.700000000000003</v>
      </c>
      <c r="L57" s="100">
        <v>31.3</v>
      </c>
      <c r="M57" s="100">
        <v>29.3</v>
      </c>
      <c r="N57" s="100">
        <v>27.6</v>
      </c>
      <c r="O57" s="100">
        <v>26.1</v>
      </c>
      <c r="P57" s="100">
        <v>24.9</v>
      </c>
      <c r="Q57" s="100">
        <v>23.8</v>
      </c>
      <c r="R57" s="100">
        <v>22.9</v>
      </c>
      <c r="S57" s="100">
        <v>22.1</v>
      </c>
      <c r="T57" s="100">
        <v>21.3</v>
      </c>
      <c r="U57" s="100">
        <v>20.7</v>
      </c>
    </row>
    <row r="58" spans="1:21" x14ac:dyDescent="0.25">
      <c r="A58" s="99">
        <v>47</v>
      </c>
      <c r="B58" s="100">
        <v>286.2</v>
      </c>
      <c r="C58" s="100">
        <v>146</v>
      </c>
      <c r="D58" s="100">
        <v>99.2</v>
      </c>
      <c r="E58" s="100">
        <v>75.900000000000006</v>
      </c>
      <c r="F58" s="100">
        <v>61.9</v>
      </c>
      <c r="G58" s="100">
        <v>52.7</v>
      </c>
      <c r="H58" s="100">
        <v>46</v>
      </c>
      <c r="I58" s="100">
        <v>41.1</v>
      </c>
      <c r="J58" s="100">
        <v>37.299999999999997</v>
      </c>
      <c r="K58" s="100">
        <v>34.299999999999997</v>
      </c>
      <c r="L58" s="100">
        <v>31.8</v>
      </c>
      <c r="M58" s="100">
        <v>29.7</v>
      </c>
      <c r="N58" s="100">
        <v>28</v>
      </c>
      <c r="O58" s="100">
        <v>26.6</v>
      </c>
      <c r="P58" s="100">
        <v>25.3</v>
      </c>
      <c r="Q58" s="100">
        <v>24.3</v>
      </c>
      <c r="R58" s="100">
        <v>23.3</v>
      </c>
      <c r="S58" s="100">
        <v>22.5</v>
      </c>
      <c r="T58" s="100">
        <v>21.8</v>
      </c>
      <c r="U58" s="100">
        <v>21.1</v>
      </c>
    </row>
    <row r="59" spans="1:21" x14ac:dyDescent="0.25">
      <c r="A59" s="99">
        <v>48</v>
      </c>
      <c r="B59" s="100">
        <v>290</v>
      </c>
      <c r="C59" s="100">
        <v>147.9</v>
      </c>
      <c r="D59" s="100">
        <v>100.6</v>
      </c>
      <c r="E59" s="100">
        <v>77</v>
      </c>
      <c r="F59" s="100">
        <v>62.8</v>
      </c>
      <c r="G59" s="100">
        <v>53.4</v>
      </c>
      <c r="H59" s="100">
        <v>46.7</v>
      </c>
      <c r="I59" s="100">
        <v>41.8</v>
      </c>
      <c r="J59" s="100">
        <v>37.9</v>
      </c>
      <c r="K59" s="100">
        <v>34.799999999999997</v>
      </c>
      <c r="L59" s="100">
        <v>32.299999999999997</v>
      </c>
      <c r="M59" s="100">
        <v>30.3</v>
      </c>
      <c r="N59" s="100">
        <v>28.5</v>
      </c>
      <c r="O59" s="100">
        <v>27.1</v>
      </c>
      <c r="P59" s="100">
        <v>25.8</v>
      </c>
      <c r="Q59" s="100">
        <v>24.7</v>
      </c>
      <c r="R59" s="100">
        <v>23.8</v>
      </c>
      <c r="S59" s="100">
        <v>22.9</v>
      </c>
      <c r="T59" s="100">
        <v>22.2</v>
      </c>
      <c r="U59" s="100"/>
    </row>
    <row r="60" spans="1:21" x14ac:dyDescent="0.25">
      <c r="A60" s="99">
        <v>49</v>
      </c>
      <c r="B60" s="100">
        <v>293.89999999999998</v>
      </c>
      <c r="C60" s="100">
        <v>150</v>
      </c>
      <c r="D60" s="100">
        <v>102</v>
      </c>
      <c r="E60" s="100">
        <v>78.099999999999994</v>
      </c>
      <c r="F60" s="100">
        <v>63.8</v>
      </c>
      <c r="G60" s="100">
        <v>54.3</v>
      </c>
      <c r="H60" s="100">
        <v>47.5</v>
      </c>
      <c r="I60" s="100">
        <v>42.4</v>
      </c>
      <c r="J60" s="100">
        <v>38.5</v>
      </c>
      <c r="K60" s="100">
        <v>35.4</v>
      </c>
      <c r="L60" s="100">
        <v>32.9</v>
      </c>
      <c r="M60" s="100">
        <v>30.8</v>
      </c>
      <c r="N60" s="100">
        <v>29.1</v>
      </c>
      <c r="O60" s="100">
        <v>27.6</v>
      </c>
      <c r="P60" s="100">
        <v>26.3</v>
      </c>
      <c r="Q60" s="100">
        <v>25.2</v>
      </c>
      <c r="R60" s="100">
        <v>24.2</v>
      </c>
      <c r="S60" s="100">
        <v>23.4</v>
      </c>
      <c r="T60" s="100"/>
      <c r="U60" s="100"/>
    </row>
    <row r="61" spans="1:21" x14ac:dyDescent="0.25">
      <c r="A61" s="99">
        <v>50</v>
      </c>
      <c r="B61" s="100">
        <v>298</v>
      </c>
      <c r="C61" s="100">
        <v>152.1</v>
      </c>
      <c r="D61" s="100">
        <v>103.5</v>
      </c>
      <c r="E61" s="100">
        <v>79.3</v>
      </c>
      <c r="F61" s="100">
        <v>64.8</v>
      </c>
      <c r="G61" s="100">
        <v>55.1</v>
      </c>
      <c r="H61" s="100">
        <v>48.3</v>
      </c>
      <c r="I61" s="100">
        <v>43.1</v>
      </c>
      <c r="J61" s="100">
        <v>39.200000000000003</v>
      </c>
      <c r="K61" s="100">
        <v>36</v>
      </c>
      <c r="L61" s="100">
        <v>33.5</v>
      </c>
      <c r="M61" s="100">
        <v>31.4</v>
      </c>
      <c r="N61" s="100">
        <v>29.6</v>
      </c>
      <c r="O61" s="100">
        <v>28.1</v>
      </c>
      <c r="P61" s="100">
        <v>26.8</v>
      </c>
      <c r="Q61" s="100">
        <v>25.7</v>
      </c>
      <c r="R61" s="100">
        <v>24.7</v>
      </c>
      <c r="S61" s="100"/>
      <c r="T61" s="100"/>
      <c r="U61" s="100"/>
    </row>
    <row r="62" spans="1:21" x14ac:dyDescent="0.25">
      <c r="A62" s="99">
        <v>51</v>
      </c>
      <c r="B62" s="100">
        <v>302.10000000000002</v>
      </c>
      <c r="C62" s="100">
        <v>154.19999999999999</v>
      </c>
      <c r="D62" s="100">
        <v>105</v>
      </c>
      <c r="E62" s="100">
        <v>80.5</v>
      </c>
      <c r="F62" s="100">
        <v>65.8</v>
      </c>
      <c r="G62" s="100">
        <v>56</v>
      </c>
      <c r="H62" s="100">
        <v>49.1</v>
      </c>
      <c r="I62" s="100">
        <v>43.9</v>
      </c>
      <c r="J62" s="100">
        <v>39.9</v>
      </c>
      <c r="K62" s="100">
        <v>36.700000000000003</v>
      </c>
      <c r="L62" s="100">
        <v>34.1</v>
      </c>
      <c r="M62" s="100">
        <v>32</v>
      </c>
      <c r="N62" s="100">
        <v>30.2</v>
      </c>
      <c r="O62" s="100">
        <v>28.7</v>
      </c>
      <c r="P62" s="100">
        <v>27.4</v>
      </c>
      <c r="Q62" s="100">
        <v>26.2</v>
      </c>
      <c r="R62" s="100"/>
      <c r="S62" s="100"/>
      <c r="T62" s="100"/>
      <c r="U62" s="100"/>
    </row>
    <row r="63" spans="1:21" x14ac:dyDescent="0.25">
      <c r="A63" s="99">
        <v>52</v>
      </c>
      <c r="B63" s="100">
        <v>306.2</v>
      </c>
      <c r="C63" s="100">
        <v>156.4</v>
      </c>
      <c r="D63" s="100">
        <v>106.5</v>
      </c>
      <c r="E63" s="100">
        <v>81.7</v>
      </c>
      <c r="F63" s="100">
        <v>66.8</v>
      </c>
      <c r="G63" s="100">
        <v>56.9</v>
      </c>
      <c r="H63" s="100">
        <v>49.9</v>
      </c>
      <c r="I63" s="100">
        <v>44.6</v>
      </c>
      <c r="J63" s="100">
        <v>40.6</v>
      </c>
      <c r="K63" s="100">
        <v>37.4</v>
      </c>
      <c r="L63" s="100">
        <v>34.700000000000003</v>
      </c>
      <c r="M63" s="100">
        <v>32.6</v>
      </c>
      <c r="N63" s="100">
        <v>30.8</v>
      </c>
      <c r="O63" s="100">
        <v>29.2</v>
      </c>
      <c r="P63" s="100">
        <v>27.9</v>
      </c>
      <c r="Q63" s="100"/>
      <c r="R63" s="100"/>
      <c r="S63" s="100"/>
      <c r="T63" s="100"/>
      <c r="U63" s="100"/>
    </row>
    <row r="64" spans="1:21" x14ac:dyDescent="0.25">
      <c r="A64" s="99">
        <v>53</v>
      </c>
      <c r="B64" s="100">
        <v>310.3</v>
      </c>
      <c r="C64" s="100">
        <v>158.6</v>
      </c>
      <c r="D64" s="100">
        <v>108.1</v>
      </c>
      <c r="E64" s="100">
        <v>82.9</v>
      </c>
      <c r="F64" s="100">
        <v>67.8</v>
      </c>
      <c r="G64" s="100">
        <v>57.8</v>
      </c>
      <c r="H64" s="100">
        <v>50.7</v>
      </c>
      <c r="I64" s="100">
        <v>45.4</v>
      </c>
      <c r="J64" s="100">
        <v>41.3</v>
      </c>
      <c r="K64" s="100">
        <v>38</v>
      </c>
      <c r="L64" s="100">
        <v>35.4</v>
      </c>
      <c r="M64" s="100">
        <v>33.200000000000003</v>
      </c>
      <c r="N64" s="100">
        <v>31.4</v>
      </c>
      <c r="O64" s="100">
        <v>29.8</v>
      </c>
      <c r="P64" s="100"/>
      <c r="Q64" s="100"/>
      <c r="R64" s="100"/>
      <c r="S64" s="100"/>
      <c r="T64" s="100"/>
      <c r="U64" s="100"/>
    </row>
    <row r="65" spans="1:21" x14ac:dyDescent="0.25">
      <c r="A65" s="99">
        <v>54</v>
      </c>
      <c r="B65" s="100">
        <v>314.39999999999998</v>
      </c>
      <c r="C65" s="100">
        <v>160.80000000000001</v>
      </c>
      <c r="D65" s="100">
        <v>109.6</v>
      </c>
      <c r="E65" s="100">
        <v>84.1</v>
      </c>
      <c r="F65" s="100">
        <v>68.900000000000006</v>
      </c>
      <c r="G65" s="100">
        <v>58.7</v>
      </c>
      <c r="H65" s="100">
        <v>51.5</v>
      </c>
      <c r="I65" s="100">
        <v>46.2</v>
      </c>
      <c r="J65" s="100">
        <v>42</v>
      </c>
      <c r="K65" s="100">
        <v>38.700000000000003</v>
      </c>
      <c r="L65" s="100">
        <v>36</v>
      </c>
      <c r="M65" s="100">
        <v>33.799999999999997</v>
      </c>
      <c r="N65" s="100">
        <v>32</v>
      </c>
      <c r="O65" s="100"/>
      <c r="P65" s="100"/>
      <c r="Q65" s="100"/>
      <c r="R65" s="100"/>
      <c r="S65" s="100"/>
      <c r="T65" s="100"/>
      <c r="U65" s="100"/>
    </row>
    <row r="66" spans="1:21" x14ac:dyDescent="0.25">
      <c r="A66" s="99">
        <v>55</v>
      </c>
      <c r="B66" s="100">
        <v>318.60000000000002</v>
      </c>
      <c r="C66" s="100">
        <v>163</v>
      </c>
      <c r="D66" s="100">
        <v>111.2</v>
      </c>
      <c r="E66" s="100">
        <v>85.4</v>
      </c>
      <c r="F66" s="100">
        <v>69.900000000000006</v>
      </c>
      <c r="G66" s="100">
        <v>59.7</v>
      </c>
      <c r="H66" s="100">
        <v>52.4</v>
      </c>
      <c r="I66" s="100">
        <v>47</v>
      </c>
      <c r="J66" s="100">
        <v>42.8</v>
      </c>
      <c r="K66" s="100">
        <v>39.4</v>
      </c>
      <c r="L66" s="100">
        <v>36.700000000000003</v>
      </c>
      <c r="M66" s="100">
        <v>34.5</v>
      </c>
      <c r="N66" s="100"/>
      <c r="O66" s="100"/>
      <c r="P66" s="100"/>
      <c r="Q66" s="100"/>
      <c r="R66" s="100"/>
      <c r="S66" s="100"/>
      <c r="T66" s="100"/>
      <c r="U66" s="100"/>
    </row>
    <row r="67" spans="1:21" x14ac:dyDescent="0.25">
      <c r="A67" s="99">
        <v>56</v>
      </c>
      <c r="B67" s="100">
        <v>322.89999999999998</v>
      </c>
      <c r="C67" s="100">
        <v>165.3</v>
      </c>
      <c r="D67" s="100">
        <v>112.9</v>
      </c>
      <c r="E67" s="100">
        <v>86.7</v>
      </c>
      <c r="F67" s="100">
        <v>71</v>
      </c>
      <c r="G67" s="100">
        <v>60.7</v>
      </c>
      <c r="H67" s="100">
        <v>53.3</v>
      </c>
      <c r="I67" s="100">
        <v>47.8</v>
      </c>
      <c r="J67" s="100">
        <v>43.5</v>
      </c>
      <c r="K67" s="100">
        <v>40.1</v>
      </c>
      <c r="L67" s="100">
        <v>37.4</v>
      </c>
      <c r="M67" s="100"/>
      <c r="N67" s="100"/>
      <c r="O67" s="100"/>
      <c r="P67" s="100"/>
      <c r="Q67" s="100"/>
      <c r="R67" s="100"/>
      <c r="S67" s="100"/>
      <c r="T67" s="100"/>
      <c r="U67" s="100"/>
    </row>
    <row r="68" spans="1:21" x14ac:dyDescent="0.25">
      <c r="A68" s="99">
        <v>57</v>
      </c>
      <c r="B68" s="100">
        <v>327.39999999999998</v>
      </c>
      <c r="C68" s="100">
        <v>167.7</v>
      </c>
      <c r="D68" s="100">
        <v>114.5</v>
      </c>
      <c r="E68" s="100">
        <v>88</v>
      </c>
      <c r="F68" s="100">
        <v>72.2</v>
      </c>
      <c r="G68" s="100">
        <v>61.7</v>
      </c>
      <c r="H68" s="100">
        <v>54.2</v>
      </c>
      <c r="I68" s="100">
        <v>48.6</v>
      </c>
      <c r="J68" s="100">
        <v>44.3</v>
      </c>
      <c r="K68" s="100">
        <v>40.9</v>
      </c>
      <c r="L68" s="100"/>
      <c r="M68" s="100"/>
      <c r="N68" s="100"/>
      <c r="O68" s="100"/>
      <c r="P68" s="100"/>
      <c r="Q68" s="100"/>
      <c r="R68" s="100"/>
      <c r="S68" s="100"/>
      <c r="T68" s="100"/>
      <c r="U68" s="100"/>
    </row>
    <row r="69" spans="1:21" x14ac:dyDescent="0.25">
      <c r="A69" s="99">
        <v>58</v>
      </c>
      <c r="B69" s="100">
        <v>331.9</v>
      </c>
      <c r="C69" s="100">
        <v>170.1</v>
      </c>
      <c r="D69" s="100">
        <v>116.3</v>
      </c>
      <c r="E69" s="100">
        <v>89.4</v>
      </c>
      <c r="F69" s="100">
        <v>73.400000000000006</v>
      </c>
      <c r="G69" s="100">
        <v>62.7</v>
      </c>
      <c r="H69" s="100">
        <v>55.1</v>
      </c>
      <c r="I69" s="100">
        <v>49.5</v>
      </c>
      <c r="J69" s="100">
        <v>45.2</v>
      </c>
      <c r="K69" s="100"/>
      <c r="L69" s="100"/>
      <c r="M69" s="100"/>
      <c r="N69" s="100"/>
      <c r="O69" s="100"/>
      <c r="P69" s="100"/>
      <c r="Q69" s="100"/>
      <c r="R69" s="100"/>
      <c r="S69" s="100"/>
      <c r="T69" s="100"/>
      <c r="U69" s="100"/>
    </row>
    <row r="70" spans="1:21" x14ac:dyDescent="0.25">
      <c r="A70" s="99">
        <v>59</v>
      </c>
      <c r="B70" s="100">
        <v>336.7</v>
      </c>
      <c r="C70" s="100">
        <v>172.7</v>
      </c>
      <c r="D70" s="100">
        <v>118.1</v>
      </c>
      <c r="E70" s="100">
        <v>90.9</v>
      </c>
      <c r="F70" s="100">
        <v>74.599999999999994</v>
      </c>
      <c r="G70" s="100">
        <v>63.8</v>
      </c>
      <c r="H70" s="100">
        <v>56.1</v>
      </c>
      <c r="I70" s="100">
        <v>50.5</v>
      </c>
      <c r="J70" s="100"/>
      <c r="K70" s="100"/>
      <c r="L70" s="100"/>
      <c r="M70" s="100"/>
      <c r="N70" s="100"/>
      <c r="O70" s="100"/>
      <c r="P70" s="100"/>
      <c r="Q70" s="100"/>
      <c r="R70" s="100"/>
      <c r="S70" s="100"/>
      <c r="T70" s="100"/>
      <c r="U70" s="100"/>
    </row>
    <row r="71" spans="1:21" x14ac:dyDescent="0.25">
      <c r="A71" s="99">
        <v>60</v>
      </c>
      <c r="B71" s="100">
        <v>341.7</v>
      </c>
      <c r="C71" s="100">
        <v>175.3</v>
      </c>
      <c r="D71" s="100">
        <v>120</v>
      </c>
      <c r="E71" s="100">
        <v>92.4</v>
      </c>
      <c r="F71" s="100">
        <v>75.8</v>
      </c>
      <c r="G71" s="100">
        <v>64.900000000000006</v>
      </c>
      <c r="H71" s="100">
        <v>57.2</v>
      </c>
      <c r="I71" s="100"/>
      <c r="J71" s="100"/>
      <c r="K71" s="100"/>
      <c r="L71" s="100"/>
      <c r="M71" s="100"/>
      <c r="N71" s="100"/>
      <c r="O71" s="100"/>
      <c r="P71" s="100"/>
      <c r="Q71" s="100"/>
      <c r="R71" s="100"/>
      <c r="S71" s="100"/>
      <c r="T71" s="100"/>
      <c r="U71" s="100"/>
    </row>
    <row r="72" spans="1:21" x14ac:dyDescent="0.25">
      <c r="A72" s="99">
        <v>61</v>
      </c>
      <c r="B72" s="100">
        <v>347</v>
      </c>
      <c r="C72" s="100">
        <v>178.1</v>
      </c>
      <c r="D72" s="100">
        <v>122</v>
      </c>
      <c r="E72" s="100">
        <v>93.9</v>
      </c>
      <c r="F72" s="100">
        <v>77.2</v>
      </c>
      <c r="G72" s="100">
        <v>66.2</v>
      </c>
      <c r="H72" s="100"/>
      <c r="I72" s="100"/>
      <c r="J72" s="100"/>
      <c r="K72" s="100"/>
      <c r="L72" s="100"/>
      <c r="M72" s="100"/>
      <c r="N72" s="100"/>
      <c r="O72" s="100"/>
      <c r="P72" s="100"/>
      <c r="Q72" s="100"/>
      <c r="R72" s="100"/>
      <c r="S72" s="100"/>
      <c r="T72" s="100"/>
      <c r="U72" s="100"/>
    </row>
    <row r="73" spans="1:21" x14ac:dyDescent="0.25">
      <c r="A73" s="99">
        <v>62</v>
      </c>
      <c r="B73" s="100">
        <v>352.6</v>
      </c>
      <c r="C73" s="100">
        <v>181.1</v>
      </c>
      <c r="D73" s="100">
        <v>124.1</v>
      </c>
      <c r="E73" s="100">
        <v>95.6</v>
      </c>
      <c r="F73" s="100">
        <v>78.7</v>
      </c>
      <c r="G73" s="100"/>
      <c r="H73" s="100"/>
      <c r="I73" s="100"/>
      <c r="J73" s="100"/>
      <c r="K73" s="100"/>
      <c r="L73" s="100"/>
      <c r="M73" s="100"/>
      <c r="N73" s="100"/>
      <c r="O73" s="100"/>
      <c r="P73" s="100"/>
      <c r="Q73" s="100"/>
      <c r="R73" s="100"/>
      <c r="S73" s="100"/>
      <c r="T73" s="100"/>
      <c r="U73" s="100"/>
    </row>
    <row r="74" spans="1:21" x14ac:dyDescent="0.25">
      <c r="A74" s="99">
        <v>63</v>
      </c>
      <c r="B74" s="100">
        <v>358.6</v>
      </c>
      <c r="C74" s="100">
        <v>184.3</v>
      </c>
      <c r="D74" s="100">
        <v>126.3</v>
      </c>
      <c r="E74" s="100">
        <v>97.5</v>
      </c>
      <c r="F74" s="100"/>
      <c r="G74" s="100"/>
      <c r="H74" s="100"/>
      <c r="I74" s="100"/>
      <c r="J74" s="100"/>
      <c r="K74" s="100"/>
      <c r="L74" s="100"/>
      <c r="M74" s="100"/>
      <c r="N74" s="100"/>
      <c r="O74" s="100"/>
      <c r="P74" s="100"/>
      <c r="Q74" s="100"/>
      <c r="R74" s="100"/>
      <c r="S74" s="100"/>
      <c r="T74" s="100"/>
      <c r="U74" s="100"/>
    </row>
    <row r="75" spans="1:21" x14ac:dyDescent="0.25">
      <c r="A75" s="99">
        <v>64</v>
      </c>
      <c r="B75" s="100">
        <v>365.1</v>
      </c>
      <c r="C75" s="100">
        <v>187.8</v>
      </c>
      <c r="D75" s="100">
        <v>128.80000000000001</v>
      </c>
      <c r="E75" s="100"/>
      <c r="F75" s="100"/>
      <c r="G75" s="100"/>
      <c r="H75" s="100"/>
      <c r="I75" s="100"/>
      <c r="J75" s="100"/>
      <c r="K75" s="100"/>
      <c r="L75" s="100"/>
      <c r="M75" s="100"/>
      <c r="N75" s="100"/>
      <c r="O75" s="100"/>
      <c r="P75" s="100"/>
      <c r="Q75" s="100"/>
      <c r="R75" s="100"/>
      <c r="S75" s="100"/>
      <c r="T75" s="100"/>
      <c r="U75" s="100"/>
    </row>
    <row r="76" spans="1:21" x14ac:dyDescent="0.25">
      <c r="A76" s="99">
        <v>65</v>
      </c>
      <c r="B76" s="100">
        <v>372.1</v>
      </c>
      <c r="C76" s="100">
        <v>191.5</v>
      </c>
      <c r="D76" s="100"/>
      <c r="E76" s="100"/>
      <c r="F76" s="100"/>
      <c r="G76" s="100"/>
      <c r="H76" s="100"/>
      <c r="I76" s="100"/>
      <c r="J76" s="100"/>
      <c r="K76" s="100"/>
      <c r="L76" s="100"/>
      <c r="M76" s="100"/>
      <c r="N76" s="100"/>
      <c r="O76" s="100"/>
      <c r="P76" s="100"/>
      <c r="Q76" s="100"/>
      <c r="R76" s="100"/>
      <c r="S76" s="100"/>
      <c r="T76" s="100"/>
      <c r="U76" s="100"/>
    </row>
    <row r="77" spans="1:21" x14ac:dyDescent="0.25">
      <c r="A77" s="99">
        <v>66</v>
      </c>
      <c r="B77" s="100">
        <v>379.5</v>
      </c>
      <c r="C77" s="100"/>
      <c r="D77" s="100"/>
      <c r="E77" s="100"/>
      <c r="F77" s="100"/>
      <c r="G77" s="100"/>
      <c r="H77" s="100"/>
      <c r="I77" s="100"/>
      <c r="J77" s="100"/>
      <c r="K77" s="100"/>
      <c r="L77" s="100"/>
      <c r="M77" s="100"/>
      <c r="N77" s="100"/>
      <c r="O77" s="100"/>
      <c r="P77" s="100"/>
      <c r="Q77" s="100"/>
      <c r="R77" s="100"/>
      <c r="S77" s="100"/>
      <c r="T77" s="100"/>
      <c r="U77" s="100"/>
    </row>
  </sheetData>
  <sheetProtection algorithmName="SHA-512" hashValue="uFM+7S0QyKslqjZ+gqek6C1t9EPkaIl4kWptmNbMz0yKnrPT4pdHg8dHw9TGqV1SmRdzuSR78ijlP5jT0I1mWQ==" saltValue="tzlTfmVUFBFjTPQB36MYEw==" spinCount="100000" sheet="1" objects="1" scenarios="1"/>
  <conditionalFormatting sqref="A6:A21">
    <cfRule type="expression" dxfId="367" priority="17" stopIfTrue="1">
      <formula>MOD(ROW(),2)=0</formula>
    </cfRule>
    <cfRule type="expression" dxfId="366" priority="18" stopIfTrue="1">
      <formula>MOD(ROW(),2)&lt;&gt;0</formula>
    </cfRule>
  </conditionalFormatting>
  <conditionalFormatting sqref="A26:A77">
    <cfRule type="expression" dxfId="365" priority="3" stopIfTrue="1">
      <formula>MOD(ROW(),2)=0</formula>
    </cfRule>
    <cfRule type="expression" dxfId="364" priority="4" stopIfTrue="1">
      <formula>MOD(ROW(),2)&lt;&gt;0</formula>
    </cfRule>
  </conditionalFormatting>
  <conditionalFormatting sqref="B17:B21">
    <cfRule type="expression" dxfId="363" priority="1" stopIfTrue="1">
      <formula>MOD(ROW(),2)=0</formula>
    </cfRule>
    <cfRule type="expression" dxfId="362" priority="2" stopIfTrue="1">
      <formula>MOD(ROW(),2)&lt;&gt;0</formula>
    </cfRule>
  </conditionalFormatting>
  <conditionalFormatting sqref="B6:U21">
    <cfRule type="expression" dxfId="361" priority="27" stopIfTrue="1">
      <formula>MOD(ROW(),2)=0</formula>
    </cfRule>
    <cfRule type="expression" dxfId="360" priority="28" stopIfTrue="1">
      <formula>MOD(ROW(),2)&lt;&gt;0</formula>
    </cfRule>
  </conditionalFormatting>
  <conditionalFormatting sqref="B26:U77">
    <cfRule type="expression" dxfId="359" priority="5" stopIfTrue="1">
      <formula>MOD(ROW(),2)=0</formula>
    </cfRule>
    <cfRule type="expression" dxfId="358" priority="6" stopIfTrue="1">
      <formula>MOD(ROW(),2)&lt;&gt;0</formula>
    </cfRule>
  </conditionalFormatting>
  <hyperlinks>
    <hyperlink ref="B24" location="Assumptions!A1" display="Assumptions" xr:uid="{383EF5D5-2086-45DC-AC0C-2DAA8730CAD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101"/>
  <dimension ref="A1:U78"/>
  <sheetViews>
    <sheetView showGridLines="0" zoomScale="85" zoomScaleNormal="85" workbookViewId="0">
      <selection activeCell="A4" sqref="A4"/>
    </sheetView>
  </sheetViews>
  <sheetFormatPr defaultColWidth="10" defaultRowHeight="12.5" x14ac:dyDescent="0.25"/>
  <cols>
    <col min="1" max="1" width="31.90625" style="25" customWidth="1"/>
    <col min="2" max="21" width="22.90625" style="25" customWidth="1"/>
    <col min="22" max="16384" width="10" style="25"/>
  </cols>
  <sheetData>
    <row r="1" spans="1:21" ht="20" x14ac:dyDescent="0.4">
      <c r="A1" s="36" t="s">
        <v>0</v>
      </c>
      <c r="B1" s="37"/>
      <c r="C1" s="37"/>
      <c r="D1" s="37"/>
      <c r="E1" s="37"/>
      <c r="F1" s="37"/>
      <c r="G1" s="37"/>
      <c r="H1" s="37"/>
      <c r="I1" s="37"/>
    </row>
    <row r="2" spans="1:21" ht="15.5" x14ac:dyDescent="0.35">
      <c r="A2" s="38" t="str">
        <f>IF(title="&gt; Enter workbook title here","Enter workbook title in Cover sheet",title)</f>
        <v>NHSPS_NI - Consolidated Factor Spreadsheet</v>
      </c>
      <c r="B2" s="39"/>
      <c r="C2" s="39"/>
      <c r="D2" s="39"/>
      <c r="E2" s="39"/>
      <c r="F2" s="39"/>
      <c r="G2" s="39"/>
      <c r="H2" s="39"/>
      <c r="I2" s="39"/>
    </row>
    <row r="3" spans="1:21" ht="15.5" x14ac:dyDescent="0.35">
      <c r="A3" s="40" t="str">
        <f>TABLE_FACTOR_TYPE_1&amp;" - x-"&amp;TABLE_SERIES_NUMBER_1</f>
        <v>Added pension - x-715</v>
      </c>
      <c r="B3" s="39"/>
      <c r="C3" s="39"/>
      <c r="D3" s="39"/>
      <c r="E3" s="39"/>
      <c r="F3" s="39"/>
      <c r="G3" s="39"/>
      <c r="H3" s="39"/>
      <c r="I3" s="39"/>
    </row>
    <row r="4" spans="1:21" x14ac:dyDescent="0.25">
      <c r="A4" s="41"/>
    </row>
    <row r="6" spans="1:21" ht="13" x14ac:dyDescent="0.3">
      <c r="A6" s="163" t="s">
        <v>276</v>
      </c>
      <c r="B6" s="107" t="s">
        <v>277</v>
      </c>
      <c r="C6" s="107"/>
      <c r="D6" s="107"/>
      <c r="E6" s="107"/>
      <c r="F6" s="107"/>
      <c r="G6" s="107"/>
      <c r="H6" s="107"/>
      <c r="I6" s="107"/>
      <c r="J6" s="107"/>
      <c r="K6" s="107"/>
      <c r="L6" s="107"/>
      <c r="M6" s="107"/>
      <c r="N6" s="107"/>
      <c r="O6" s="107"/>
      <c r="P6" s="107"/>
      <c r="Q6" s="107"/>
      <c r="R6" s="107"/>
      <c r="S6" s="107"/>
      <c r="T6" s="107"/>
      <c r="U6" s="107"/>
    </row>
    <row r="7" spans="1:21" x14ac:dyDescent="0.25">
      <c r="A7" s="69" t="s">
        <v>278</v>
      </c>
      <c r="B7" s="107" t="s">
        <v>310</v>
      </c>
      <c r="C7" s="107"/>
      <c r="D7" s="107"/>
      <c r="E7" s="107"/>
      <c r="F7" s="107"/>
      <c r="G7" s="107"/>
      <c r="H7" s="107"/>
      <c r="I7" s="107"/>
      <c r="J7" s="107"/>
      <c r="K7" s="107"/>
      <c r="L7" s="107"/>
      <c r="M7" s="107"/>
      <c r="N7" s="107"/>
      <c r="O7" s="107"/>
      <c r="P7" s="107"/>
      <c r="Q7" s="107"/>
      <c r="R7" s="107"/>
      <c r="S7" s="107"/>
      <c r="T7" s="107"/>
      <c r="U7" s="107"/>
    </row>
    <row r="8" spans="1:21" x14ac:dyDescent="0.25">
      <c r="A8" s="69" t="s">
        <v>280</v>
      </c>
      <c r="B8" s="107" t="s">
        <v>513</v>
      </c>
      <c r="C8" s="107"/>
      <c r="D8" s="107"/>
      <c r="E8" s="107"/>
      <c r="F8" s="107"/>
      <c r="G8" s="107"/>
      <c r="H8" s="107"/>
      <c r="I8" s="107"/>
      <c r="J8" s="107"/>
      <c r="K8" s="107"/>
      <c r="L8" s="107"/>
      <c r="M8" s="107"/>
      <c r="N8" s="107"/>
      <c r="O8" s="107"/>
      <c r="P8" s="107"/>
      <c r="Q8" s="107"/>
      <c r="R8" s="107"/>
      <c r="S8" s="107"/>
      <c r="T8" s="107"/>
      <c r="U8" s="107"/>
    </row>
    <row r="9" spans="1:21" x14ac:dyDescent="0.25">
      <c r="A9" s="69" t="s">
        <v>282</v>
      </c>
      <c r="B9" s="107" t="s">
        <v>514</v>
      </c>
      <c r="C9" s="107"/>
      <c r="D9" s="107"/>
      <c r="E9" s="107"/>
      <c r="F9" s="107"/>
      <c r="G9" s="107"/>
      <c r="H9" s="107"/>
      <c r="I9" s="107"/>
      <c r="J9" s="107"/>
      <c r="K9" s="107"/>
      <c r="L9" s="107"/>
      <c r="M9" s="107"/>
      <c r="N9" s="107"/>
      <c r="O9" s="107"/>
      <c r="P9" s="107"/>
      <c r="Q9" s="107"/>
      <c r="R9" s="107"/>
      <c r="S9" s="107"/>
      <c r="T9" s="107"/>
      <c r="U9" s="107"/>
    </row>
    <row r="10" spans="1:21" x14ac:dyDescent="0.25">
      <c r="A10" s="69" t="s">
        <v>6</v>
      </c>
      <c r="B10" s="107" t="s">
        <v>553</v>
      </c>
      <c r="C10" s="107"/>
      <c r="D10" s="107"/>
      <c r="E10" s="107"/>
      <c r="F10" s="107"/>
      <c r="G10" s="107"/>
      <c r="H10" s="107"/>
      <c r="I10" s="107"/>
      <c r="J10" s="107"/>
      <c r="K10" s="107"/>
      <c r="L10" s="107"/>
      <c r="M10" s="107"/>
      <c r="N10" s="107"/>
      <c r="O10" s="107"/>
      <c r="P10" s="107"/>
      <c r="Q10" s="107"/>
      <c r="R10" s="107"/>
      <c r="S10" s="107"/>
      <c r="T10" s="107"/>
      <c r="U10" s="107"/>
    </row>
    <row r="11" spans="1:21" x14ac:dyDescent="0.25">
      <c r="A11" s="69" t="s">
        <v>285</v>
      </c>
      <c r="B11" s="107" t="s">
        <v>359</v>
      </c>
      <c r="C11" s="107"/>
      <c r="D11" s="107"/>
      <c r="E11" s="107"/>
      <c r="F11" s="107"/>
      <c r="G11" s="107"/>
      <c r="H11" s="107"/>
      <c r="I11" s="107"/>
      <c r="J11" s="107"/>
      <c r="K11" s="107"/>
      <c r="L11" s="107"/>
      <c r="M11" s="107"/>
      <c r="N11" s="107"/>
      <c r="O11" s="107"/>
      <c r="P11" s="107"/>
      <c r="Q11" s="107"/>
      <c r="R11" s="107"/>
      <c r="S11" s="107"/>
      <c r="T11" s="107"/>
      <c r="U11" s="107"/>
    </row>
    <row r="12" spans="1:21" x14ac:dyDescent="0.25">
      <c r="A12" s="69" t="s">
        <v>287</v>
      </c>
      <c r="B12" s="107" t="s">
        <v>520</v>
      </c>
      <c r="C12" s="107"/>
      <c r="D12" s="107"/>
      <c r="E12" s="107"/>
      <c r="F12" s="107"/>
      <c r="G12" s="107"/>
      <c r="H12" s="107"/>
      <c r="I12" s="107"/>
      <c r="J12" s="107"/>
      <c r="K12" s="107"/>
      <c r="L12" s="107"/>
      <c r="M12" s="107"/>
      <c r="N12" s="107"/>
      <c r="O12" s="107"/>
      <c r="P12" s="107"/>
      <c r="Q12" s="107"/>
      <c r="R12" s="107"/>
      <c r="S12" s="107"/>
      <c r="T12" s="107"/>
      <c r="U12" s="107"/>
    </row>
    <row r="13" spans="1:21" x14ac:dyDescent="0.25">
      <c r="A13" s="69" t="s">
        <v>289</v>
      </c>
      <c r="B13" s="107">
        <v>0</v>
      </c>
      <c r="C13" s="107"/>
      <c r="D13" s="107"/>
      <c r="E13" s="107"/>
      <c r="F13" s="107"/>
      <c r="G13" s="107"/>
      <c r="H13" s="107"/>
      <c r="I13" s="107"/>
      <c r="J13" s="107"/>
      <c r="K13" s="107"/>
      <c r="L13" s="107"/>
      <c r="M13" s="107"/>
      <c r="N13" s="107"/>
      <c r="O13" s="107"/>
      <c r="P13" s="107"/>
      <c r="Q13" s="107"/>
      <c r="R13" s="107"/>
      <c r="S13" s="107"/>
      <c r="T13" s="107"/>
      <c r="U13" s="107"/>
    </row>
    <row r="14" spans="1:21" x14ac:dyDescent="0.25">
      <c r="A14" s="69" t="s">
        <v>291</v>
      </c>
      <c r="B14" s="107">
        <v>715</v>
      </c>
      <c r="C14" s="107"/>
      <c r="D14" s="107"/>
      <c r="E14" s="107"/>
      <c r="F14" s="107"/>
      <c r="G14" s="107"/>
      <c r="H14" s="107"/>
      <c r="I14" s="107"/>
      <c r="J14" s="107"/>
      <c r="K14" s="107"/>
      <c r="L14" s="107"/>
      <c r="M14" s="107"/>
      <c r="N14" s="107"/>
      <c r="O14" s="107"/>
      <c r="P14" s="107"/>
      <c r="Q14" s="107"/>
      <c r="R14" s="107"/>
      <c r="S14" s="107"/>
      <c r="T14" s="107"/>
      <c r="U14" s="107"/>
    </row>
    <row r="15" spans="1:21" x14ac:dyDescent="0.25">
      <c r="A15" s="69" t="s">
        <v>293</v>
      </c>
      <c r="B15" s="107" t="s">
        <v>554</v>
      </c>
      <c r="C15" s="107"/>
      <c r="D15" s="107"/>
      <c r="E15" s="107"/>
      <c r="F15" s="107"/>
      <c r="G15" s="107"/>
      <c r="H15" s="107"/>
      <c r="I15" s="107"/>
      <c r="J15" s="107"/>
      <c r="K15" s="107"/>
      <c r="L15" s="107"/>
      <c r="M15" s="107"/>
      <c r="N15" s="107"/>
      <c r="O15" s="107"/>
      <c r="P15" s="107"/>
      <c r="Q15" s="107"/>
      <c r="R15" s="107"/>
      <c r="S15" s="107"/>
      <c r="T15" s="107"/>
      <c r="U15" s="107"/>
    </row>
    <row r="16" spans="1:21" x14ac:dyDescent="0.25">
      <c r="A16" s="69" t="s">
        <v>295</v>
      </c>
      <c r="B16" s="107" t="s">
        <v>555</v>
      </c>
      <c r="C16" s="107"/>
      <c r="D16" s="107"/>
      <c r="E16" s="107"/>
      <c r="F16" s="107"/>
      <c r="G16" s="107"/>
      <c r="H16" s="107"/>
      <c r="I16" s="107"/>
      <c r="J16" s="107"/>
      <c r="K16" s="107"/>
      <c r="L16" s="107"/>
      <c r="M16" s="107"/>
      <c r="N16" s="107"/>
      <c r="O16" s="107"/>
      <c r="P16" s="107"/>
      <c r="Q16" s="107"/>
      <c r="R16" s="107"/>
      <c r="S16" s="107"/>
      <c r="T16" s="107"/>
      <c r="U16" s="107"/>
    </row>
    <row r="17" spans="1:21" x14ac:dyDescent="0.25">
      <c r="A17" s="69" t="s">
        <v>725</v>
      </c>
      <c r="B17" s="107"/>
      <c r="C17" s="107"/>
      <c r="D17" s="107"/>
      <c r="E17" s="107"/>
      <c r="F17" s="107"/>
      <c r="G17" s="107"/>
      <c r="H17" s="107"/>
      <c r="I17" s="107"/>
      <c r="J17" s="107"/>
      <c r="K17" s="107"/>
      <c r="L17" s="107"/>
      <c r="M17" s="107"/>
      <c r="N17" s="107"/>
      <c r="O17" s="107"/>
      <c r="P17" s="107"/>
      <c r="Q17" s="107"/>
      <c r="R17" s="107"/>
      <c r="S17" s="107"/>
      <c r="T17" s="107"/>
      <c r="U17" s="107"/>
    </row>
    <row r="18" spans="1:21" x14ac:dyDescent="0.25">
      <c r="A18" s="85" t="s">
        <v>299</v>
      </c>
      <c r="B18" s="164">
        <v>45202</v>
      </c>
      <c r="C18" s="107"/>
      <c r="D18" s="107"/>
      <c r="E18" s="107"/>
      <c r="F18" s="107"/>
      <c r="G18" s="107"/>
      <c r="H18" s="107"/>
      <c r="I18" s="107"/>
      <c r="J18" s="107"/>
      <c r="K18" s="107"/>
      <c r="L18" s="107"/>
      <c r="M18" s="107"/>
      <c r="N18" s="107"/>
      <c r="O18" s="107"/>
      <c r="P18" s="107"/>
      <c r="Q18" s="107"/>
      <c r="R18" s="107"/>
      <c r="S18" s="107"/>
      <c r="T18" s="107"/>
      <c r="U18" s="107"/>
    </row>
    <row r="19" spans="1:21" x14ac:dyDescent="0.25">
      <c r="A19" s="85" t="s">
        <v>301</v>
      </c>
      <c r="B19" s="164">
        <v>45202</v>
      </c>
      <c r="C19" s="107"/>
      <c r="D19" s="107"/>
      <c r="E19" s="107"/>
      <c r="F19" s="107"/>
      <c r="G19" s="107"/>
      <c r="H19" s="107"/>
      <c r="I19" s="107"/>
      <c r="J19" s="107"/>
      <c r="K19" s="107"/>
      <c r="L19" s="107"/>
      <c r="M19" s="107"/>
      <c r="N19" s="107"/>
      <c r="O19" s="107"/>
      <c r="P19" s="107"/>
      <c r="Q19" s="107"/>
      <c r="R19" s="107"/>
      <c r="S19" s="107"/>
      <c r="T19" s="107"/>
      <c r="U19" s="107"/>
    </row>
    <row r="20" spans="1:21" x14ac:dyDescent="0.25">
      <c r="A20" s="85" t="s">
        <v>303</v>
      </c>
      <c r="B20" s="107" t="s">
        <v>317</v>
      </c>
      <c r="C20" s="107"/>
      <c r="D20" s="107"/>
      <c r="E20" s="107"/>
      <c r="F20" s="107"/>
      <c r="G20" s="107"/>
      <c r="H20" s="107"/>
      <c r="I20" s="107"/>
      <c r="J20" s="107"/>
      <c r="K20" s="107"/>
      <c r="L20" s="107"/>
      <c r="M20" s="107"/>
      <c r="N20" s="107"/>
      <c r="O20" s="107"/>
      <c r="P20" s="107"/>
      <c r="Q20" s="107"/>
      <c r="R20" s="107"/>
      <c r="S20" s="107"/>
      <c r="T20" s="107"/>
      <c r="U20" s="107"/>
    </row>
    <row r="21" spans="1:21" x14ac:dyDescent="0.25">
      <c r="A21" s="85" t="s">
        <v>309</v>
      </c>
      <c r="B21" s="107" t="s">
        <v>318</v>
      </c>
      <c r="C21" s="107"/>
      <c r="D21" s="107"/>
      <c r="E21" s="107"/>
      <c r="F21" s="107"/>
      <c r="G21" s="107"/>
      <c r="H21" s="107"/>
      <c r="I21" s="107"/>
      <c r="J21" s="107"/>
      <c r="K21" s="107"/>
      <c r="L21" s="107"/>
      <c r="M21" s="107"/>
      <c r="N21" s="107"/>
      <c r="O21" s="107"/>
      <c r="P21" s="107"/>
      <c r="Q21" s="107"/>
      <c r="R21" s="107"/>
      <c r="S21" s="107"/>
      <c r="T21" s="107"/>
      <c r="U21" s="107"/>
    </row>
    <row r="23" spans="1:21" x14ac:dyDescent="0.25">
      <c r="B23" s="103" t="str">
        <f>HYPERLINK("#'Factor List'!A1","Back to Factor List")</f>
        <v>Back to Factor List</v>
      </c>
    </row>
    <row r="24" spans="1:21" x14ac:dyDescent="0.25">
      <c r="B24" s="103" t="s">
        <v>15</v>
      </c>
    </row>
    <row r="26" spans="1:21" ht="13" x14ac:dyDescent="0.25">
      <c r="A26" s="98" t="s">
        <v>408</v>
      </c>
      <c r="B26" s="98" t="s">
        <v>778</v>
      </c>
      <c r="C26" s="98" t="s">
        <v>779</v>
      </c>
      <c r="D26" s="98" t="s">
        <v>780</v>
      </c>
      <c r="E26" s="98" t="s">
        <v>781</v>
      </c>
      <c r="F26" s="98" t="s">
        <v>782</v>
      </c>
      <c r="G26" s="98" t="s">
        <v>783</v>
      </c>
      <c r="H26" s="98" t="s">
        <v>784</v>
      </c>
      <c r="I26" s="98" t="s">
        <v>785</v>
      </c>
      <c r="J26" s="98" t="s">
        <v>786</v>
      </c>
      <c r="K26" s="98" t="s">
        <v>787</v>
      </c>
      <c r="L26" s="98" t="s">
        <v>788</v>
      </c>
      <c r="M26" s="98" t="s">
        <v>789</v>
      </c>
      <c r="N26" s="98" t="s">
        <v>790</v>
      </c>
      <c r="O26" s="98" t="s">
        <v>791</v>
      </c>
      <c r="P26" s="98" t="s">
        <v>792</v>
      </c>
      <c r="Q26" s="98" t="s">
        <v>793</v>
      </c>
      <c r="R26" s="98" t="s">
        <v>794</v>
      </c>
      <c r="S26" s="98" t="s">
        <v>795</v>
      </c>
      <c r="T26" s="98" t="s">
        <v>796</v>
      </c>
      <c r="U26" s="98" t="s">
        <v>797</v>
      </c>
    </row>
    <row r="27" spans="1:21" x14ac:dyDescent="0.25">
      <c r="A27" s="99">
        <v>16</v>
      </c>
      <c r="B27" s="100">
        <v>179.8</v>
      </c>
      <c r="C27" s="100">
        <v>91.5</v>
      </c>
      <c r="D27" s="100">
        <v>62.1</v>
      </c>
      <c r="E27" s="100">
        <v>47.5</v>
      </c>
      <c r="F27" s="100">
        <v>38.700000000000003</v>
      </c>
      <c r="G27" s="100">
        <v>32.799999999999997</v>
      </c>
      <c r="H27" s="100">
        <v>28.6</v>
      </c>
      <c r="I27" s="100">
        <v>25.5</v>
      </c>
      <c r="J27" s="100">
        <v>23.1</v>
      </c>
      <c r="K27" s="100">
        <v>21.1</v>
      </c>
      <c r="L27" s="100">
        <v>19.5</v>
      </c>
      <c r="M27" s="100">
        <v>18.2</v>
      </c>
      <c r="N27" s="100">
        <v>17.100000000000001</v>
      </c>
      <c r="O27" s="100">
        <v>16.2</v>
      </c>
      <c r="P27" s="100">
        <v>15.3</v>
      </c>
      <c r="Q27" s="100">
        <v>14.6</v>
      </c>
      <c r="R27" s="100">
        <v>14</v>
      </c>
      <c r="S27" s="100">
        <v>13.4</v>
      </c>
      <c r="T27" s="100">
        <v>12.9</v>
      </c>
      <c r="U27" s="100">
        <v>12.5</v>
      </c>
    </row>
    <row r="28" spans="1:21" x14ac:dyDescent="0.25">
      <c r="A28" s="99">
        <v>17</v>
      </c>
      <c r="B28" s="100">
        <v>182.4</v>
      </c>
      <c r="C28" s="100">
        <v>92.9</v>
      </c>
      <c r="D28" s="100">
        <v>63</v>
      </c>
      <c r="E28" s="100">
        <v>48.2</v>
      </c>
      <c r="F28" s="100">
        <v>39.200000000000003</v>
      </c>
      <c r="G28" s="100">
        <v>33.299999999999997</v>
      </c>
      <c r="H28" s="100">
        <v>29</v>
      </c>
      <c r="I28" s="100">
        <v>25.9</v>
      </c>
      <c r="J28" s="100">
        <v>23.4</v>
      </c>
      <c r="K28" s="100">
        <v>21.4</v>
      </c>
      <c r="L28" s="100">
        <v>19.8</v>
      </c>
      <c r="M28" s="100">
        <v>18.5</v>
      </c>
      <c r="N28" s="100">
        <v>17.399999999999999</v>
      </c>
      <c r="O28" s="100">
        <v>16.399999999999999</v>
      </c>
      <c r="P28" s="100">
        <v>15.6</v>
      </c>
      <c r="Q28" s="100">
        <v>14.8</v>
      </c>
      <c r="R28" s="100">
        <v>14.2</v>
      </c>
      <c r="S28" s="100">
        <v>13.6</v>
      </c>
      <c r="T28" s="100">
        <v>13.1</v>
      </c>
      <c r="U28" s="100">
        <v>12.7</v>
      </c>
    </row>
    <row r="29" spans="1:21" x14ac:dyDescent="0.25">
      <c r="A29" s="99">
        <v>18</v>
      </c>
      <c r="B29" s="100">
        <v>185</v>
      </c>
      <c r="C29" s="100">
        <v>94.2</v>
      </c>
      <c r="D29" s="100">
        <v>64</v>
      </c>
      <c r="E29" s="100">
        <v>48.8</v>
      </c>
      <c r="F29" s="100">
        <v>39.799999999999997</v>
      </c>
      <c r="G29" s="100">
        <v>33.799999999999997</v>
      </c>
      <c r="H29" s="100">
        <v>29.5</v>
      </c>
      <c r="I29" s="100">
        <v>26.2</v>
      </c>
      <c r="J29" s="100">
        <v>23.7</v>
      </c>
      <c r="K29" s="100">
        <v>21.7</v>
      </c>
      <c r="L29" s="100">
        <v>20.100000000000001</v>
      </c>
      <c r="M29" s="100">
        <v>18.8</v>
      </c>
      <c r="N29" s="100">
        <v>17.600000000000001</v>
      </c>
      <c r="O29" s="100">
        <v>16.600000000000001</v>
      </c>
      <c r="P29" s="100">
        <v>15.8</v>
      </c>
      <c r="Q29" s="100">
        <v>15.1</v>
      </c>
      <c r="R29" s="100">
        <v>14.4</v>
      </c>
      <c r="S29" s="100">
        <v>13.8</v>
      </c>
      <c r="T29" s="100">
        <v>13.3</v>
      </c>
      <c r="U29" s="100">
        <v>12.9</v>
      </c>
    </row>
    <row r="30" spans="1:21" x14ac:dyDescent="0.25">
      <c r="A30" s="99">
        <v>19</v>
      </c>
      <c r="B30" s="100">
        <v>187.6</v>
      </c>
      <c r="C30" s="100">
        <v>95.6</v>
      </c>
      <c r="D30" s="100">
        <v>64.900000000000006</v>
      </c>
      <c r="E30" s="100">
        <v>49.5</v>
      </c>
      <c r="F30" s="100">
        <v>40.4</v>
      </c>
      <c r="G30" s="100">
        <v>34.200000000000003</v>
      </c>
      <c r="H30" s="100">
        <v>29.9</v>
      </c>
      <c r="I30" s="100">
        <v>26.6</v>
      </c>
      <c r="J30" s="100">
        <v>24.1</v>
      </c>
      <c r="K30" s="100">
        <v>22.1</v>
      </c>
      <c r="L30" s="100">
        <v>20.399999999999999</v>
      </c>
      <c r="M30" s="100">
        <v>19</v>
      </c>
      <c r="N30" s="100">
        <v>17.899999999999999</v>
      </c>
      <c r="O30" s="100">
        <v>16.899999999999999</v>
      </c>
      <c r="P30" s="100">
        <v>16</v>
      </c>
      <c r="Q30" s="100">
        <v>15.3</v>
      </c>
      <c r="R30" s="100">
        <v>14.6</v>
      </c>
      <c r="S30" s="100">
        <v>14</v>
      </c>
      <c r="T30" s="100">
        <v>13.5</v>
      </c>
      <c r="U30" s="100">
        <v>13.1</v>
      </c>
    </row>
    <row r="31" spans="1:21" x14ac:dyDescent="0.25">
      <c r="A31" s="99">
        <v>20</v>
      </c>
      <c r="B31" s="100">
        <v>190.3</v>
      </c>
      <c r="C31" s="100">
        <v>96.9</v>
      </c>
      <c r="D31" s="100">
        <v>65.8</v>
      </c>
      <c r="E31" s="100">
        <v>50.3</v>
      </c>
      <c r="F31" s="100">
        <v>40.9</v>
      </c>
      <c r="G31" s="100">
        <v>34.700000000000003</v>
      </c>
      <c r="H31" s="100">
        <v>30.3</v>
      </c>
      <c r="I31" s="100">
        <v>27</v>
      </c>
      <c r="J31" s="100">
        <v>24.4</v>
      </c>
      <c r="K31" s="100">
        <v>22.4</v>
      </c>
      <c r="L31" s="100">
        <v>20.7</v>
      </c>
      <c r="M31" s="100">
        <v>19.3</v>
      </c>
      <c r="N31" s="100">
        <v>18.100000000000001</v>
      </c>
      <c r="O31" s="100">
        <v>17.100000000000001</v>
      </c>
      <c r="P31" s="100">
        <v>16.2</v>
      </c>
      <c r="Q31" s="100">
        <v>15.5</v>
      </c>
      <c r="R31" s="100">
        <v>14.8</v>
      </c>
      <c r="S31" s="100">
        <v>14.2</v>
      </c>
      <c r="T31" s="100">
        <v>13.7</v>
      </c>
      <c r="U31" s="100">
        <v>13.2</v>
      </c>
    </row>
    <row r="32" spans="1:21" x14ac:dyDescent="0.25">
      <c r="A32" s="99">
        <v>21</v>
      </c>
      <c r="B32" s="100">
        <v>193</v>
      </c>
      <c r="C32" s="100">
        <v>98.3</v>
      </c>
      <c r="D32" s="100">
        <v>66.7</v>
      </c>
      <c r="E32" s="100">
        <v>51</v>
      </c>
      <c r="F32" s="100">
        <v>41.5</v>
      </c>
      <c r="G32" s="100">
        <v>35.200000000000003</v>
      </c>
      <c r="H32" s="100">
        <v>30.7</v>
      </c>
      <c r="I32" s="100">
        <v>27.4</v>
      </c>
      <c r="J32" s="100">
        <v>24.8</v>
      </c>
      <c r="K32" s="100">
        <v>22.7</v>
      </c>
      <c r="L32" s="100">
        <v>21</v>
      </c>
      <c r="M32" s="100">
        <v>19.600000000000001</v>
      </c>
      <c r="N32" s="100">
        <v>18.399999999999999</v>
      </c>
      <c r="O32" s="100">
        <v>17.399999999999999</v>
      </c>
      <c r="P32" s="100">
        <v>16.5</v>
      </c>
      <c r="Q32" s="100">
        <v>15.7</v>
      </c>
      <c r="R32" s="100">
        <v>15</v>
      </c>
      <c r="S32" s="100">
        <v>14.4</v>
      </c>
      <c r="T32" s="100">
        <v>13.9</v>
      </c>
      <c r="U32" s="100">
        <v>13.4</v>
      </c>
    </row>
    <row r="33" spans="1:21" x14ac:dyDescent="0.25">
      <c r="A33" s="99">
        <v>22</v>
      </c>
      <c r="B33" s="100">
        <v>195.7</v>
      </c>
      <c r="C33" s="100">
        <v>99.7</v>
      </c>
      <c r="D33" s="100">
        <v>67.7</v>
      </c>
      <c r="E33" s="100">
        <v>51.7</v>
      </c>
      <c r="F33" s="100">
        <v>42.1</v>
      </c>
      <c r="G33" s="100">
        <v>35.700000000000003</v>
      </c>
      <c r="H33" s="100">
        <v>31.2</v>
      </c>
      <c r="I33" s="100">
        <v>27.8</v>
      </c>
      <c r="J33" s="100">
        <v>25.1</v>
      </c>
      <c r="K33" s="100">
        <v>23</v>
      </c>
      <c r="L33" s="100">
        <v>21.3</v>
      </c>
      <c r="M33" s="100">
        <v>19.8</v>
      </c>
      <c r="N33" s="100">
        <v>18.600000000000001</v>
      </c>
      <c r="O33" s="100">
        <v>17.600000000000001</v>
      </c>
      <c r="P33" s="100">
        <v>16.7</v>
      </c>
      <c r="Q33" s="100">
        <v>15.9</v>
      </c>
      <c r="R33" s="100">
        <v>15.3</v>
      </c>
      <c r="S33" s="100">
        <v>14.7</v>
      </c>
      <c r="T33" s="100">
        <v>14.1</v>
      </c>
      <c r="U33" s="100">
        <v>13.6</v>
      </c>
    </row>
    <row r="34" spans="1:21" x14ac:dyDescent="0.25">
      <c r="A34" s="99">
        <v>23</v>
      </c>
      <c r="B34" s="100">
        <v>198.4</v>
      </c>
      <c r="C34" s="100">
        <v>101.1</v>
      </c>
      <c r="D34" s="100">
        <v>68.599999999999994</v>
      </c>
      <c r="E34" s="100">
        <v>52.4</v>
      </c>
      <c r="F34" s="100">
        <v>42.7</v>
      </c>
      <c r="G34" s="100">
        <v>36.200000000000003</v>
      </c>
      <c r="H34" s="100">
        <v>31.6</v>
      </c>
      <c r="I34" s="100">
        <v>28.1</v>
      </c>
      <c r="J34" s="100">
        <v>25.5</v>
      </c>
      <c r="K34" s="100">
        <v>23.3</v>
      </c>
      <c r="L34" s="100">
        <v>21.6</v>
      </c>
      <c r="M34" s="100">
        <v>20.100000000000001</v>
      </c>
      <c r="N34" s="100">
        <v>18.899999999999999</v>
      </c>
      <c r="O34" s="100">
        <v>17.899999999999999</v>
      </c>
      <c r="P34" s="100">
        <v>17</v>
      </c>
      <c r="Q34" s="100">
        <v>16.2</v>
      </c>
      <c r="R34" s="100">
        <v>15.5</v>
      </c>
      <c r="S34" s="100">
        <v>14.9</v>
      </c>
      <c r="T34" s="100">
        <v>14.3</v>
      </c>
      <c r="U34" s="100">
        <v>13.8</v>
      </c>
    </row>
    <row r="35" spans="1:21" x14ac:dyDescent="0.25">
      <c r="A35" s="99">
        <v>24</v>
      </c>
      <c r="B35" s="100">
        <v>201.2</v>
      </c>
      <c r="C35" s="100">
        <v>102.5</v>
      </c>
      <c r="D35" s="100">
        <v>69.599999999999994</v>
      </c>
      <c r="E35" s="100">
        <v>53.1</v>
      </c>
      <c r="F35" s="100">
        <v>43.3</v>
      </c>
      <c r="G35" s="100">
        <v>36.700000000000003</v>
      </c>
      <c r="H35" s="100">
        <v>32</v>
      </c>
      <c r="I35" s="100">
        <v>28.5</v>
      </c>
      <c r="J35" s="100">
        <v>25.8</v>
      </c>
      <c r="K35" s="100">
        <v>23.7</v>
      </c>
      <c r="L35" s="100">
        <v>21.9</v>
      </c>
      <c r="M35" s="100">
        <v>20.399999999999999</v>
      </c>
      <c r="N35" s="100">
        <v>19.2</v>
      </c>
      <c r="O35" s="100">
        <v>18.100000000000001</v>
      </c>
      <c r="P35" s="100">
        <v>17.2</v>
      </c>
      <c r="Q35" s="100">
        <v>16.399999999999999</v>
      </c>
      <c r="R35" s="100">
        <v>15.7</v>
      </c>
      <c r="S35" s="100">
        <v>15.1</v>
      </c>
      <c r="T35" s="100">
        <v>14.5</v>
      </c>
      <c r="U35" s="100">
        <v>14</v>
      </c>
    </row>
    <row r="36" spans="1:21" x14ac:dyDescent="0.25">
      <c r="A36" s="99">
        <v>25</v>
      </c>
      <c r="B36" s="100">
        <v>204</v>
      </c>
      <c r="C36" s="100">
        <v>103.9</v>
      </c>
      <c r="D36" s="100">
        <v>70.5</v>
      </c>
      <c r="E36" s="100">
        <v>53.9</v>
      </c>
      <c r="F36" s="100">
        <v>43.9</v>
      </c>
      <c r="G36" s="100">
        <v>37.200000000000003</v>
      </c>
      <c r="H36" s="100">
        <v>32.5</v>
      </c>
      <c r="I36" s="100">
        <v>28.9</v>
      </c>
      <c r="J36" s="100">
        <v>26.2</v>
      </c>
      <c r="K36" s="100">
        <v>24</v>
      </c>
      <c r="L36" s="100">
        <v>22.2</v>
      </c>
      <c r="M36" s="100">
        <v>20.7</v>
      </c>
      <c r="N36" s="100">
        <v>19.399999999999999</v>
      </c>
      <c r="O36" s="100">
        <v>18.399999999999999</v>
      </c>
      <c r="P36" s="100">
        <v>17.399999999999999</v>
      </c>
      <c r="Q36" s="100">
        <v>16.600000000000001</v>
      </c>
      <c r="R36" s="100">
        <v>15.9</v>
      </c>
      <c r="S36" s="100">
        <v>15.3</v>
      </c>
      <c r="T36" s="100">
        <v>14.7</v>
      </c>
      <c r="U36" s="100">
        <v>14.2</v>
      </c>
    </row>
    <row r="37" spans="1:21" x14ac:dyDescent="0.25">
      <c r="A37" s="99">
        <v>26</v>
      </c>
      <c r="B37" s="100">
        <v>206.8</v>
      </c>
      <c r="C37" s="100">
        <v>105.3</v>
      </c>
      <c r="D37" s="100">
        <v>71.5</v>
      </c>
      <c r="E37" s="100">
        <v>54.6</v>
      </c>
      <c r="F37" s="100">
        <v>44.5</v>
      </c>
      <c r="G37" s="100">
        <v>37.799999999999997</v>
      </c>
      <c r="H37" s="100">
        <v>33</v>
      </c>
      <c r="I37" s="100">
        <v>29.4</v>
      </c>
      <c r="J37" s="100">
        <v>26.6</v>
      </c>
      <c r="K37" s="100">
        <v>24.3</v>
      </c>
      <c r="L37" s="100">
        <v>22.5</v>
      </c>
      <c r="M37" s="100">
        <v>21</v>
      </c>
      <c r="N37" s="100">
        <v>19.7</v>
      </c>
      <c r="O37" s="100">
        <v>18.600000000000001</v>
      </c>
      <c r="P37" s="100">
        <v>17.7</v>
      </c>
      <c r="Q37" s="100">
        <v>16.899999999999999</v>
      </c>
      <c r="R37" s="100">
        <v>16.2</v>
      </c>
      <c r="S37" s="100">
        <v>15.5</v>
      </c>
      <c r="T37" s="100">
        <v>14.9</v>
      </c>
      <c r="U37" s="100">
        <v>14.4</v>
      </c>
    </row>
    <row r="38" spans="1:21" x14ac:dyDescent="0.25">
      <c r="A38" s="99">
        <v>27</v>
      </c>
      <c r="B38" s="100">
        <v>209.7</v>
      </c>
      <c r="C38" s="100">
        <v>106.8</v>
      </c>
      <c r="D38" s="100">
        <v>72.5</v>
      </c>
      <c r="E38" s="100">
        <v>55.4</v>
      </c>
      <c r="F38" s="100">
        <v>45.1</v>
      </c>
      <c r="G38" s="100">
        <v>38.299999999999997</v>
      </c>
      <c r="H38" s="100">
        <v>33.4</v>
      </c>
      <c r="I38" s="100">
        <v>29.8</v>
      </c>
      <c r="J38" s="100">
        <v>26.9</v>
      </c>
      <c r="K38" s="100">
        <v>24.7</v>
      </c>
      <c r="L38" s="100">
        <v>22.8</v>
      </c>
      <c r="M38" s="100">
        <v>21.3</v>
      </c>
      <c r="N38" s="100">
        <v>20</v>
      </c>
      <c r="O38" s="100">
        <v>18.899999999999999</v>
      </c>
      <c r="P38" s="100">
        <v>17.899999999999999</v>
      </c>
      <c r="Q38" s="100">
        <v>17.100000000000001</v>
      </c>
      <c r="R38" s="100">
        <v>16.399999999999999</v>
      </c>
      <c r="S38" s="100">
        <v>15.7</v>
      </c>
      <c r="T38" s="100">
        <v>15.2</v>
      </c>
      <c r="U38" s="100">
        <v>14.6</v>
      </c>
    </row>
    <row r="39" spans="1:21" x14ac:dyDescent="0.25">
      <c r="A39" s="99">
        <v>28</v>
      </c>
      <c r="B39" s="100">
        <v>212.6</v>
      </c>
      <c r="C39" s="100">
        <v>108.3</v>
      </c>
      <c r="D39" s="100">
        <v>73.5</v>
      </c>
      <c r="E39" s="100">
        <v>56.2</v>
      </c>
      <c r="F39" s="100">
        <v>45.8</v>
      </c>
      <c r="G39" s="100">
        <v>38.799999999999997</v>
      </c>
      <c r="H39" s="100">
        <v>33.9</v>
      </c>
      <c r="I39" s="100">
        <v>30.2</v>
      </c>
      <c r="J39" s="100">
        <v>27.3</v>
      </c>
      <c r="K39" s="100">
        <v>25</v>
      </c>
      <c r="L39" s="100">
        <v>23.1</v>
      </c>
      <c r="M39" s="100">
        <v>21.6</v>
      </c>
      <c r="N39" s="100">
        <v>20.3</v>
      </c>
      <c r="O39" s="100">
        <v>19.2</v>
      </c>
      <c r="P39" s="100">
        <v>18.2</v>
      </c>
      <c r="Q39" s="100">
        <v>17.399999999999999</v>
      </c>
      <c r="R39" s="100">
        <v>16.600000000000001</v>
      </c>
      <c r="S39" s="100">
        <v>16</v>
      </c>
      <c r="T39" s="100">
        <v>15.4</v>
      </c>
      <c r="U39" s="100">
        <v>14.9</v>
      </c>
    </row>
    <row r="40" spans="1:21" x14ac:dyDescent="0.25">
      <c r="A40" s="99">
        <v>29</v>
      </c>
      <c r="B40" s="100">
        <v>215.5</v>
      </c>
      <c r="C40" s="100">
        <v>109.8</v>
      </c>
      <c r="D40" s="100">
        <v>74.5</v>
      </c>
      <c r="E40" s="100">
        <v>56.9</v>
      </c>
      <c r="F40" s="100">
        <v>46.4</v>
      </c>
      <c r="G40" s="100">
        <v>39.4</v>
      </c>
      <c r="H40" s="100">
        <v>34.4</v>
      </c>
      <c r="I40" s="100">
        <v>30.6</v>
      </c>
      <c r="J40" s="100">
        <v>27.7</v>
      </c>
      <c r="K40" s="100">
        <v>25.4</v>
      </c>
      <c r="L40" s="100">
        <v>23.5</v>
      </c>
      <c r="M40" s="100">
        <v>21.9</v>
      </c>
      <c r="N40" s="100">
        <v>20.6</v>
      </c>
      <c r="O40" s="100">
        <v>19.399999999999999</v>
      </c>
      <c r="P40" s="100">
        <v>18.5</v>
      </c>
      <c r="Q40" s="100">
        <v>17.600000000000001</v>
      </c>
      <c r="R40" s="100">
        <v>16.899999999999999</v>
      </c>
      <c r="S40" s="100">
        <v>16.2</v>
      </c>
      <c r="T40" s="100">
        <v>15.6</v>
      </c>
      <c r="U40" s="100">
        <v>15.1</v>
      </c>
    </row>
    <row r="41" spans="1:21" x14ac:dyDescent="0.25">
      <c r="A41" s="99">
        <v>30</v>
      </c>
      <c r="B41" s="100">
        <v>218.5</v>
      </c>
      <c r="C41" s="100">
        <v>111.3</v>
      </c>
      <c r="D41" s="100">
        <v>75.599999999999994</v>
      </c>
      <c r="E41" s="100">
        <v>57.7</v>
      </c>
      <c r="F41" s="100">
        <v>47</v>
      </c>
      <c r="G41" s="100">
        <v>39.9</v>
      </c>
      <c r="H41" s="100">
        <v>34.799999999999997</v>
      </c>
      <c r="I41" s="100">
        <v>31</v>
      </c>
      <c r="J41" s="100">
        <v>28.1</v>
      </c>
      <c r="K41" s="100">
        <v>25.7</v>
      </c>
      <c r="L41" s="100">
        <v>23.8</v>
      </c>
      <c r="M41" s="100">
        <v>22.2</v>
      </c>
      <c r="N41" s="100">
        <v>20.9</v>
      </c>
      <c r="O41" s="100">
        <v>19.7</v>
      </c>
      <c r="P41" s="100">
        <v>18.7</v>
      </c>
      <c r="Q41" s="100">
        <v>17.899999999999999</v>
      </c>
      <c r="R41" s="100">
        <v>17.100000000000001</v>
      </c>
      <c r="S41" s="100">
        <v>16.399999999999999</v>
      </c>
      <c r="T41" s="100">
        <v>15.8</v>
      </c>
      <c r="U41" s="100">
        <v>15.3</v>
      </c>
    </row>
    <row r="42" spans="1:21" x14ac:dyDescent="0.25">
      <c r="A42" s="99">
        <v>31</v>
      </c>
      <c r="B42" s="100">
        <v>221.5</v>
      </c>
      <c r="C42" s="100">
        <v>112.8</v>
      </c>
      <c r="D42" s="100">
        <v>76.599999999999994</v>
      </c>
      <c r="E42" s="100">
        <v>58.5</v>
      </c>
      <c r="F42" s="100">
        <v>47.7</v>
      </c>
      <c r="G42" s="100">
        <v>40.5</v>
      </c>
      <c r="H42" s="100">
        <v>35.299999999999997</v>
      </c>
      <c r="I42" s="100">
        <v>31.5</v>
      </c>
      <c r="J42" s="100">
        <v>28.5</v>
      </c>
      <c r="K42" s="100">
        <v>26.1</v>
      </c>
      <c r="L42" s="100">
        <v>24.1</v>
      </c>
      <c r="M42" s="100">
        <v>22.5</v>
      </c>
      <c r="N42" s="100">
        <v>21.2</v>
      </c>
      <c r="O42" s="100">
        <v>20</v>
      </c>
      <c r="P42" s="100">
        <v>19</v>
      </c>
      <c r="Q42" s="100">
        <v>18.100000000000001</v>
      </c>
      <c r="R42" s="100">
        <v>17.399999999999999</v>
      </c>
      <c r="S42" s="100">
        <v>16.7</v>
      </c>
      <c r="T42" s="100">
        <v>16.100000000000001</v>
      </c>
      <c r="U42" s="100">
        <v>15.5</v>
      </c>
    </row>
    <row r="43" spans="1:21" x14ac:dyDescent="0.25">
      <c r="A43" s="99">
        <v>32</v>
      </c>
      <c r="B43" s="100">
        <v>224.5</v>
      </c>
      <c r="C43" s="100">
        <v>114.4</v>
      </c>
      <c r="D43" s="100">
        <v>77.7</v>
      </c>
      <c r="E43" s="100">
        <v>59.3</v>
      </c>
      <c r="F43" s="100">
        <v>48.4</v>
      </c>
      <c r="G43" s="100">
        <v>41</v>
      </c>
      <c r="H43" s="100">
        <v>35.799999999999997</v>
      </c>
      <c r="I43" s="100">
        <v>31.9</v>
      </c>
      <c r="J43" s="100">
        <v>28.9</v>
      </c>
      <c r="K43" s="100">
        <v>26.5</v>
      </c>
      <c r="L43" s="100">
        <v>24.5</v>
      </c>
      <c r="M43" s="100">
        <v>22.9</v>
      </c>
      <c r="N43" s="100">
        <v>21.5</v>
      </c>
      <c r="O43" s="100">
        <v>20.3</v>
      </c>
      <c r="P43" s="100">
        <v>19.3</v>
      </c>
      <c r="Q43" s="100">
        <v>18.399999999999999</v>
      </c>
      <c r="R43" s="100">
        <v>17.600000000000001</v>
      </c>
      <c r="S43" s="100">
        <v>16.899999999999999</v>
      </c>
      <c r="T43" s="100">
        <v>16.3</v>
      </c>
      <c r="U43" s="100">
        <v>15.8</v>
      </c>
    </row>
    <row r="44" spans="1:21" x14ac:dyDescent="0.25">
      <c r="A44" s="99">
        <v>33</v>
      </c>
      <c r="B44" s="100">
        <v>227.6</v>
      </c>
      <c r="C44" s="100">
        <v>115.9</v>
      </c>
      <c r="D44" s="100">
        <v>78.7</v>
      </c>
      <c r="E44" s="100">
        <v>60.2</v>
      </c>
      <c r="F44" s="100">
        <v>49</v>
      </c>
      <c r="G44" s="100">
        <v>41.6</v>
      </c>
      <c r="H44" s="100">
        <v>36.299999999999997</v>
      </c>
      <c r="I44" s="100">
        <v>32.4</v>
      </c>
      <c r="J44" s="100">
        <v>29.3</v>
      </c>
      <c r="K44" s="100">
        <v>26.8</v>
      </c>
      <c r="L44" s="100">
        <v>24.8</v>
      </c>
      <c r="M44" s="100">
        <v>23.2</v>
      </c>
      <c r="N44" s="100">
        <v>21.8</v>
      </c>
      <c r="O44" s="100">
        <v>20.6</v>
      </c>
      <c r="P44" s="100">
        <v>19.5</v>
      </c>
      <c r="Q44" s="100">
        <v>18.7</v>
      </c>
      <c r="R44" s="100">
        <v>17.899999999999999</v>
      </c>
      <c r="S44" s="100">
        <v>17.2</v>
      </c>
      <c r="T44" s="100">
        <v>16.5</v>
      </c>
      <c r="U44" s="100">
        <v>16</v>
      </c>
    </row>
    <row r="45" spans="1:21" x14ac:dyDescent="0.25">
      <c r="A45" s="99">
        <v>34</v>
      </c>
      <c r="B45" s="100">
        <v>230.7</v>
      </c>
      <c r="C45" s="100">
        <v>117.5</v>
      </c>
      <c r="D45" s="100">
        <v>79.8</v>
      </c>
      <c r="E45" s="100">
        <v>61</v>
      </c>
      <c r="F45" s="100">
        <v>49.7</v>
      </c>
      <c r="G45" s="100">
        <v>42.2</v>
      </c>
      <c r="H45" s="100">
        <v>36.799999999999997</v>
      </c>
      <c r="I45" s="100">
        <v>32.799999999999997</v>
      </c>
      <c r="J45" s="100">
        <v>29.7</v>
      </c>
      <c r="K45" s="100">
        <v>27.2</v>
      </c>
      <c r="L45" s="100">
        <v>25.2</v>
      </c>
      <c r="M45" s="100">
        <v>23.5</v>
      </c>
      <c r="N45" s="100">
        <v>22.1</v>
      </c>
      <c r="O45" s="100">
        <v>20.9</v>
      </c>
      <c r="P45" s="100">
        <v>19.8</v>
      </c>
      <c r="Q45" s="100">
        <v>18.899999999999999</v>
      </c>
      <c r="R45" s="100">
        <v>18.100000000000001</v>
      </c>
      <c r="S45" s="100">
        <v>17.399999999999999</v>
      </c>
      <c r="T45" s="100">
        <v>16.8</v>
      </c>
      <c r="U45" s="100">
        <v>16.2</v>
      </c>
    </row>
    <row r="46" spans="1:21" x14ac:dyDescent="0.25">
      <c r="A46" s="99">
        <v>35</v>
      </c>
      <c r="B46" s="100">
        <v>233.8</v>
      </c>
      <c r="C46" s="100">
        <v>119.1</v>
      </c>
      <c r="D46" s="100">
        <v>80.900000000000006</v>
      </c>
      <c r="E46" s="100">
        <v>61.8</v>
      </c>
      <c r="F46" s="100">
        <v>50.4</v>
      </c>
      <c r="G46" s="100">
        <v>42.8</v>
      </c>
      <c r="H46" s="100">
        <v>37.299999999999997</v>
      </c>
      <c r="I46" s="100">
        <v>33.299999999999997</v>
      </c>
      <c r="J46" s="100">
        <v>30.1</v>
      </c>
      <c r="K46" s="100">
        <v>27.6</v>
      </c>
      <c r="L46" s="100">
        <v>25.5</v>
      </c>
      <c r="M46" s="100">
        <v>23.8</v>
      </c>
      <c r="N46" s="100">
        <v>22.4</v>
      </c>
      <c r="O46" s="100">
        <v>21.2</v>
      </c>
      <c r="P46" s="100">
        <v>20.100000000000001</v>
      </c>
      <c r="Q46" s="100">
        <v>19.2</v>
      </c>
      <c r="R46" s="100">
        <v>18.399999999999999</v>
      </c>
      <c r="S46" s="100">
        <v>17.7</v>
      </c>
      <c r="T46" s="100">
        <v>17</v>
      </c>
      <c r="U46" s="100">
        <v>16.5</v>
      </c>
    </row>
    <row r="47" spans="1:21" x14ac:dyDescent="0.25">
      <c r="A47" s="99">
        <v>36</v>
      </c>
      <c r="B47" s="100">
        <v>236.9</v>
      </c>
      <c r="C47" s="100">
        <v>120.7</v>
      </c>
      <c r="D47" s="100">
        <v>82</v>
      </c>
      <c r="E47" s="100">
        <v>62.7</v>
      </c>
      <c r="F47" s="100">
        <v>51.1</v>
      </c>
      <c r="G47" s="100">
        <v>43.3</v>
      </c>
      <c r="H47" s="100">
        <v>37.799999999999997</v>
      </c>
      <c r="I47" s="100">
        <v>33.700000000000003</v>
      </c>
      <c r="J47" s="100">
        <v>30.5</v>
      </c>
      <c r="K47" s="100">
        <v>28</v>
      </c>
      <c r="L47" s="100">
        <v>25.9</v>
      </c>
      <c r="M47" s="100">
        <v>24.2</v>
      </c>
      <c r="N47" s="100">
        <v>22.7</v>
      </c>
      <c r="O47" s="100">
        <v>21.5</v>
      </c>
      <c r="P47" s="100">
        <v>20.399999999999999</v>
      </c>
      <c r="Q47" s="100">
        <v>19.5</v>
      </c>
      <c r="R47" s="100">
        <v>18.7</v>
      </c>
      <c r="S47" s="100">
        <v>17.899999999999999</v>
      </c>
      <c r="T47" s="100">
        <v>17.3</v>
      </c>
      <c r="U47" s="100">
        <v>16.7</v>
      </c>
    </row>
    <row r="48" spans="1:21" x14ac:dyDescent="0.25">
      <c r="A48" s="99">
        <v>37</v>
      </c>
      <c r="B48" s="100">
        <v>240.1</v>
      </c>
      <c r="C48" s="100">
        <v>122.3</v>
      </c>
      <c r="D48" s="100">
        <v>83.1</v>
      </c>
      <c r="E48" s="100">
        <v>63.5</v>
      </c>
      <c r="F48" s="100">
        <v>51.8</v>
      </c>
      <c r="G48" s="100">
        <v>43.9</v>
      </c>
      <c r="H48" s="100">
        <v>38.4</v>
      </c>
      <c r="I48" s="100">
        <v>34.200000000000003</v>
      </c>
      <c r="J48" s="100">
        <v>31</v>
      </c>
      <c r="K48" s="100">
        <v>28.4</v>
      </c>
      <c r="L48" s="100">
        <v>26.3</v>
      </c>
      <c r="M48" s="100">
        <v>24.5</v>
      </c>
      <c r="N48" s="100">
        <v>23</v>
      </c>
      <c r="O48" s="100">
        <v>21.8</v>
      </c>
      <c r="P48" s="100">
        <v>20.7</v>
      </c>
      <c r="Q48" s="100">
        <v>19.8</v>
      </c>
      <c r="R48" s="100">
        <v>18.899999999999999</v>
      </c>
      <c r="S48" s="100">
        <v>18.2</v>
      </c>
      <c r="T48" s="100">
        <v>17.600000000000001</v>
      </c>
      <c r="U48" s="100">
        <v>17</v>
      </c>
    </row>
    <row r="49" spans="1:21" x14ac:dyDescent="0.25">
      <c r="A49" s="99">
        <v>38</v>
      </c>
      <c r="B49" s="100">
        <v>243.3</v>
      </c>
      <c r="C49" s="100">
        <v>124</v>
      </c>
      <c r="D49" s="100">
        <v>84.2</v>
      </c>
      <c r="E49" s="100">
        <v>64.400000000000006</v>
      </c>
      <c r="F49" s="100">
        <v>52.5</v>
      </c>
      <c r="G49" s="100">
        <v>44.5</v>
      </c>
      <c r="H49" s="100">
        <v>38.9</v>
      </c>
      <c r="I49" s="100">
        <v>34.700000000000003</v>
      </c>
      <c r="J49" s="100">
        <v>31.4</v>
      </c>
      <c r="K49" s="100">
        <v>28.8</v>
      </c>
      <c r="L49" s="100">
        <v>26.6</v>
      </c>
      <c r="M49" s="100">
        <v>24.9</v>
      </c>
      <c r="N49" s="100">
        <v>23.4</v>
      </c>
      <c r="O49" s="100">
        <v>22.1</v>
      </c>
      <c r="P49" s="100">
        <v>21</v>
      </c>
      <c r="Q49" s="100">
        <v>20.100000000000001</v>
      </c>
      <c r="R49" s="100">
        <v>19.2</v>
      </c>
      <c r="S49" s="100">
        <v>18.5</v>
      </c>
      <c r="T49" s="100">
        <v>17.8</v>
      </c>
      <c r="U49" s="100">
        <v>17.3</v>
      </c>
    </row>
    <row r="50" spans="1:21" x14ac:dyDescent="0.25">
      <c r="A50" s="99">
        <v>39</v>
      </c>
      <c r="B50" s="100">
        <v>246.6</v>
      </c>
      <c r="C50" s="100">
        <v>125.6</v>
      </c>
      <c r="D50" s="100">
        <v>85.4</v>
      </c>
      <c r="E50" s="100">
        <v>65.2</v>
      </c>
      <c r="F50" s="100">
        <v>53.2</v>
      </c>
      <c r="G50" s="100">
        <v>45.1</v>
      </c>
      <c r="H50" s="100">
        <v>39.4</v>
      </c>
      <c r="I50" s="100">
        <v>35.1</v>
      </c>
      <c r="J50" s="100">
        <v>31.8</v>
      </c>
      <c r="K50" s="100">
        <v>29.2</v>
      </c>
      <c r="L50" s="100">
        <v>27</v>
      </c>
      <c r="M50" s="100">
        <v>25.2</v>
      </c>
      <c r="N50" s="100">
        <v>23.7</v>
      </c>
      <c r="O50" s="100">
        <v>22.4</v>
      </c>
      <c r="P50" s="100">
        <v>21.3</v>
      </c>
      <c r="Q50" s="100">
        <v>20.399999999999999</v>
      </c>
      <c r="R50" s="100">
        <v>19.5</v>
      </c>
      <c r="S50" s="100">
        <v>18.8</v>
      </c>
      <c r="T50" s="100">
        <v>18.100000000000001</v>
      </c>
      <c r="U50" s="100">
        <v>17.5</v>
      </c>
    </row>
    <row r="51" spans="1:21" x14ac:dyDescent="0.25">
      <c r="A51" s="99">
        <v>40</v>
      </c>
      <c r="B51" s="100">
        <v>249.8</v>
      </c>
      <c r="C51" s="100">
        <v>127.3</v>
      </c>
      <c r="D51" s="100">
        <v>86.5</v>
      </c>
      <c r="E51" s="100">
        <v>66.099999999999994</v>
      </c>
      <c r="F51" s="100">
        <v>53.9</v>
      </c>
      <c r="G51" s="100">
        <v>45.8</v>
      </c>
      <c r="H51" s="100">
        <v>40</v>
      </c>
      <c r="I51" s="100">
        <v>35.6</v>
      </c>
      <c r="J51" s="100">
        <v>32.299999999999997</v>
      </c>
      <c r="K51" s="100">
        <v>29.6</v>
      </c>
      <c r="L51" s="100">
        <v>27.4</v>
      </c>
      <c r="M51" s="100">
        <v>25.6</v>
      </c>
      <c r="N51" s="100">
        <v>24.1</v>
      </c>
      <c r="O51" s="100">
        <v>22.8</v>
      </c>
      <c r="P51" s="100">
        <v>21.6</v>
      </c>
      <c r="Q51" s="100">
        <v>20.7</v>
      </c>
      <c r="R51" s="100">
        <v>19.8</v>
      </c>
      <c r="S51" s="100">
        <v>19.100000000000001</v>
      </c>
      <c r="T51" s="100">
        <v>18.399999999999999</v>
      </c>
      <c r="U51" s="100">
        <v>17.8</v>
      </c>
    </row>
    <row r="52" spans="1:21" x14ac:dyDescent="0.25">
      <c r="A52" s="99">
        <v>41</v>
      </c>
      <c r="B52" s="100">
        <v>253.2</v>
      </c>
      <c r="C52" s="100">
        <v>129</v>
      </c>
      <c r="D52" s="100">
        <v>87.7</v>
      </c>
      <c r="E52" s="100">
        <v>67</v>
      </c>
      <c r="F52" s="100">
        <v>54.6</v>
      </c>
      <c r="G52" s="100">
        <v>46.4</v>
      </c>
      <c r="H52" s="100">
        <v>40.5</v>
      </c>
      <c r="I52" s="100">
        <v>36.1</v>
      </c>
      <c r="J52" s="100">
        <v>32.700000000000003</v>
      </c>
      <c r="K52" s="100">
        <v>30</v>
      </c>
      <c r="L52" s="100">
        <v>27.8</v>
      </c>
      <c r="M52" s="100">
        <v>26</v>
      </c>
      <c r="N52" s="100">
        <v>24.4</v>
      </c>
      <c r="O52" s="100">
        <v>23.1</v>
      </c>
      <c r="P52" s="100">
        <v>22</v>
      </c>
      <c r="Q52" s="100">
        <v>21</v>
      </c>
      <c r="R52" s="100">
        <v>20.100000000000001</v>
      </c>
      <c r="S52" s="100">
        <v>19.399999999999999</v>
      </c>
      <c r="T52" s="100">
        <v>18.7</v>
      </c>
      <c r="U52" s="100">
        <v>18.100000000000001</v>
      </c>
    </row>
    <row r="53" spans="1:21" x14ac:dyDescent="0.25">
      <c r="A53" s="99">
        <v>42</v>
      </c>
      <c r="B53" s="100">
        <v>256.5</v>
      </c>
      <c r="C53" s="100">
        <v>130.80000000000001</v>
      </c>
      <c r="D53" s="100">
        <v>88.9</v>
      </c>
      <c r="E53" s="100">
        <v>67.900000000000006</v>
      </c>
      <c r="F53" s="100">
        <v>55.4</v>
      </c>
      <c r="G53" s="100">
        <v>47</v>
      </c>
      <c r="H53" s="100">
        <v>41.1</v>
      </c>
      <c r="I53" s="100">
        <v>36.6</v>
      </c>
      <c r="J53" s="100">
        <v>33.200000000000003</v>
      </c>
      <c r="K53" s="100">
        <v>30.4</v>
      </c>
      <c r="L53" s="100">
        <v>28.2</v>
      </c>
      <c r="M53" s="100">
        <v>26.3</v>
      </c>
      <c r="N53" s="100">
        <v>24.8</v>
      </c>
      <c r="O53" s="100">
        <v>23.4</v>
      </c>
      <c r="P53" s="100">
        <v>22.3</v>
      </c>
      <c r="Q53" s="100">
        <v>21.3</v>
      </c>
      <c r="R53" s="100">
        <v>20.5</v>
      </c>
      <c r="S53" s="100">
        <v>19.7</v>
      </c>
      <c r="T53" s="100">
        <v>19</v>
      </c>
      <c r="U53" s="100">
        <v>18.399999999999999</v>
      </c>
    </row>
    <row r="54" spans="1:21" x14ac:dyDescent="0.25">
      <c r="A54" s="99">
        <v>43</v>
      </c>
      <c r="B54" s="100">
        <v>259.89999999999998</v>
      </c>
      <c r="C54" s="100">
        <v>132.5</v>
      </c>
      <c r="D54" s="100">
        <v>90</v>
      </c>
      <c r="E54" s="100">
        <v>68.8</v>
      </c>
      <c r="F54" s="100">
        <v>56.1</v>
      </c>
      <c r="G54" s="100">
        <v>47.7</v>
      </c>
      <c r="H54" s="100">
        <v>41.7</v>
      </c>
      <c r="I54" s="100">
        <v>37.1</v>
      </c>
      <c r="J54" s="100">
        <v>33.700000000000003</v>
      </c>
      <c r="K54" s="100">
        <v>30.9</v>
      </c>
      <c r="L54" s="100">
        <v>28.6</v>
      </c>
      <c r="M54" s="100">
        <v>26.7</v>
      </c>
      <c r="N54" s="100">
        <v>25.2</v>
      </c>
      <c r="O54" s="100">
        <v>23.8</v>
      </c>
      <c r="P54" s="100">
        <v>22.7</v>
      </c>
      <c r="Q54" s="100">
        <v>21.7</v>
      </c>
      <c r="R54" s="100">
        <v>20.8</v>
      </c>
      <c r="S54" s="100">
        <v>20</v>
      </c>
      <c r="T54" s="100">
        <v>19.399999999999999</v>
      </c>
      <c r="U54" s="100">
        <v>18.8</v>
      </c>
    </row>
    <row r="55" spans="1:21" x14ac:dyDescent="0.25">
      <c r="A55" s="99">
        <v>44</v>
      </c>
      <c r="B55" s="100">
        <v>263.3</v>
      </c>
      <c r="C55" s="100">
        <v>134.19999999999999</v>
      </c>
      <c r="D55" s="100">
        <v>91.2</v>
      </c>
      <c r="E55" s="100">
        <v>69.8</v>
      </c>
      <c r="F55" s="100">
        <v>56.9</v>
      </c>
      <c r="G55" s="100">
        <v>48.3</v>
      </c>
      <c r="H55" s="100">
        <v>42.2</v>
      </c>
      <c r="I55" s="100">
        <v>37.700000000000003</v>
      </c>
      <c r="J55" s="100">
        <v>34.1</v>
      </c>
      <c r="K55" s="100">
        <v>31.3</v>
      </c>
      <c r="L55" s="100">
        <v>29</v>
      </c>
      <c r="M55" s="100">
        <v>27.1</v>
      </c>
      <c r="N55" s="100">
        <v>25.5</v>
      </c>
      <c r="O55" s="100">
        <v>24.2</v>
      </c>
      <c r="P55" s="100">
        <v>23</v>
      </c>
      <c r="Q55" s="100">
        <v>22</v>
      </c>
      <c r="R55" s="100">
        <v>21.1</v>
      </c>
      <c r="S55" s="100">
        <v>20.399999999999999</v>
      </c>
      <c r="T55" s="100">
        <v>19.7</v>
      </c>
      <c r="U55" s="100">
        <v>19.100000000000001</v>
      </c>
    </row>
    <row r="56" spans="1:21" x14ac:dyDescent="0.25">
      <c r="A56" s="99">
        <v>45</v>
      </c>
      <c r="B56" s="100">
        <v>266.7</v>
      </c>
      <c r="C56" s="100">
        <v>136</v>
      </c>
      <c r="D56" s="100">
        <v>92.5</v>
      </c>
      <c r="E56" s="100">
        <v>70.7</v>
      </c>
      <c r="F56" s="100">
        <v>57.7</v>
      </c>
      <c r="G56" s="100">
        <v>49</v>
      </c>
      <c r="H56" s="100">
        <v>42.8</v>
      </c>
      <c r="I56" s="100">
        <v>38.200000000000003</v>
      </c>
      <c r="J56" s="100">
        <v>34.6</v>
      </c>
      <c r="K56" s="100">
        <v>31.8</v>
      </c>
      <c r="L56" s="100">
        <v>29.5</v>
      </c>
      <c r="M56" s="100">
        <v>27.6</v>
      </c>
      <c r="N56" s="100">
        <v>25.9</v>
      </c>
      <c r="O56" s="100">
        <v>24.6</v>
      </c>
      <c r="P56" s="100">
        <v>23.4</v>
      </c>
      <c r="Q56" s="100">
        <v>22.4</v>
      </c>
      <c r="R56" s="100">
        <v>21.5</v>
      </c>
      <c r="S56" s="100">
        <v>20.7</v>
      </c>
      <c r="T56" s="100">
        <v>20</v>
      </c>
      <c r="U56" s="100">
        <v>19.399999999999999</v>
      </c>
    </row>
    <row r="57" spans="1:21" x14ac:dyDescent="0.25">
      <c r="A57" s="99">
        <v>46</v>
      </c>
      <c r="B57" s="100">
        <v>270.2</v>
      </c>
      <c r="C57" s="100">
        <v>137.80000000000001</v>
      </c>
      <c r="D57" s="100">
        <v>93.7</v>
      </c>
      <c r="E57" s="100">
        <v>71.599999999999994</v>
      </c>
      <c r="F57" s="100">
        <v>58.4</v>
      </c>
      <c r="G57" s="100">
        <v>49.7</v>
      </c>
      <c r="H57" s="100">
        <v>43.4</v>
      </c>
      <c r="I57" s="100">
        <v>38.700000000000003</v>
      </c>
      <c r="J57" s="100">
        <v>35.1</v>
      </c>
      <c r="K57" s="100">
        <v>32.299999999999997</v>
      </c>
      <c r="L57" s="100">
        <v>29.9</v>
      </c>
      <c r="M57" s="100">
        <v>28</v>
      </c>
      <c r="N57" s="100">
        <v>26.4</v>
      </c>
      <c r="O57" s="100">
        <v>25</v>
      </c>
      <c r="P57" s="100">
        <v>23.8</v>
      </c>
      <c r="Q57" s="100">
        <v>22.8</v>
      </c>
      <c r="R57" s="100">
        <v>21.9</v>
      </c>
      <c r="S57" s="100">
        <v>21.1</v>
      </c>
      <c r="T57" s="100">
        <v>20.399999999999999</v>
      </c>
      <c r="U57" s="100">
        <v>19.8</v>
      </c>
    </row>
    <row r="58" spans="1:21" x14ac:dyDescent="0.25">
      <c r="A58" s="99">
        <v>47</v>
      </c>
      <c r="B58" s="100">
        <v>273.8</v>
      </c>
      <c r="C58" s="100">
        <v>139.6</v>
      </c>
      <c r="D58" s="100">
        <v>94.9</v>
      </c>
      <c r="E58" s="100">
        <v>72.599999999999994</v>
      </c>
      <c r="F58" s="100">
        <v>59.2</v>
      </c>
      <c r="G58" s="100">
        <v>50.4</v>
      </c>
      <c r="H58" s="100">
        <v>44</v>
      </c>
      <c r="I58" s="100">
        <v>39.299999999999997</v>
      </c>
      <c r="J58" s="100">
        <v>35.700000000000003</v>
      </c>
      <c r="K58" s="100">
        <v>32.799999999999997</v>
      </c>
      <c r="L58" s="100">
        <v>30.4</v>
      </c>
      <c r="M58" s="100">
        <v>28.4</v>
      </c>
      <c r="N58" s="100">
        <v>26.8</v>
      </c>
      <c r="O58" s="100">
        <v>25.4</v>
      </c>
      <c r="P58" s="100">
        <v>24.2</v>
      </c>
      <c r="Q58" s="100">
        <v>23.2</v>
      </c>
      <c r="R58" s="100">
        <v>22.3</v>
      </c>
      <c r="S58" s="100">
        <v>21.5</v>
      </c>
      <c r="T58" s="100">
        <v>20.8</v>
      </c>
      <c r="U58" s="100">
        <v>20.2</v>
      </c>
    </row>
    <row r="59" spans="1:21" x14ac:dyDescent="0.25">
      <c r="A59" s="99">
        <v>48</v>
      </c>
      <c r="B59" s="100">
        <v>277.3</v>
      </c>
      <c r="C59" s="100">
        <v>141.5</v>
      </c>
      <c r="D59" s="100">
        <v>96.2</v>
      </c>
      <c r="E59" s="100">
        <v>73.599999999999994</v>
      </c>
      <c r="F59" s="100">
        <v>60.1</v>
      </c>
      <c r="G59" s="100">
        <v>51.1</v>
      </c>
      <c r="H59" s="100">
        <v>44.7</v>
      </c>
      <c r="I59" s="100">
        <v>39.9</v>
      </c>
      <c r="J59" s="100">
        <v>36.200000000000003</v>
      </c>
      <c r="K59" s="100">
        <v>33.299999999999997</v>
      </c>
      <c r="L59" s="100">
        <v>30.9</v>
      </c>
      <c r="M59" s="100">
        <v>28.9</v>
      </c>
      <c r="N59" s="100">
        <v>27.3</v>
      </c>
      <c r="O59" s="100">
        <v>25.9</v>
      </c>
      <c r="P59" s="100">
        <v>24.7</v>
      </c>
      <c r="Q59" s="100">
        <v>23.6</v>
      </c>
      <c r="R59" s="100">
        <v>22.7</v>
      </c>
      <c r="S59" s="100">
        <v>21.9</v>
      </c>
      <c r="T59" s="100">
        <v>21.2</v>
      </c>
      <c r="U59" s="100">
        <v>20.6</v>
      </c>
    </row>
    <row r="60" spans="1:21" x14ac:dyDescent="0.25">
      <c r="A60" s="99">
        <v>49</v>
      </c>
      <c r="B60" s="100">
        <v>281</v>
      </c>
      <c r="C60" s="100">
        <v>143.4</v>
      </c>
      <c r="D60" s="100">
        <v>97.5</v>
      </c>
      <c r="E60" s="100">
        <v>74.7</v>
      </c>
      <c r="F60" s="100">
        <v>61</v>
      </c>
      <c r="G60" s="100">
        <v>51.9</v>
      </c>
      <c r="H60" s="100">
        <v>45.4</v>
      </c>
      <c r="I60" s="100">
        <v>40.6</v>
      </c>
      <c r="J60" s="100">
        <v>36.799999999999997</v>
      </c>
      <c r="K60" s="100">
        <v>33.9</v>
      </c>
      <c r="L60" s="100">
        <v>31.4</v>
      </c>
      <c r="M60" s="100">
        <v>29.4</v>
      </c>
      <c r="N60" s="100">
        <v>27.8</v>
      </c>
      <c r="O60" s="100">
        <v>26.4</v>
      </c>
      <c r="P60" s="100">
        <v>25.1</v>
      </c>
      <c r="Q60" s="100">
        <v>24.1</v>
      </c>
      <c r="R60" s="100">
        <v>23.2</v>
      </c>
      <c r="S60" s="100">
        <v>22.4</v>
      </c>
      <c r="T60" s="100">
        <v>21.7</v>
      </c>
      <c r="U60" s="100"/>
    </row>
    <row r="61" spans="1:21" x14ac:dyDescent="0.25">
      <c r="A61" s="99">
        <v>50</v>
      </c>
      <c r="B61" s="100">
        <v>284.8</v>
      </c>
      <c r="C61" s="100">
        <v>145.30000000000001</v>
      </c>
      <c r="D61" s="100">
        <v>98.9</v>
      </c>
      <c r="E61" s="100">
        <v>75.8</v>
      </c>
      <c r="F61" s="100">
        <v>61.9</v>
      </c>
      <c r="G61" s="100">
        <v>52.7</v>
      </c>
      <c r="H61" s="100">
        <v>46.1</v>
      </c>
      <c r="I61" s="100">
        <v>41.2</v>
      </c>
      <c r="J61" s="100">
        <v>37.5</v>
      </c>
      <c r="K61" s="100">
        <v>34.4</v>
      </c>
      <c r="L61" s="100">
        <v>32</v>
      </c>
      <c r="M61" s="100">
        <v>30</v>
      </c>
      <c r="N61" s="100">
        <v>28.3</v>
      </c>
      <c r="O61" s="100">
        <v>26.9</v>
      </c>
      <c r="P61" s="100">
        <v>25.6</v>
      </c>
      <c r="Q61" s="100">
        <v>24.6</v>
      </c>
      <c r="R61" s="100">
        <v>23.7</v>
      </c>
      <c r="S61" s="100">
        <v>22.8</v>
      </c>
      <c r="T61" s="100"/>
      <c r="U61" s="100"/>
    </row>
    <row r="62" spans="1:21" x14ac:dyDescent="0.25">
      <c r="A62" s="99">
        <v>51</v>
      </c>
      <c r="B62" s="100">
        <v>288.60000000000002</v>
      </c>
      <c r="C62" s="100">
        <v>147.4</v>
      </c>
      <c r="D62" s="100">
        <v>100.3</v>
      </c>
      <c r="E62" s="100">
        <v>76.900000000000006</v>
      </c>
      <c r="F62" s="100">
        <v>62.8</v>
      </c>
      <c r="G62" s="100">
        <v>53.5</v>
      </c>
      <c r="H62" s="100">
        <v>46.9</v>
      </c>
      <c r="I62" s="100">
        <v>41.9</v>
      </c>
      <c r="J62" s="100">
        <v>38.1</v>
      </c>
      <c r="K62" s="100">
        <v>35.1</v>
      </c>
      <c r="L62" s="100">
        <v>32.6</v>
      </c>
      <c r="M62" s="100">
        <v>30.5</v>
      </c>
      <c r="N62" s="100">
        <v>28.8</v>
      </c>
      <c r="O62" s="100">
        <v>27.4</v>
      </c>
      <c r="P62" s="100">
        <v>26.2</v>
      </c>
      <c r="Q62" s="100">
        <v>25.1</v>
      </c>
      <c r="R62" s="100">
        <v>24.1</v>
      </c>
      <c r="S62" s="100"/>
      <c r="T62" s="100"/>
      <c r="U62" s="100"/>
    </row>
    <row r="63" spans="1:21" x14ac:dyDescent="0.25">
      <c r="A63" s="99">
        <v>52</v>
      </c>
      <c r="B63" s="100">
        <v>292.39999999999998</v>
      </c>
      <c r="C63" s="100">
        <v>149.4</v>
      </c>
      <c r="D63" s="100">
        <v>101.8</v>
      </c>
      <c r="E63" s="100">
        <v>78</v>
      </c>
      <c r="F63" s="100">
        <v>63.8</v>
      </c>
      <c r="G63" s="100">
        <v>54.3</v>
      </c>
      <c r="H63" s="100">
        <v>47.6</v>
      </c>
      <c r="I63" s="100">
        <v>42.6</v>
      </c>
      <c r="J63" s="100">
        <v>38.700000000000003</v>
      </c>
      <c r="K63" s="100">
        <v>35.700000000000003</v>
      </c>
      <c r="L63" s="100">
        <v>33.200000000000003</v>
      </c>
      <c r="M63" s="100">
        <v>31.1</v>
      </c>
      <c r="N63" s="100">
        <v>29.4</v>
      </c>
      <c r="O63" s="100">
        <v>27.9</v>
      </c>
      <c r="P63" s="100">
        <v>26.7</v>
      </c>
      <c r="Q63" s="100">
        <v>25.6</v>
      </c>
      <c r="R63" s="100"/>
      <c r="S63" s="100"/>
      <c r="T63" s="100"/>
      <c r="U63" s="100"/>
    </row>
    <row r="64" spans="1:21" x14ac:dyDescent="0.25">
      <c r="A64" s="99">
        <v>53</v>
      </c>
      <c r="B64" s="100">
        <v>296.2</v>
      </c>
      <c r="C64" s="100">
        <v>151.4</v>
      </c>
      <c r="D64" s="100">
        <v>103.2</v>
      </c>
      <c r="E64" s="100">
        <v>79.099999999999994</v>
      </c>
      <c r="F64" s="100">
        <v>64.7</v>
      </c>
      <c r="G64" s="100">
        <v>55.2</v>
      </c>
      <c r="H64" s="100">
        <v>48.4</v>
      </c>
      <c r="I64" s="100">
        <v>43.3</v>
      </c>
      <c r="J64" s="100">
        <v>39.4</v>
      </c>
      <c r="K64" s="100">
        <v>36.299999999999997</v>
      </c>
      <c r="L64" s="100">
        <v>33.799999999999997</v>
      </c>
      <c r="M64" s="100">
        <v>31.7</v>
      </c>
      <c r="N64" s="100">
        <v>29.9</v>
      </c>
      <c r="O64" s="100">
        <v>28.5</v>
      </c>
      <c r="P64" s="100">
        <v>27.2</v>
      </c>
      <c r="Q64" s="100"/>
      <c r="R64" s="100"/>
      <c r="S64" s="100"/>
      <c r="T64" s="100"/>
      <c r="U64" s="100"/>
    </row>
    <row r="65" spans="1:21" x14ac:dyDescent="0.25">
      <c r="A65" s="99">
        <v>54</v>
      </c>
      <c r="B65" s="100">
        <v>300</v>
      </c>
      <c r="C65" s="100">
        <v>153.4</v>
      </c>
      <c r="D65" s="100">
        <v>104.6</v>
      </c>
      <c r="E65" s="100">
        <v>80.3</v>
      </c>
      <c r="F65" s="100">
        <v>65.7</v>
      </c>
      <c r="G65" s="100">
        <v>56</v>
      </c>
      <c r="H65" s="100">
        <v>49.2</v>
      </c>
      <c r="I65" s="100">
        <v>44</v>
      </c>
      <c r="J65" s="100">
        <v>40.1</v>
      </c>
      <c r="K65" s="100">
        <v>36.9</v>
      </c>
      <c r="L65" s="100">
        <v>34.4</v>
      </c>
      <c r="M65" s="100">
        <v>32.299999999999997</v>
      </c>
      <c r="N65" s="100">
        <v>30.5</v>
      </c>
      <c r="O65" s="100">
        <v>29</v>
      </c>
      <c r="P65" s="100"/>
      <c r="Q65" s="100"/>
      <c r="R65" s="100"/>
      <c r="S65" s="100"/>
      <c r="T65" s="100"/>
      <c r="U65" s="100"/>
    </row>
    <row r="66" spans="1:21" x14ac:dyDescent="0.25">
      <c r="A66" s="99">
        <v>55</v>
      </c>
      <c r="B66" s="100">
        <v>303.8</v>
      </c>
      <c r="C66" s="100">
        <v>155.5</v>
      </c>
      <c r="D66" s="100">
        <v>106.1</v>
      </c>
      <c r="E66" s="100">
        <v>81.400000000000006</v>
      </c>
      <c r="F66" s="100">
        <v>66.7</v>
      </c>
      <c r="G66" s="100">
        <v>56.9</v>
      </c>
      <c r="H66" s="100">
        <v>50</v>
      </c>
      <c r="I66" s="100">
        <v>44.8</v>
      </c>
      <c r="J66" s="100">
        <v>40.799999999999997</v>
      </c>
      <c r="K66" s="100">
        <v>37.6</v>
      </c>
      <c r="L66" s="100">
        <v>35</v>
      </c>
      <c r="M66" s="100">
        <v>32.9</v>
      </c>
      <c r="N66" s="100">
        <v>31.1</v>
      </c>
      <c r="O66" s="100"/>
      <c r="P66" s="100"/>
      <c r="Q66" s="100"/>
      <c r="R66" s="100"/>
      <c r="S66" s="100"/>
      <c r="T66" s="100"/>
      <c r="U66" s="100"/>
    </row>
    <row r="67" spans="1:21" x14ac:dyDescent="0.25">
      <c r="A67" s="99">
        <v>56</v>
      </c>
      <c r="B67" s="100">
        <v>307.8</v>
      </c>
      <c r="C67" s="100">
        <v>157.6</v>
      </c>
      <c r="D67" s="100">
        <v>107.6</v>
      </c>
      <c r="E67" s="100">
        <v>82.6</v>
      </c>
      <c r="F67" s="100">
        <v>67.7</v>
      </c>
      <c r="G67" s="100">
        <v>57.8</v>
      </c>
      <c r="H67" s="100">
        <v>50.8</v>
      </c>
      <c r="I67" s="100">
        <v>45.5</v>
      </c>
      <c r="J67" s="100">
        <v>41.5</v>
      </c>
      <c r="K67" s="100">
        <v>38.299999999999997</v>
      </c>
      <c r="L67" s="100">
        <v>35.6</v>
      </c>
      <c r="M67" s="100">
        <v>33.5</v>
      </c>
      <c r="N67" s="100"/>
      <c r="O67" s="100"/>
      <c r="P67" s="100"/>
      <c r="Q67" s="100"/>
      <c r="R67" s="100"/>
      <c r="S67" s="100"/>
      <c r="T67" s="100"/>
      <c r="U67" s="100"/>
    </row>
    <row r="68" spans="1:21" x14ac:dyDescent="0.25">
      <c r="A68" s="99">
        <v>57</v>
      </c>
      <c r="B68" s="100">
        <v>311.8</v>
      </c>
      <c r="C68" s="100">
        <v>159.69999999999999</v>
      </c>
      <c r="D68" s="100">
        <v>109.1</v>
      </c>
      <c r="E68" s="100">
        <v>83.8</v>
      </c>
      <c r="F68" s="100">
        <v>68.8</v>
      </c>
      <c r="G68" s="100">
        <v>58.7</v>
      </c>
      <c r="H68" s="100">
        <v>51.6</v>
      </c>
      <c r="I68" s="100">
        <v>46.3</v>
      </c>
      <c r="J68" s="100">
        <v>42.2</v>
      </c>
      <c r="K68" s="100">
        <v>38.9</v>
      </c>
      <c r="L68" s="100">
        <v>36.4</v>
      </c>
      <c r="M68" s="100"/>
      <c r="N68" s="100"/>
      <c r="O68" s="100"/>
      <c r="P68" s="100"/>
      <c r="Q68" s="100"/>
      <c r="R68" s="100"/>
      <c r="S68" s="100"/>
      <c r="T68" s="100"/>
      <c r="U68" s="100"/>
    </row>
    <row r="69" spans="1:21" x14ac:dyDescent="0.25">
      <c r="A69" s="99">
        <v>58</v>
      </c>
      <c r="B69" s="100">
        <v>315.89999999999998</v>
      </c>
      <c r="C69" s="100">
        <v>161.9</v>
      </c>
      <c r="D69" s="100">
        <v>110.7</v>
      </c>
      <c r="E69" s="100">
        <v>85.1</v>
      </c>
      <c r="F69" s="100">
        <v>69.8</v>
      </c>
      <c r="G69" s="100">
        <v>59.7</v>
      </c>
      <c r="H69" s="100">
        <v>52.5</v>
      </c>
      <c r="I69" s="100">
        <v>47.1</v>
      </c>
      <c r="J69" s="100">
        <v>42.9</v>
      </c>
      <c r="K69" s="100">
        <v>39.700000000000003</v>
      </c>
      <c r="L69" s="100"/>
      <c r="M69" s="100"/>
      <c r="N69" s="100"/>
      <c r="O69" s="100"/>
      <c r="P69" s="100"/>
      <c r="Q69" s="100"/>
      <c r="R69" s="100"/>
      <c r="S69" s="100"/>
      <c r="T69" s="100"/>
      <c r="U69" s="100"/>
    </row>
    <row r="70" spans="1:21" x14ac:dyDescent="0.25">
      <c r="A70" s="99">
        <v>59</v>
      </c>
      <c r="B70" s="100">
        <v>320.2</v>
      </c>
      <c r="C70" s="100">
        <v>164.2</v>
      </c>
      <c r="D70" s="100">
        <v>112.3</v>
      </c>
      <c r="E70" s="100">
        <v>86.4</v>
      </c>
      <c r="F70" s="100">
        <v>70.900000000000006</v>
      </c>
      <c r="G70" s="100">
        <v>60.7</v>
      </c>
      <c r="H70" s="100">
        <v>53.3</v>
      </c>
      <c r="I70" s="100">
        <v>47.9</v>
      </c>
      <c r="J70" s="100">
        <v>43.8</v>
      </c>
      <c r="K70" s="100"/>
      <c r="L70" s="100"/>
      <c r="M70" s="100"/>
      <c r="N70" s="100"/>
      <c r="O70" s="100"/>
      <c r="P70" s="100"/>
      <c r="Q70" s="100"/>
      <c r="R70" s="100"/>
      <c r="S70" s="100"/>
      <c r="T70" s="100"/>
      <c r="U70" s="100"/>
    </row>
    <row r="71" spans="1:21" x14ac:dyDescent="0.25">
      <c r="A71" s="99">
        <v>60</v>
      </c>
      <c r="B71" s="100">
        <v>324.7</v>
      </c>
      <c r="C71" s="100">
        <v>166.6</v>
      </c>
      <c r="D71" s="100">
        <v>114</v>
      </c>
      <c r="E71" s="100">
        <v>87.8</v>
      </c>
      <c r="F71" s="100">
        <v>72.099999999999994</v>
      </c>
      <c r="G71" s="100">
        <v>61.7</v>
      </c>
      <c r="H71" s="100">
        <v>54.3</v>
      </c>
      <c r="I71" s="100">
        <v>48.9</v>
      </c>
      <c r="J71" s="100"/>
      <c r="K71" s="100"/>
      <c r="L71" s="100"/>
      <c r="M71" s="100"/>
      <c r="N71" s="100"/>
      <c r="O71" s="100"/>
      <c r="P71" s="100"/>
      <c r="Q71" s="100"/>
      <c r="R71" s="100"/>
      <c r="S71" s="100"/>
      <c r="T71" s="100"/>
      <c r="U71" s="100"/>
    </row>
    <row r="72" spans="1:21" x14ac:dyDescent="0.25">
      <c r="A72" s="99">
        <v>61</v>
      </c>
      <c r="B72" s="100">
        <v>329.5</v>
      </c>
      <c r="C72" s="100">
        <v>169.2</v>
      </c>
      <c r="D72" s="100">
        <v>115.8</v>
      </c>
      <c r="E72" s="100">
        <v>89.2</v>
      </c>
      <c r="F72" s="100">
        <v>73.3</v>
      </c>
      <c r="G72" s="100">
        <v>62.7</v>
      </c>
      <c r="H72" s="100">
        <v>55.4</v>
      </c>
      <c r="I72" s="100"/>
      <c r="J72" s="100"/>
      <c r="K72" s="100"/>
      <c r="L72" s="100"/>
      <c r="M72" s="100"/>
      <c r="N72" s="100"/>
      <c r="O72" s="100"/>
      <c r="P72" s="100"/>
      <c r="Q72" s="100"/>
      <c r="R72" s="100"/>
      <c r="S72" s="100"/>
      <c r="T72" s="100"/>
      <c r="U72" s="100"/>
    </row>
    <row r="73" spans="1:21" x14ac:dyDescent="0.25">
      <c r="A73" s="99">
        <v>62</v>
      </c>
      <c r="B73" s="100">
        <v>334.5</v>
      </c>
      <c r="C73" s="100">
        <v>171.8</v>
      </c>
      <c r="D73" s="100">
        <v>117.7</v>
      </c>
      <c r="E73" s="100">
        <v>90.7</v>
      </c>
      <c r="F73" s="100">
        <v>74.599999999999994</v>
      </c>
      <c r="G73" s="100">
        <v>64</v>
      </c>
      <c r="H73" s="100"/>
      <c r="I73" s="100"/>
      <c r="J73" s="100"/>
      <c r="K73" s="100"/>
      <c r="L73" s="100"/>
      <c r="M73" s="100"/>
      <c r="N73" s="100"/>
      <c r="O73" s="100"/>
      <c r="P73" s="100"/>
      <c r="Q73" s="100"/>
      <c r="R73" s="100"/>
      <c r="S73" s="100"/>
      <c r="T73" s="100"/>
      <c r="U73" s="100"/>
    </row>
    <row r="74" spans="1:21" x14ac:dyDescent="0.25">
      <c r="A74" s="99">
        <v>63</v>
      </c>
      <c r="B74" s="100">
        <v>339.9</v>
      </c>
      <c r="C74" s="100">
        <v>174.7</v>
      </c>
      <c r="D74" s="100">
        <v>119.7</v>
      </c>
      <c r="E74" s="100">
        <v>92.3</v>
      </c>
      <c r="F74" s="100">
        <v>76.099999999999994</v>
      </c>
      <c r="G74" s="100"/>
      <c r="H74" s="100"/>
      <c r="I74" s="100"/>
      <c r="J74" s="100"/>
      <c r="K74" s="100"/>
      <c r="L74" s="100"/>
      <c r="M74" s="100"/>
      <c r="N74" s="100"/>
      <c r="O74" s="100"/>
      <c r="P74" s="100"/>
      <c r="Q74" s="100"/>
      <c r="R74" s="100"/>
      <c r="S74" s="100"/>
      <c r="T74" s="100"/>
      <c r="U74" s="100"/>
    </row>
    <row r="75" spans="1:21" x14ac:dyDescent="0.25">
      <c r="A75" s="99">
        <v>64</v>
      </c>
      <c r="B75" s="100">
        <v>345.8</v>
      </c>
      <c r="C75" s="100">
        <v>177.8</v>
      </c>
      <c r="D75" s="100">
        <v>121.9</v>
      </c>
      <c r="E75" s="100">
        <v>94.2</v>
      </c>
      <c r="F75" s="100"/>
      <c r="G75" s="100"/>
      <c r="H75" s="100"/>
      <c r="I75" s="100"/>
      <c r="J75" s="100"/>
      <c r="K75" s="100"/>
      <c r="L75" s="100"/>
      <c r="M75" s="100"/>
      <c r="N75" s="100"/>
      <c r="O75" s="100"/>
      <c r="P75" s="100"/>
      <c r="Q75" s="100"/>
      <c r="R75" s="100"/>
      <c r="S75" s="100"/>
      <c r="T75" s="100"/>
      <c r="U75" s="100"/>
    </row>
    <row r="76" spans="1:21" x14ac:dyDescent="0.25">
      <c r="A76" s="99">
        <v>65</v>
      </c>
      <c r="B76" s="100">
        <v>352.1</v>
      </c>
      <c r="C76" s="100">
        <v>181.1</v>
      </c>
      <c r="D76" s="100">
        <v>124.4</v>
      </c>
      <c r="E76" s="100"/>
      <c r="F76" s="100"/>
      <c r="G76" s="100"/>
      <c r="H76" s="100"/>
      <c r="I76" s="100"/>
      <c r="J76" s="100"/>
      <c r="K76" s="100"/>
      <c r="L76" s="100"/>
      <c r="M76" s="100"/>
      <c r="N76" s="100"/>
      <c r="O76" s="100"/>
      <c r="P76" s="100"/>
      <c r="Q76" s="100"/>
      <c r="R76" s="100"/>
      <c r="S76" s="100"/>
      <c r="T76" s="100"/>
      <c r="U76" s="100"/>
    </row>
    <row r="77" spans="1:21" x14ac:dyDescent="0.25">
      <c r="A77" s="99">
        <v>66</v>
      </c>
      <c r="B77" s="100">
        <v>358.8</v>
      </c>
      <c r="C77" s="100">
        <v>184.8</v>
      </c>
      <c r="D77" s="100"/>
      <c r="E77" s="100"/>
      <c r="F77" s="100"/>
      <c r="G77" s="100"/>
      <c r="H77" s="100"/>
      <c r="I77" s="100"/>
      <c r="J77" s="100"/>
      <c r="K77" s="100"/>
      <c r="L77" s="100"/>
      <c r="M77" s="100"/>
      <c r="N77" s="100"/>
      <c r="O77" s="100"/>
      <c r="P77" s="100"/>
      <c r="Q77" s="100"/>
      <c r="R77" s="100"/>
      <c r="S77" s="100"/>
      <c r="T77" s="100"/>
      <c r="U77" s="100"/>
    </row>
    <row r="78" spans="1:21" x14ac:dyDescent="0.25">
      <c r="A78" s="99">
        <v>67</v>
      </c>
      <c r="B78" s="100">
        <v>366.1</v>
      </c>
      <c r="C78" s="100"/>
      <c r="D78" s="100"/>
      <c r="E78" s="100"/>
      <c r="F78" s="100"/>
      <c r="G78" s="100"/>
      <c r="H78" s="100"/>
      <c r="I78" s="100"/>
      <c r="J78" s="100"/>
      <c r="K78" s="100"/>
      <c r="L78" s="100"/>
      <c r="M78" s="100"/>
      <c r="N78" s="100"/>
      <c r="O78" s="100"/>
      <c r="P78" s="100"/>
      <c r="Q78" s="100"/>
      <c r="R78" s="100"/>
      <c r="S78" s="100"/>
      <c r="T78" s="100"/>
      <c r="U78" s="100"/>
    </row>
  </sheetData>
  <sheetProtection algorithmName="SHA-512" hashValue="ylIUXfPViUA7gkVDzM0LHxlv7FPE+gEvemt6DYDqmNHtZZRe2CyVq4N5xm+EZgZ19yky/URTrHXN6ITSNClGfg==" saltValue="zcwPR+/p4wpunIjyNvnOtg==" spinCount="100000" sheet="1" objects="1" scenarios="1"/>
  <conditionalFormatting sqref="A6:A21">
    <cfRule type="expression" dxfId="357" priority="17" stopIfTrue="1">
      <formula>MOD(ROW(),2)=0</formula>
    </cfRule>
    <cfRule type="expression" dxfId="356" priority="18" stopIfTrue="1">
      <formula>MOD(ROW(),2)&lt;&gt;0</formula>
    </cfRule>
  </conditionalFormatting>
  <conditionalFormatting sqref="A26:A78">
    <cfRule type="expression" dxfId="355" priority="3" stopIfTrue="1">
      <formula>MOD(ROW(),2)=0</formula>
    </cfRule>
    <cfRule type="expression" dxfId="354" priority="4" stopIfTrue="1">
      <formula>MOD(ROW(),2)&lt;&gt;0</formula>
    </cfRule>
  </conditionalFormatting>
  <conditionalFormatting sqref="B17:B21">
    <cfRule type="expression" dxfId="353" priority="1" stopIfTrue="1">
      <formula>MOD(ROW(),2)=0</formula>
    </cfRule>
    <cfRule type="expression" dxfId="352" priority="2" stopIfTrue="1">
      <formula>MOD(ROW(),2)&lt;&gt;0</formula>
    </cfRule>
  </conditionalFormatting>
  <conditionalFormatting sqref="B6:U21">
    <cfRule type="expression" dxfId="351" priority="27" stopIfTrue="1">
      <formula>MOD(ROW(),2)=0</formula>
    </cfRule>
    <cfRule type="expression" dxfId="350" priority="28" stopIfTrue="1">
      <formula>MOD(ROW(),2)&lt;&gt;0</formula>
    </cfRule>
  </conditionalFormatting>
  <conditionalFormatting sqref="B26:U78">
    <cfRule type="expression" dxfId="349" priority="5" stopIfTrue="1">
      <formula>MOD(ROW(),2)=0</formula>
    </cfRule>
    <cfRule type="expression" dxfId="348" priority="6" stopIfTrue="1">
      <formula>MOD(ROW(),2)&lt;&gt;0</formula>
    </cfRule>
  </conditionalFormatting>
  <hyperlinks>
    <hyperlink ref="B24" location="Assumptions!A1" display="Assumptions" xr:uid="{C002B9C8-AF6F-4858-8B19-6579ED2DA9F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C1EE6-596C-4B54-A406-4E1D7E6EA53D}">
  <sheetPr codeName="Sheet8">
    <tabColor rgb="FF00B0F0"/>
  </sheetPr>
  <dimension ref="A1:I56"/>
  <sheetViews>
    <sheetView showGridLines="0" topLeftCell="A8" zoomScale="60" zoomScaleNormal="60" workbookViewId="0">
      <selection activeCell="B9" sqref="B9"/>
    </sheetView>
  </sheetViews>
  <sheetFormatPr defaultColWidth="8.90625" defaultRowHeight="12.5" x14ac:dyDescent="0.25"/>
  <cols>
    <col min="1" max="1" width="55.90625" style="25" customWidth="1"/>
    <col min="2" max="2" width="61.08984375" style="25" customWidth="1"/>
    <col min="3" max="16384" width="8.90625" style="25"/>
  </cols>
  <sheetData>
    <row r="1" spans="1:9" ht="20" x14ac:dyDescent="0.4">
      <c r="A1" s="36" t="s">
        <v>0</v>
      </c>
      <c r="B1" s="37"/>
      <c r="C1" s="37"/>
      <c r="D1" s="37"/>
      <c r="E1" s="37"/>
      <c r="F1" s="37"/>
      <c r="G1" s="37"/>
      <c r="H1" s="37"/>
      <c r="I1" s="37"/>
    </row>
    <row r="2" spans="1:9" ht="15.5" x14ac:dyDescent="0.35">
      <c r="A2" s="10" t="str">
        <f>IF(title_new="&gt; Enter workbook title here","Enter workbook title in Cover sheet",title_new)</f>
        <v>NHSPS_NI - Consolidated Factor Spreadsheet</v>
      </c>
      <c r="B2" s="39"/>
      <c r="C2" s="39"/>
      <c r="D2" s="39"/>
      <c r="E2" s="39"/>
      <c r="F2" s="39"/>
      <c r="G2" s="39"/>
      <c r="H2" s="39"/>
      <c r="I2" s="39"/>
    </row>
    <row r="3" spans="1:9" ht="15.5" x14ac:dyDescent="0.35">
      <c r="A3" s="40" t="s">
        <v>15</v>
      </c>
      <c r="B3" s="39"/>
      <c r="C3" s="39"/>
      <c r="D3" s="39"/>
      <c r="E3" s="39"/>
      <c r="F3" s="39"/>
      <c r="G3" s="39"/>
      <c r="H3" s="39"/>
      <c r="I3" s="39"/>
    </row>
    <row r="4" spans="1:9" x14ac:dyDescent="0.25">
      <c r="A4" s="41"/>
    </row>
    <row r="5" spans="1:9" x14ac:dyDescent="0.25">
      <c r="A5" s="132"/>
      <c r="B5" s="132"/>
    </row>
    <row r="6" spans="1:9" x14ac:dyDescent="0.25">
      <c r="A6" s="133"/>
      <c r="B6" s="132"/>
    </row>
    <row r="8" spans="1:9" ht="15.5" x14ac:dyDescent="0.35">
      <c r="A8" s="134" t="s">
        <v>657</v>
      </c>
      <c r="B8" s="135" t="s">
        <v>318</v>
      </c>
    </row>
    <row r="9" spans="1:9" ht="15.5" x14ac:dyDescent="0.35">
      <c r="A9" s="136"/>
      <c r="B9" s="137"/>
    </row>
    <row r="10" spans="1:9" ht="15.5" x14ac:dyDescent="0.35">
      <c r="A10" s="135" t="s">
        <v>658</v>
      </c>
      <c r="B10" s="138"/>
    </row>
    <row r="11" spans="1:9" ht="15.5" x14ac:dyDescent="0.35">
      <c r="A11" s="139" t="s">
        <v>659</v>
      </c>
      <c r="B11" s="147">
        <v>3.7339999999999998E-2</v>
      </c>
    </row>
    <row r="12" spans="1:9" ht="15.5" x14ac:dyDescent="0.35">
      <c r="A12" s="138" t="s">
        <v>660</v>
      </c>
      <c r="B12" s="141">
        <v>0.02</v>
      </c>
    </row>
    <row r="13" spans="1:9" ht="15.5" x14ac:dyDescent="0.35">
      <c r="A13" s="142" t="s">
        <v>661</v>
      </c>
      <c r="B13" s="140">
        <v>3.15E-2</v>
      </c>
    </row>
    <row r="14" spans="1:9" ht="15.5" x14ac:dyDescent="0.35">
      <c r="A14" s="138" t="s">
        <v>662</v>
      </c>
      <c r="B14" s="141">
        <v>2.1000000000000001E-2</v>
      </c>
    </row>
    <row r="15" spans="1:9" ht="15.5" x14ac:dyDescent="0.35">
      <c r="A15" s="139" t="s">
        <v>663</v>
      </c>
      <c r="B15" s="140">
        <v>1.4E-2</v>
      </c>
    </row>
    <row r="16" spans="1:9" ht="15.5" x14ac:dyDescent="0.35">
      <c r="A16" s="138" t="s">
        <v>664</v>
      </c>
      <c r="B16" s="141">
        <v>3.7999999999999999E-2</v>
      </c>
    </row>
    <row r="17" spans="1:2" ht="15.5" x14ac:dyDescent="0.35">
      <c r="A17" s="139" t="s">
        <v>665</v>
      </c>
      <c r="B17" s="140">
        <v>3.5000000000000003E-2</v>
      </c>
    </row>
    <row r="18" spans="1:2" ht="15.5" x14ac:dyDescent="0.35">
      <c r="A18" s="138" t="s">
        <v>666</v>
      </c>
      <c r="B18" s="141">
        <v>1.7000000000000001E-2</v>
      </c>
    </row>
    <row r="19" spans="1:2" ht="15.5" x14ac:dyDescent="0.35">
      <c r="A19" s="139" t="s">
        <v>667</v>
      </c>
      <c r="B19" s="147">
        <v>2.3019999999999999E-2</v>
      </c>
    </row>
    <row r="20" spans="1:2" ht="15.5" x14ac:dyDescent="0.35">
      <c r="A20" s="138" t="s">
        <v>668</v>
      </c>
      <c r="B20" s="138" t="s">
        <v>669</v>
      </c>
    </row>
    <row r="21" spans="1:2" ht="15.5" x14ac:dyDescent="0.35">
      <c r="A21" s="139" t="s">
        <v>670</v>
      </c>
      <c r="B21" s="143" t="s">
        <v>671</v>
      </c>
    </row>
    <row r="22" spans="1:2" ht="15.5" x14ac:dyDescent="0.35">
      <c r="A22" s="138"/>
      <c r="B22" s="144"/>
    </row>
    <row r="23" spans="1:2" ht="15.5" x14ac:dyDescent="0.35">
      <c r="A23" s="137" t="s">
        <v>672</v>
      </c>
      <c r="B23" s="139"/>
    </row>
    <row r="24" spans="1:2" ht="15.5" x14ac:dyDescent="0.35">
      <c r="A24" s="138" t="s">
        <v>673</v>
      </c>
      <c r="B24" s="138" t="s">
        <v>674</v>
      </c>
    </row>
    <row r="25" spans="1:2" ht="15.5" x14ac:dyDescent="0.35">
      <c r="A25" s="139" t="s">
        <v>675</v>
      </c>
      <c r="B25" s="139" t="s">
        <v>676</v>
      </c>
    </row>
    <row r="26" spans="1:2" ht="15.5" x14ac:dyDescent="0.35">
      <c r="A26" s="138" t="s">
        <v>677</v>
      </c>
      <c r="B26" s="138" t="s">
        <v>678</v>
      </c>
    </row>
    <row r="27" spans="1:2" ht="15.5" x14ac:dyDescent="0.35">
      <c r="A27" s="139" t="s">
        <v>679</v>
      </c>
      <c r="B27" s="139" t="s">
        <v>680</v>
      </c>
    </row>
    <row r="28" spans="1:2" ht="15.5" x14ac:dyDescent="0.35">
      <c r="A28" s="138" t="s">
        <v>681</v>
      </c>
      <c r="B28" s="138" t="s">
        <v>682</v>
      </c>
    </row>
    <row r="29" spans="1:2" ht="15.5" x14ac:dyDescent="0.35">
      <c r="A29" s="139" t="s">
        <v>683</v>
      </c>
      <c r="B29" s="139" t="s">
        <v>684</v>
      </c>
    </row>
    <row r="30" spans="1:2" ht="15.5" x14ac:dyDescent="0.35">
      <c r="A30" s="138" t="s">
        <v>685</v>
      </c>
      <c r="B30" s="138" t="s">
        <v>686</v>
      </c>
    </row>
    <row r="31" spans="1:2" ht="77.5" x14ac:dyDescent="0.35">
      <c r="A31" s="139" t="s">
        <v>687</v>
      </c>
      <c r="B31" s="139" t="s">
        <v>688</v>
      </c>
    </row>
    <row r="32" spans="1:2" ht="31" x14ac:dyDescent="0.35">
      <c r="A32" s="138" t="s">
        <v>689</v>
      </c>
      <c r="B32" s="138" t="s">
        <v>690</v>
      </c>
    </row>
    <row r="33" spans="1:2" ht="15.5" x14ac:dyDescent="0.35">
      <c r="A33" s="139"/>
      <c r="B33" s="139"/>
    </row>
    <row r="34" spans="1:2" ht="15.5" x14ac:dyDescent="0.35">
      <c r="A34" s="135" t="s">
        <v>691</v>
      </c>
      <c r="B34" s="138"/>
    </row>
    <row r="35" spans="1:2" ht="15.5" x14ac:dyDescent="0.35">
      <c r="A35" s="139" t="s">
        <v>692</v>
      </c>
      <c r="B35" s="145">
        <v>0.3</v>
      </c>
    </row>
    <row r="36" spans="1:2" ht="15.5" x14ac:dyDescent="0.35">
      <c r="A36" s="138" t="s">
        <v>693</v>
      </c>
      <c r="B36" s="146">
        <v>0.7</v>
      </c>
    </row>
    <row r="37" spans="1:2" ht="31" x14ac:dyDescent="0.35">
      <c r="A37" s="139" t="s">
        <v>694</v>
      </c>
      <c r="B37" s="139" t="s">
        <v>695</v>
      </c>
    </row>
    <row r="38" spans="1:2" ht="31" x14ac:dyDescent="0.35">
      <c r="A38" s="138" t="s">
        <v>696</v>
      </c>
      <c r="B38" s="138" t="s">
        <v>697</v>
      </c>
    </row>
    <row r="39" spans="1:2" ht="62" x14ac:dyDescent="0.35">
      <c r="A39" s="143" t="s">
        <v>698</v>
      </c>
      <c r="B39" s="143" t="s">
        <v>699</v>
      </c>
    </row>
    <row r="40" spans="1:2" ht="15.5" x14ac:dyDescent="0.35">
      <c r="A40" s="144" t="s">
        <v>700</v>
      </c>
      <c r="B40" s="144" t="s">
        <v>701</v>
      </c>
    </row>
    <row r="41" spans="1:2" ht="15.5" x14ac:dyDescent="0.35">
      <c r="A41" s="143" t="s">
        <v>702</v>
      </c>
      <c r="B41" s="143" t="s">
        <v>669</v>
      </c>
    </row>
    <row r="42" spans="1:2" ht="15.5" x14ac:dyDescent="0.35">
      <c r="A42" s="144" t="s">
        <v>703</v>
      </c>
      <c r="B42" s="144" t="s">
        <v>669</v>
      </c>
    </row>
    <row r="43" spans="1:2" ht="15.5" x14ac:dyDescent="0.35">
      <c r="A43" s="143" t="s">
        <v>704</v>
      </c>
      <c r="B43" s="143" t="s">
        <v>705</v>
      </c>
    </row>
    <row r="44" spans="1:2" ht="15.5" x14ac:dyDescent="0.35">
      <c r="A44" s="144" t="s">
        <v>706</v>
      </c>
      <c r="B44" s="144" t="s">
        <v>707</v>
      </c>
    </row>
    <row r="45" spans="1:2" ht="15.5" x14ac:dyDescent="0.35">
      <c r="A45" s="143" t="s">
        <v>708</v>
      </c>
      <c r="B45" s="143" t="s">
        <v>669</v>
      </c>
    </row>
    <row r="46" spans="1:2" ht="15.5" x14ac:dyDescent="0.35">
      <c r="A46" s="144" t="s">
        <v>709</v>
      </c>
      <c r="B46" s="144" t="s">
        <v>707</v>
      </c>
    </row>
    <row r="47" spans="1:2" ht="15.5" x14ac:dyDescent="0.35">
      <c r="A47" s="143" t="s">
        <v>710</v>
      </c>
      <c r="B47" s="143" t="s">
        <v>669</v>
      </c>
    </row>
    <row r="48" spans="1:2" ht="15.5" x14ac:dyDescent="0.35">
      <c r="A48" s="144" t="s">
        <v>711</v>
      </c>
      <c r="B48" s="144" t="s">
        <v>712</v>
      </c>
    </row>
    <row r="49" spans="1:2" ht="15.5" x14ac:dyDescent="0.35">
      <c r="A49" s="143" t="s">
        <v>713</v>
      </c>
      <c r="B49" s="143" t="s">
        <v>42</v>
      </c>
    </row>
    <row r="50" spans="1:2" ht="93" x14ac:dyDescent="0.35">
      <c r="A50" s="138" t="s">
        <v>714</v>
      </c>
      <c r="B50" s="138" t="s">
        <v>715</v>
      </c>
    </row>
    <row r="51" spans="1:2" ht="15.5" x14ac:dyDescent="0.35">
      <c r="A51" s="139"/>
      <c r="B51" s="139"/>
    </row>
    <row r="52" spans="1:2" ht="15.5" x14ac:dyDescent="0.35">
      <c r="A52" s="135" t="s">
        <v>716</v>
      </c>
      <c r="B52" s="138"/>
    </row>
    <row r="53" spans="1:2" ht="31" x14ac:dyDescent="0.35">
      <c r="A53" s="143" t="s">
        <v>717</v>
      </c>
      <c r="B53" s="143" t="s">
        <v>718</v>
      </c>
    </row>
    <row r="54" spans="1:2" ht="31" x14ac:dyDescent="0.35">
      <c r="A54" s="138" t="s">
        <v>719</v>
      </c>
      <c r="B54" s="138" t="s">
        <v>720</v>
      </c>
    </row>
    <row r="55" spans="1:2" ht="31" x14ac:dyDescent="0.35">
      <c r="A55" s="143" t="s">
        <v>721</v>
      </c>
      <c r="B55" s="143" t="s">
        <v>722</v>
      </c>
    </row>
    <row r="56" spans="1:2" ht="31" x14ac:dyDescent="0.35">
      <c r="A56" s="138" t="s">
        <v>723</v>
      </c>
      <c r="B56" s="138" t="s">
        <v>724</v>
      </c>
    </row>
  </sheetData>
  <sheetProtection algorithmName="SHA-512" hashValue="bCOIOkXyS37JFWXo61r83XgFQmFBd37M57anl/FhCRDY14LkvHVMOcTeBbY/ATKO1bWXkqFHLqtmwIvQP9hrgw==" saltValue="b6pzy5yGGtsSbXjIY2qCAQ==" spinCount="100000" sheet="1" objects="1" scenarios="1"/>
  <pageMargins left="0.7" right="0.7" top="0.75" bottom="0.75" header="0.3" footer="0.3"/>
  <pageSetup paperSize="9" orientation="portrait"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102"/>
  <dimension ref="A1:U75"/>
  <sheetViews>
    <sheetView showGridLines="0" zoomScale="85" zoomScaleNormal="85" workbookViewId="0">
      <selection activeCell="B8" sqref="B8"/>
    </sheetView>
  </sheetViews>
  <sheetFormatPr defaultColWidth="10" defaultRowHeight="12.5" x14ac:dyDescent="0.25"/>
  <cols>
    <col min="1" max="1" width="31.90625" style="25" customWidth="1"/>
    <col min="2" max="21" width="22.90625" style="25" customWidth="1"/>
    <col min="22" max="16384" width="10" style="25"/>
  </cols>
  <sheetData>
    <row r="1" spans="1:21" ht="20" x14ac:dyDescent="0.4">
      <c r="A1" s="36" t="s">
        <v>0</v>
      </c>
      <c r="B1" s="37"/>
      <c r="C1" s="37"/>
      <c r="D1" s="37"/>
      <c r="E1" s="37"/>
      <c r="F1" s="37"/>
      <c r="G1" s="37"/>
      <c r="H1" s="37"/>
      <c r="I1" s="37"/>
    </row>
    <row r="2" spans="1:21" ht="15.5" x14ac:dyDescent="0.35">
      <c r="A2" s="38" t="str">
        <f>IF(title="&gt; Enter workbook title here","Enter workbook title in Cover sheet",title)</f>
        <v>NHSPS_NI - Consolidated Factor Spreadsheet</v>
      </c>
      <c r="B2" s="39"/>
      <c r="C2" s="39"/>
      <c r="D2" s="39"/>
      <c r="E2" s="39"/>
      <c r="F2" s="39"/>
      <c r="G2" s="39"/>
      <c r="H2" s="39"/>
      <c r="I2" s="39"/>
    </row>
    <row r="3" spans="1:21" ht="15.5" x14ac:dyDescent="0.35">
      <c r="A3" s="40" t="str">
        <f>TABLE_FACTOR_TYPE_1&amp;" - x-"&amp;TABLE_SERIES_NUMBER_1</f>
        <v>Added pension - x-716</v>
      </c>
      <c r="B3" s="39"/>
      <c r="C3" s="39"/>
      <c r="D3" s="39"/>
      <c r="E3" s="39"/>
      <c r="F3" s="39"/>
      <c r="G3" s="39"/>
      <c r="H3" s="39"/>
      <c r="I3" s="39"/>
    </row>
    <row r="4" spans="1:21" x14ac:dyDescent="0.25">
      <c r="A4" s="41"/>
    </row>
    <row r="6" spans="1:21" ht="13" x14ac:dyDescent="0.3">
      <c r="A6" s="163" t="s">
        <v>276</v>
      </c>
      <c r="B6" s="107" t="s">
        <v>277</v>
      </c>
      <c r="C6" s="107"/>
      <c r="D6" s="107"/>
      <c r="E6" s="107"/>
      <c r="F6" s="107"/>
      <c r="G6" s="107"/>
      <c r="H6" s="107"/>
      <c r="I6" s="107"/>
      <c r="J6" s="107"/>
      <c r="K6" s="107"/>
      <c r="L6" s="107"/>
      <c r="M6" s="107"/>
      <c r="N6" s="107"/>
      <c r="O6" s="107"/>
      <c r="P6" s="107"/>
      <c r="Q6" s="107"/>
      <c r="R6" s="107"/>
      <c r="S6" s="107"/>
      <c r="T6" s="107"/>
      <c r="U6" s="107"/>
    </row>
    <row r="7" spans="1:21" x14ac:dyDescent="0.25">
      <c r="A7" s="69" t="s">
        <v>278</v>
      </c>
      <c r="B7" s="107" t="s">
        <v>310</v>
      </c>
      <c r="C7" s="107"/>
      <c r="D7" s="107"/>
      <c r="E7" s="107"/>
      <c r="F7" s="107"/>
      <c r="G7" s="107"/>
      <c r="H7" s="107"/>
      <c r="I7" s="107"/>
      <c r="J7" s="107"/>
      <c r="K7" s="107"/>
      <c r="L7" s="107"/>
      <c r="M7" s="107"/>
      <c r="N7" s="107"/>
      <c r="O7" s="107"/>
      <c r="P7" s="107"/>
      <c r="Q7" s="107"/>
      <c r="R7" s="107"/>
      <c r="S7" s="107"/>
      <c r="T7" s="107"/>
      <c r="U7" s="107"/>
    </row>
    <row r="8" spans="1:21" x14ac:dyDescent="0.25">
      <c r="A8" s="69" t="s">
        <v>280</v>
      </c>
      <c r="B8" s="107" t="s">
        <v>513</v>
      </c>
      <c r="C8" s="107"/>
      <c r="D8" s="107"/>
      <c r="E8" s="107"/>
      <c r="F8" s="107"/>
      <c r="G8" s="107"/>
      <c r="H8" s="107"/>
      <c r="I8" s="107"/>
      <c r="J8" s="107"/>
      <c r="K8" s="107"/>
      <c r="L8" s="107"/>
      <c r="M8" s="107"/>
      <c r="N8" s="107"/>
      <c r="O8" s="107"/>
      <c r="P8" s="107"/>
      <c r="Q8" s="107"/>
      <c r="R8" s="107"/>
      <c r="S8" s="107"/>
      <c r="T8" s="107"/>
      <c r="U8" s="107"/>
    </row>
    <row r="9" spans="1:21" x14ac:dyDescent="0.25">
      <c r="A9" s="69" t="s">
        <v>282</v>
      </c>
      <c r="B9" s="107" t="s">
        <v>514</v>
      </c>
      <c r="C9" s="107"/>
      <c r="D9" s="107"/>
      <c r="E9" s="107"/>
      <c r="F9" s="107"/>
      <c r="G9" s="107"/>
      <c r="H9" s="107"/>
      <c r="I9" s="107"/>
      <c r="J9" s="107"/>
      <c r="K9" s="107"/>
      <c r="L9" s="107"/>
      <c r="M9" s="107"/>
      <c r="N9" s="107"/>
      <c r="O9" s="107"/>
      <c r="P9" s="107"/>
      <c r="Q9" s="107"/>
      <c r="R9" s="107"/>
      <c r="S9" s="107"/>
      <c r="T9" s="107"/>
      <c r="U9" s="107"/>
    </row>
    <row r="10" spans="1:21" x14ac:dyDescent="0.25">
      <c r="A10" s="69" t="s">
        <v>6</v>
      </c>
      <c r="B10" s="107" t="s">
        <v>556</v>
      </c>
      <c r="C10" s="107"/>
      <c r="D10" s="107"/>
      <c r="E10" s="107"/>
      <c r="F10" s="107"/>
      <c r="G10" s="107"/>
      <c r="H10" s="107"/>
      <c r="I10" s="107"/>
      <c r="J10" s="107"/>
      <c r="K10" s="107"/>
      <c r="L10" s="107"/>
      <c r="M10" s="107"/>
      <c r="N10" s="107"/>
      <c r="O10" s="107"/>
      <c r="P10" s="107"/>
      <c r="Q10" s="107"/>
      <c r="R10" s="107"/>
      <c r="S10" s="107"/>
      <c r="T10" s="107"/>
      <c r="U10" s="107"/>
    </row>
    <row r="11" spans="1:21" x14ac:dyDescent="0.25">
      <c r="A11" s="69" t="s">
        <v>285</v>
      </c>
      <c r="B11" s="107" t="s">
        <v>359</v>
      </c>
      <c r="C11" s="107"/>
      <c r="D11" s="107"/>
      <c r="E11" s="107"/>
      <c r="F11" s="107"/>
      <c r="G11" s="107"/>
      <c r="H11" s="107"/>
      <c r="I11" s="107"/>
      <c r="J11" s="107"/>
      <c r="K11" s="107"/>
      <c r="L11" s="107"/>
      <c r="M11" s="107"/>
      <c r="N11" s="107"/>
      <c r="O11" s="107"/>
      <c r="P11" s="107"/>
      <c r="Q11" s="107"/>
      <c r="R11" s="107"/>
      <c r="S11" s="107"/>
      <c r="T11" s="107"/>
      <c r="U11" s="107"/>
    </row>
    <row r="12" spans="1:21" x14ac:dyDescent="0.25">
      <c r="A12" s="69" t="s">
        <v>287</v>
      </c>
      <c r="B12" s="107" t="s">
        <v>520</v>
      </c>
      <c r="C12" s="107"/>
      <c r="D12" s="107"/>
      <c r="E12" s="107"/>
      <c r="F12" s="107"/>
      <c r="G12" s="107"/>
      <c r="H12" s="107"/>
      <c r="I12" s="107"/>
      <c r="J12" s="107"/>
      <c r="K12" s="107"/>
      <c r="L12" s="107"/>
      <c r="M12" s="107"/>
      <c r="N12" s="107"/>
      <c r="O12" s="107"/>
      <c r="P12" s="107"/>
      <c r="Q12" s="107"/>
      <c r="R12" s="107"/>
      <c r="S12" s="107"/>
      <c r="T12" s="107"/>
      <c r="U12" s="107"/>
    </row>
    <row r="13" spans="1:21" x14ac:dyDescent="0.25">
      <c r="A13" s="69" t="s">
        <v>289</v>
      </c>
      <c r="B13" s="107">
        <v>0</v>
      </c>
      <c r="C13" s="107"/>
      <c r="D13" s="107"/>
      <c r="E13" s="107"/>
      <c r="F13" s="107"/>
      <c r="G13" s="107"/>
      <c r="H13" s="107"/>
      <c r="I13" s="107"/>
      <c r="J13" s="107"/>
      <c r="K13" s="107"/>
      <c r="L13" s="107"/>
      <c r="M13" s="107"/>
      <c r="N13" s="107"/>
      <c r="O13" s="107"/>
      <c r="P13" s="107"/>
      <c r="Q13" s="107"/>
      <c r="R13" s="107"/>
      <c r="S13" s="107"/>
      <c r="T13" s="107"/>
      <c r="U13" s="107"/>
    </row>
    <row r="14" spans="1:21" x14ac:dyDescent="0.25">
      <c r="A14" s="69" t="s">
        <v>291</v>
      </c>
      <c r="B14" s="107">
        <v>716</v>
      </c>
      <c r="C14" s="107"/>
      <c r="D14" s="107"/>
      <c r="E14" s="107"/>
      <c r="F14" s="107"/>
      <c r="G14" s="107"/>
      <c r="H14" s="107"/>
      <c r="I14" s="107"/>
      <c r="J14" s="107"/>
      <c r="K14" s="107"/>
      <c r="L14" s="107"/>
      <c r="M14" s="107"/>
      <c r="N14" s="107"/>
      <c r="O14" s="107"/>
      <c r="P14" s="107"/>
      <c r="Q14" s="107"/>
      <c r="R14" s="107"/>
      <c r="S14" s="107"/>
      <c r="T14" s="107"/>
      <c r="U14" s="107"/>
    </row>
    <row r="15" spans="1:21" x14ac:dyDescent="0.25">
      <c r="A15" s="69" t="s">
        <v>293</v>
      </c>
      <c r="B15" s="107" t="s">
        <v>557</v>
      </c>
      <c r="C15" s="107"/>
      <c r="D15" s="107"/>
      <c r="E15" s="107"/>
      <c r="F15" s="107"/>
      <c r="G15" s="107"/>
      <c r="H15" s="107"/>
      <c r="I15" s="107"/>
      <c r="J15" s="107"/>
      <c r="K15" s="107"/>
      <c r="L15" s="107"/>
      <c r="M15" s="107"/>
      <c r="N15" s="107"/>
      <c r="O15" s="107"/>
      <c r="P15" s="107"/>
      <c r="Q15" s="107"/>
      <c r="R15" s="107"/>
      <c r="S15" s="107"/>
      <c r="T15" s="107"/>
      <c r="U15" s="107"/>
    </row>
    <row r="16" spans="1:21" x14ac:dyDescent="0.25">
      <c r="A16" s="69" t="s">
        <v>295</v>
      </c>
      <c r="B16" s="107" t="s">
        <v>558</v>
      </c>
      <c r="C16" s="107"/>
      <c r="D16" s="107"/>
      <c r="E16" s="107"/>
      <c r="F16" s="107"/>
      <c r="G16" s="107"/>
      <c r="H16" s="107"/>
      <c r="I16" s="107"/>
      <c r="J16" s="107"/>
      <c r="K16" s="107"/>
      <c r="L16" s="107"/>
      <c r="M16" s="107"/>
      <c r="N16" s="107"/>
      <c r="O16" s="107"/>
      <c r="P16" s="107"/>
      <c r="Q16" s="107"/>
      <c r="R16" s="107"/>
      <c r="S16" s="107"/>
      <c r="T16" s="107"/>
      <c r="U16" s="107"/>
    </row>
    <row r="17" spans="1:21" x14ac:dyDescent="0.25">
      <c r="A17" s="69" t="s">
        <v>725</v>
      </c>
      <c r="B17" s="107"/>
      <c r="C17" s="107"/>
      <c r="D17" s="107"/>
      <c r="E17" s="107"/>
      <c r="F17" s="107"/>
      <c r="G17" s="107"/>
      <c r="H17" s="107"/>
      <c r="I17" s="107"/>
      <c r="J17" s="107"/>
      <c r="K17" s="107"/>
      <c r="L17" s="107"/>
      <c r="M17" s="107"/>
      <c r="N17" s="107"/>
      <c r="O17" s="107"/>
      <c r="P17" s="107"/>
      <c r="Q17" s="107"/>
      <c r="R17" s="107"/>
      <c r="S17" s="107"/>
      <c r="T17" s="107"/>
      <c r="U17" s="107"/>
    </row>
    <row r="18" spans="1:21" x14ac:dyDescent="0.25">
      <c r="A18" s="85" t="s">
        <v>299</v>
      </c>
      <c r="B18" s="164">
        <v>45202</v>
      </c>
      <c r="C18" s="107"/>
      <c r="D18" s="107"/>
      <c r="E18" s="107"/>
      <c r="F18" s="107"/>
      <c r="G18" s="107"/>
      <c r="H18" s="107"/>
      <c r="I18" s="107"/>
      <c r="J18" s="107"/>
      <c r="K18" s="107"/>
      <c r="L18" s="107"/>
      <c r="M18" s="107"/>
      <c r="N18" s="107"/>
      <c r="O18" s="107"/>
      <c r="P18" s="107"/>
      <c r="Q18" s="107"/>
      <c r="R18" s="107"/>
      <c r="S18" s="107"/>
      <c r="T18" s="107"/>
      <c r="U18" s="107"/>
    </row>
    <row r="19" spans="1:21" x14ac:dyDescent="0.25">
      <c r="A19" s="85" t="s">
        <v>301</v>
      </c>
      <c r="B19" s="164">
        <v>45202</v>
      </c>
      <c r="C19" s="107"/>
      <c r="D19" s="107"/>
      <c r="E19" s="107"/>
      <c r="F19" s="107"/>
      <c r="G19" s="107"/>
      <c r="H19" s="107"/>
      <c r="I19" s="107"/>
      <c r="J19" s="107"/>
      <c r="K19" s="107"/>
      <c r="L19" s="107"/>
      <c r="M19" s="107"/>
      <c r="N19" s="107"/>
      <c r="O19" s="107"/>
      <c r="P19" s="107"/>
      <c r="Q19" s="107"/>
      <c r="R19" s="107"/>
      <c r="S19" s="107"/>
      <c r="T19" s="107"/>
      <c r="U19" s="107"/>
    </row>
    <row r="20" spans="1:21" x14ac:dyDescent="0.25">
      <c r="A20" s="85" t="s">
        <v>303</v>
      </c>
      <c r="B20" s="107" t="s">
        <v>317</v>
      </c>
      <c r="C20" s="107"/>
      <c r="D20" s="107"/>
      <c r="E20" s="107"/>
      <c r="F20" s="107"/>
      <c r="G20" s="107"/>
      <c r="H20" s="107"/>
      <c r="I20" s="107"/>
      <c r="J20" s="107"/>
      <c r="K20" s="107"/>
      <c r="L20" s="107"/>
      <c r="M20" s="107"/>
      <c r="N20" s="107"/>
      <c r="O20" s="107"/>
      <c r="P20" s="107"/>
      <c r="Q20" s="107"/>
      <c r="R20" s="107"/>
      <c r="S20" s="107"/>
      <c r="T20" s="107"/>
      <c r="U20" s="107"/>
    </row>
    <row r="21" spans="1:21" x14ac:dyDescent="0.25">
      <c r="A21" s="85" t="s">
        <v>309</v>
      </c>
      <c r="B21" s="107" t="s">
        <v>318</v>
      </c>
      <c r="C21" s="107"/>
      <c r="D21" s="107"/>
      <c r="E21" s="107"/>
      <c r="F21" s="107"/>
      <c r="G21" s="107"/>
      <c r="H21" s="107"/>
      <c r="I21" s="107"/>
      <c r="J21" s="107"/>
      <c r="K21" s="107"/>
      <c r="L21" s="107"/>
      <c r="M21" s="107"/>
      <c r="N21" s="107"/>
      <c r="O21" s="107"/>
      <c r="P21" s="107"/>
      <c r="Q21" s="107"/>
      <c r="R21" s="107"/>
      <c r="S21" s="107"/>
      <c r="T21" s="107"/>
      <c r="U21" s="107"/>
    </row>
    <row r="23" spans="1:21" x14ac:dyDescent="0.25">
      <c r="B23" s="103" t="str">
        <f>HYPERLINK("#'Factor List'!A1","Back to Factor List")</f>
        <v>Back to Factor List</v>
      </c>
    </row>
    <row r="24" spans="1:21" x14ac:dyDescent="0.25">
      <c r="B24" s="103" t="s">
        <v>15</v>
      </c>
    </row>
    <row r="26" spans="1:21" ht="13" x14ac:dyDescent="0.25">
      <c r="A26" s="98" t="s">
        <v>408</v>
      </c>
      <c r="B26" s="98" t="s">
        <v>778</v>
      </c>
      <c r="C26" s="98" t="s">
        <v>779</v>
      </c>
      <c r="D26" s="98" t="s">
        <v>780</v>
      </c>
      <c r="E26" s="98" t="s">
        <v>781</v>
      </c>
      <c r="F26" s="98" t="s">
        <v>782</v>
      </c>
      <c r="G26" s="98" t="s">
        <v>783</v>
      </c>
      <c r="H26" s="98" t="s">
        <v>784</v>
      </c>
      <c r="I26" s="98" t="s">
        <v>785</v>
      </c>
      <c r="J26" s="98" t="s">
        <v>786</v>
      </c>
      <c r="K26" s="98" t="s">
        <v>787</v>
      </c>
      <c r="L26" s="98" t="s">
        <v>788</v>
      </c>
      <c r="M26" s="98" t="s">
        <v>789</v>
      </c>
      <c r="N26" s="98" t="s">
        <v>790</v>
      </c>
      <c r="O26" s="98" t="s">
        <v>791</v>
      </c>
      <c r="P26" s="98" t="s">
        <v>792</v>
      </c>
      <c r="Q26" s="98" t="s">
        <v>793</v>
      </c>
      <c r="R26" s="98" t="s">
        <v>794</v>
      </c>
      <c r="S26" s="98" t="s">
        <v>795</v>
      </c>
      <c r="T26" s="98" t="s">
        <v>796</v>
      </c>
      <c r="U26" s="98" t="s">
        <v>797</v>
      </c>
    </row>
    <row r="27" spans="1:21" x14ac:dyDescent="0.25">
      <c r="A27" s="99">
        <v>16</v>
      </c>
      <c r="B27" s="100">
        <v>217</v>
      </c>
      <c r="C27" s="100">
        <v>110.5</v>
      </c>
      <c r="D27" s="100">
        <v>75</v>
      </c>
      <c r="E27" s="100">
        <v>57.3</v>
      </c>
      <c r="F27" s="100">
        <v>46.7</v>
      </c>
      <c r="G27" s="100">
        <v>39.6</v>
      </c>
      <c r="H27" s="100">
        <v>34.5</v>
      </c>
      <c r="I27" s="100">
        <v>30.8</v>
      </c>
      <c r="J27" s="100">
        <v>27.8</v>
      </c>
      <c r="K27" s="100">
        <v>25.5</v>
      </c>
      <c r="L27" s="100">
        <v>23.6</v>
      </c>
      <c r="M27" s="100">
        <v>22</v>
      </c>
      <c r="N27" s="100">
        <v>20.6</v>
      </c>
      <c r="O27" s="100">
        <v>19.5</v>
      </c>
      <c r="P27" s="100">
        <v>18.5</v>
      </c>
      <c r="Q27" s="100">
        <v>17.600000000000001</v>
      </c>
      <c r="R27" s="100">
        <v>16.899999999999999</v>
      </c>
      <c r="S27" s="100">
        <v>16.2</v>
      </c>
      <c r="T27" s="100">
        <v>15.6</v>
      </c>
      <c r="U27" s="100">
        <v>15.1</v>
      </c>
    </row>
    <row r="28" spans="1:21" x14ac:dyDescent="0.25">
      <c r="A28" s="99">
        <v>17</v>
      </c>
      <c r="B28" s="100">
        <v>220.4</v>
      </c>
      <c r="C28" s="100">
        <v>112.2</v>
      </c>
      <c r="D28" s="100">
        <v>76.2</v>
      </c>
      <c r="E28" s="100">
        <v>58.2</v>
      </c>
      <c r="F28" s="100">
        <v>47.4</v>
      </c>
      <c r="G28" s="100">
        <v>40.200000000000003</v>
      </c>
      <c r="H28" s="100">
        <v>35.1</v>
      </c>
      <c r="I28" s="100">
        <v>31.2</v>
      </c>
      <c r="J28" s="100">
        <v>28.3</v>
      </c>
      <c r="K28" s="100">
        <v>25.9</v>
      </c>
      <c r="L28" s="100">
        <v>24</v>
      </c>
      <c r="M28" s="100">
        <v>22.3</v>
      </c>
      <c r="N28" s="100">
        <v>21</v>
      </c>
      <c r="O28" s="100">
        <v>19.8</v>
      </c>
      <c r="P28" s="100">
        <v>18.8</v>
      </c>
      <c r="Q28" s="100">
        <v>17.899999999999999</v>
      </c>
      <c r="R28" s="100">
        <v>17.2</v>
      </c>
      <c r="S28" s="100">
        <v>16.5</v>
      </c>
      <c r="T28" s="100">
        <v>15.9</v>
      </c>
      <c r="U28" s="100">
        <v>15.3</v>
      </c>
    </row>
    <row r="29" spans="1:21" x14ac:dyDescent="0.25">
      <c r="A29" s="99">
        <v>18</v>
      </c>
      <c r="B29" s="100">
        <v>224.1</v>
      </c>
      <c r="C29" s="100">
        <v>114.1</v>
      </c>
      <c r="D29" s="100">
        <v>77.5</v>
      </c>
      <c r="E29" s="100">
        <v>59.2</v>
      </c>
      <c r="F29" s="100">
        <v>48.2</v>
      </c>
      <c r="G29" s="100">
        <v>40.9</v>
      </c>
      <c r="H29" s="100">
        <v>35.700000000000003</v>
      </c>
      <c r="I29" s="100">
        <v>31.8</v>
      </c>
      <c r="J29" s="100">
        <v>28.7</v>
      </c>
      <c r="K29" s="100">
        <v>26.3</v>
      </c>
      <c r="L29" s="100">
        <v>24.4</v>
      </c>
      <c r="M29" s="100">
        <v>22.7</v>
      </c>
      <c r="N29" s="100">
        <v>21.3</v>
      </c>
      <c r="O29" s="100">
        <v>20.100000000000001</v>
      </c>
      <c r="P29" s="100">
        <v>19.100000000000001</v>
      </c>
      <c r="Q29" s="100">
        <v>18.2</v>
      </c>
      <c r="R29" s="100">
        <v>17.5</v>
      </c>
      <c r="S29" s="100">
        <v>16.8</v>
      </c>
      <c r="T29" s="100">
        <v>16.100000000000001</v>
      </c>
      <c r="U29" s="100">
        <v>15.6</v>
      </c>
    </row>
    <row r="30" spans="1:21" x14ac:dyDescent="0.25">
      <c r="A30" s="99">
        <v>19</v>
      </c>
      <c r="B30" s="100">
        <v>227.7</v>
      </c>
      <c r="C30" s="100">
        <v>116</v>
      </c>
      <c r="D30" s="100">
        <v>78.7</v>
      </c>
      <c r="E30" s="100">
        <v>60.1</v>
      </c>
      <c r="F30" s="100">
        <v>49</v>
      </c>
      <c r="G30" s="100">
        <v>41.6</v>
      </c>
      <c r="H30" s="100">
        <v>36.299999999999997</v>
      </c>
      <c r="I30" s="100">
        <v>32.299999999999997</v>
      </c>
      <c r="J30" s="100">
        <v>29.2</v>
      </c>
      <c r="K30" s="100">
        <v>26.8</v>
      </c>
      <c r="L30" s="100">
        <v>24.8</v>
      </c>
      <c r="M30" s="100">
        <v>23.1</v>
      </c>
      <c r="N30" s="100">
        <v>21.7</v>
      </c>
      <c r="O30" s="100">
        <v>20.5</v>
      </c>
      <c r="P30" s="100">
        <v>19.399999999999999</v>
      </c>
      <c r="Q30" s="100">
        <v>18.5</v>
      </c>
      <c r="R30" s="100">
        <v>17.7</v>
      </c>
      <c r="S30" s="100">
        <v>17</v>
      </c>
      <c r="T30" s="100">
        <v>16.399999999999999</v>
      </c>
      <c r="U30" s="100">
        <v>15.8</v>
      </c>
    </row>
    <row r="31" spans="1:21" x14ac:dyDescent="0.25">
      <c r="A31" s="99">
        <v>20</v>
      </c>
      <c r="B31" s="100">
        <v>231</v>
      </c>
      <c r="C31" s="100">
        <v>117.6</v>
      </c>
      <c r="D31" s="100">
        <v>79.900000000000006</v>
      </c>
      <c r="E31" s="100">
        <v>61</v>
      </c>
      <c r="F31" s="100">
        <v>49.7</v>
      </c>
      <c r="G31" s="100">
        <v>42.2</v>
      </c>
      <c r="H31" s="100">
        <v>36.799999999999997</v>
      </c>
      <c r="I31" s="100">
        <v>32.799999999999997</v>
      </c>
      <c r="J31" s="100">
        <v>29.6</v>
      </c>
      <c r="K31" s="100">
        <v>27.1</v>
      </c>
      <c r="L31" s="100">
        <v>25.1</v>
      </c>
      <c r="M31" s="100">
        <v>23.4</v>
      </c>
      <c r="N31" s="100">
        <v>22</v>
      </c>
      <c r="O31" s="100">
        <v>20.8</v>
      </c>
      <c r="P31" s="100">
        <v>19.7</v>
      </c>
      <c r="Q31" s="100">
        <v>18.8</v>
      </c>
      <c r="R31" s="100">
        <v>18</v>
      </c>
      <c r="S31" s="100">
        <v>17.3</v>
      </c>
      <c r="T31" s="100">
        <v>16.7</v>
      </c>
      <c r="U31" s="100">
        <v>16.100000000000001</v>
      </c>
    </row>
    <row r="32" spans="1:21" x14ac:dyDescent="0.25">
      <c r="A32" s="99">
        <v>21</v>
      </c>
      <c r="B32" s="100">
        <v>234.3</v>
      </c>
      <c r="C32" s="100">
        <v>119.3</v>
      </c>
      <c r="D32" s="100">
        <v>81</v>
      </c>
      <c r="E32" s="100">
        <v>61.9</v>
      </c>
      <c r="F32" s="100">
        <v>50.4</v>
      </c>
      <c r="G32" s="100">
        <v>42.8</v>
      </c>
      <c r="H32" s="100">
        <v>37.299999999999997</v>
      </c>
      <c r="I32" s="100">
        <v>33.200000000000003</v>
      </c>
      <c r="J32" s="100">
        <v>30.1</v>
      </c>
      <c r="K32" s="100">
        <v>27.5</v>
      </c>
      <c r="L32" s="100">
        <v>25.5</v>
      </c>
      <c r="M32" s="100">
        <v>23.8</v>
      </c>
      <c r="N32" s="100">
        <v>22.3</v>
      </c>
      <c r="O32" s="100">
        <v>21.1</v>
      </c>
      <c r="P32" s="100">
        <v>20</v>
      </c>
      <c r="Q32" s="100">
        <v>19.100000000000001</v>
      </c>
      <c r="R32" s="100">
        <v>18.3</v>
      </c>
      <c r="S32" s="100">
        <v>17.5</v>
      </c>
      <c r="T32" s="100">
        <v>16.899999999999999</v>
      </c>
      <c r="U32" s="100">
        <v>16.3</v>
      </c>
    </row>
    <row r="33" spans="1:21" x14ac:dyDescent="0.25">
      <c r="A33" s="99">
        <v>22</v>
      </c>
      <c r="B33" s="100">
        <v>237.6</v>
      </c>
      <c r="C33" s="100">
        <v>121</v>
      </c>
      <c r="D33" s="100">
        <v>82.2</v>
      </c>
      <c r="E33" s="100">
        <v>62.8</v>
      </c>
      <c r="F33" s="100">
        <v>51.1</v>
      </c>
      <c r="G33" s="100">
        <v>43.4</v>
      </c>
      <c r="H33" s="100">
        <v>37.799999999999997</v>
      </c>
      <c r="I33" s="100">
        <v>33.700000000000003</v>
      </c>
      <c r="J33" s="100">
        <v>30.5</v>
      </c>
      <c r="K33" s="100">
        <v>27.9</v>
      </c>
      <c r="L33" s="100">
        <v>25.8</v>
      </c>
      <c r="M33" s="100">
        <v>24.1</v>
      </c>
      <c r="N33" s="100">
        <v>22.6</v>
      </c>
      <c r="O33" s="100">
        <v>21.4</v>
      </c>
      <c r="P33" s="100">
        <v>20.3</v>
      </c>
      <c r="Q33" s="100">
        <v>19.399999999999999</v>
      </c>
      <c r="R33" s="100">
        <v>18.5</v>
      </c>
      <c r="S33" s="100">
        <v>17.8</v>
      </c>
      <c r="T33" s="100">
        <v>17.100000000000001</v>
      </c>
      <c r="U33" s="100">
        <v>16.600000000000001</v>
      </c>
    </row>
    <row r="34" spans="1:21" x14ac:dyDescent="0.25">
      <c r="A34" s="99">
        <v>23</v>
      </c>
      <c r="B34" s="100">
        <v>241</v>
      </c>
      <c r="C34" s="100">
        <v>122.7</v>
      </c>
      <c r="D34" s="100">
        <v>83.3</v>
      </c>
      <c r="E34" s="100">
        <v>63.6</v>
      </c>
      <c r="F34" s="100">
        <v>51.8</v>
      </c>
      <c r="G34" s="100">
        <v>44</v>
      </c>
      <c r="H34" s="100">
        <v>38.4</v>
      </c>
      <c r="I34" s="100">
        <v>34.200000000000003</v>
      </c>
      <c r="J34" s="100">
        <v>30.9</v>
      </c>
      <c r="K34" s="100">
        <v>28.3</v>
      </c>
      <c r="L34" s="100">
        <v>26.2</v>
      </c>
      <c r="M34" s="100">
        <v>24.4</v>
      </c>
      <c r="N34" s="100">
        <v>23</v>
      </c>
      <c r="O34" s="100">
        <v>21.7</v>
      </c>
      <c r="P34" s="100">
        <v>20.6</v>
      </c>
      <c r="Q34" s="100">
        <v>19.600000000000001</v>
      </c>
      <c r="R34" s="100">
        <v>18.8</v>
      </c>
      <c r="S34" s="100">
        <v>18.100000000000001</v>
      </c>
      <c r="T34" s="100">
        <v>17.399999999999999</v>
      </c>
      <c r="U34" s="100">
        <v>16.8</v>
      </c>
    </row>
    <row r="35" spans="1:21" x14ac:dyDescent="0.25">
      <c r="A35" s="99">
        <v>24</v>
      </c>
      <c r="B35" s="100">
        <v>244.4</v>
      </c>
      <c r="C35" s="100">
        <v>124.5</v>
      </c>
      <c r="D35" s="100">
        <v>84.5</v>
      </c>
      <c r="E35" s="100">
        <v>64.599999999999994</v>
      </c>
      <c r="F35" s="100">
        <v>52.6</v>
      </c>
      <c r="G35" s="100">
        <v>44.6</v>
      </c>
      <c r="H35" s="100">
        <v>38.9</v>
      </c>
      <c r="I35" s="100">
        <v>34.700000000000003</v>
      </c>
      <c r="J35" s="100">
        <v>31.4</v>
      </c>
      <c r="K35" s="100">
        <v>28.7</v>
      </c>
      <c r="L35" s="100">
        <v>26.6</v>
      </c>
      <c r="M35" s="100">
        <v>24.8</v>
      </c>
      <c r="N35" s="100">
        <v>23.3</v>
      </c>
      <c r="O35" s="100">
        <v>22</v>
      </c>
      <c r="P35" s="100">
        <v>20.9</v>
      </c>
      <c r="Q35" s="100">
        <v>19.899999999999999</v>
      </c>
      <c r="R35" s="100">
        <v>19.100000000000001</v>
      </c>
      <c r="S35" s="100">
        <v>18.3</v>
      </c>
      <c r="T35" s="100">
        <v>17.600000000000001</v>
      </c>
      <c r="U35" s="100">
        <v>17</v>
      </c>
    </row>
    <row r="36" spans="1:21" x14ac:dyDescent="0.25">
      <c r="A36" s="99">
        <v>25</v>
      </c>
      <c r="B36" s="100">
        <v>247.9</v>
      </c>
      <c r="C36" s="100">
        <v>126.2</v>
      </c>
      <c r="D36" s="100">
        <v>85.7</v>
      </c>
      <c r="E36" s="100">
        <v>65.5</v>
      </c>
      <c r="F36" s="100">
        <v>53.3</v>
      </c>
      <c r="G36" s="100">
        <v>45.2</v>
      </c>
      <c r="H36" s="100">
        <v>39.5</v>
      </c>
      <c r="I36" s="100">
        <v>35.200000000000003</v>
      </c>
      <c r="J36" s="100">
        <v>31.8</v>
      </c>
      <c r="K36" s="100">
        <v>29.1</v>
      </c>
      <c r="L36" s="100">
        <v>27</v>
      </c>
      <c r="M36" s="100">
        <v>25.2</v>
      </c>
      <c r="N36" s="100">
        <v>23.6</v>
      </c>
      <c r="O36" s="100">
        <v>22.3</v>
      </c>
      <c r="P36" s="100">
        <v>21.2</v>
      </c>
      <c r="Q36" s="100">
        <v>20.2</v>
      </c>
      <c r="R36" s="100">
        <v>19.3</v>
      </c>
      <c r="S36" s="100">
        <v>18.600000000000001</v>
      </c>
      <c r="T36" s="100">
        <v>17.899999999999999</v>
      </c>
      <c r="U36" s="100">
        <v>17.3</v>
      </c>
    </row>
    <row r="37" spans="1:21" x14ac:dyDescent="0.25">
      <c r="A37" s="99">
        <v>26</v>
      </c>
      <c r="B37" s="100">
        <v>251.4</v>
      </c>
      <c r="C37" s="100">
        <v>128</v>
      </c>
      <c r="D37" s="100">
        <v>86.9</v>
      </c>
      <c r="E37" s="100">
        <v>66.400000000000006</v>
      </c>
      <c r="F37" s="100">
        <v>54.1</v>
      </c>
      <c r="G37" s="100">
        <v>45.9</v>
      </c>
      <c r="H37" s="100">
        <v>40</v>
      </c>
      <c r="I37" s="100">
        <v>35.700000000000003</v>
      </c>
      <c r="J37" s="100">
        <v>32.299999999999997</v>
      </c>
      <c r="K37" s="100">
        <v>29.6</v>
      </c>
      <c r="L37" s="100">
        <v>27.4</v>
      </c>
      <c r="M37" s="100">
        <v>25.5</v>
      </c>
      <c r="N37" s="100">
        <v>24</v>
      </c>
      <c r="O37" s="100">
        <v>22.6</v>
      </c>
      <c r="P37" s="100">
        <v>21.5</v>
      </c>
      <c r="Q37" s="100">
        <v>20.5</v>
      </c>
      <c r="R37" s="100">
        <v>19.600000000000001</v>
      </c>
      <c r="S37" s="100">
        <v>18.899999999999999</v>
      </c>
      <c r="T37" s="100">
        <v>18.2</v>
      </c>
      <c r="U37" s="100">
        <v>17.5</v>
      </c>
    </row>
    <row r="38" spans="1:21" x14ac:dyDescent="0.25">
      <c r="A38" s="99">
        <v>27</v>
      </c>
      <c r="B38" s="100">
        <v>254.9</v>
      </c>
      <c r="C38" s="100">
        <v>129.80000000000001</v>
      </c>
      <c r="D38" s="100">
        <v>88.2</v>
      </c>
      <c r="E38" s="100">
        <v>67.3</v>
      </c>
      <c r="F38" s="100">
        <v>54.9</v>
      </c>
      <c r="G38" s="100">
        <v>46.5</v>
      </c>
      <c r="H38" s="100">
        <v>40.6</v>
      </c>
      <c r="I38" s="100">
        <v>36.200000000000003</v>
      </c>
      <c r="J38" s="100">
        <v>32.700000000000003</v>
      </c>
      <c r="K38" s="100">
        <v>30</v>
      </c>
      <c r="L38" s="100">
        <v>27.7</v>
      </c>
      <c r="M38" s="100">
        <v>25.9</v>
      </c>
      <c r="N38" s="100">
        <v>24.3</v>
      </c>
      <c r="O38" s="100">
        <v>23</v>
      </c>
      <c r="P38" s="100">
        <v>21.8</v>
      </c>
      <c r="Q38" s="100">
        <v>20.8</v>
      </c>
      <c r="R38" s="100">
        <v>19.899999999999999</v>
      </c>
      <c r="S38" s="100">
        <v>19.100000000000001</v>
      </c>
      <c r="T38" s="100">
        <v>18.399999999999999</v>
      </c>
      <c r="U38" s="100">
        <v>17.8</v>
      </c>
    </row>
    <row r="39" spans="1:21" x14ac:dyDescent="0.25">
      <c r="A39" s="99">
        <v>28</v>
      </c>
      <c r="B39" s="100">
        <v>258.5</v>
      </c>
      <c r="C39" s="100">
        <v>131.69999999999999</v>
      </c>
      <c r="D39" s="100">
        <v>89.4</v>
      </c>
      <c r="E39" s="100">
        <v>68.3</v>
      </c>
      <c r="F39" s="100">
        <v>55.6</v>
      </c>
      <c r="G39" s="100">
        <v>47.2</v>
      </c>
      <c r="H39" s="100">
        <v>41.2</v>
      </c>
      <c r="I39" s="100">
        <v>36.700000000000003</v>
      </c>
      <c r="J39" s="100">
        <v>33.200000000000003</v>
      </c>
      <c r="K39" s="100">
        <v>30.4</v>
      </c>
      <c r="L39" s="100">
        <v>28.1</v>
      </c>
      <c r="M39" s="100">
        <v>26.3</v>
      </c>
      <c r="N39" s="100">
        <v>24.7</v>
      </c>
      <c r="O39" s="100">
        <v>23.3</v>
      </c>
      <c r="P39" s="100">
        <v>22.1</v>
      </c>
      <c r="Q39" s="100">
        <v>21.1</v>
      </c>
      <c r="R39" s="100">
        <v>20.2</v>
      </c>
      <c r="S39" s="100">
        <v>19.399999999999999</v>
      </c>
      <c r="T39" s="100">
        <v>18.7</v>
      </c>
      <c r="U39" s="100">
        <v>18.100000000000001</v>
      </c>
    </row>
    <row r="40" spans="1:21" x14ac:dyDescent="0.25">
      <c r="A40" s="99">
        <v>29</v>
      </c>
      <c r="B40" s="100">
        <v>262.2</v>
      </c>
      <c r="C40" s="100">
        <v>133.5</v>
      </c>
      <c r="D40" s="100">
        <v>90.7</v>
      </c>
      <c r="E40" s="100">
        <v>69.3</v>
      </c>
      <c r="F40" s="100">
        <v>56.4</v>
      </c>
      <c r="G40" s="100">
        <v>47.9</v>
      </c>
      <c r="H40" s="100">
        <v>41.8</v>
      </c>
      <c r="I40" s="100">
        <v>37.200000000000003</v>
      </c>
      <c r="J40" s="100">
        <v>33.700000000000003</v>
      </c>
      <c r="K40" s="100">
        <v>30.9</v>
      </c>
      <c r="L40" s="100">
        <v>28.6</v>
      </c>
      <c r="M40" s="100">
        <v>26.6</v>
      </c>
      <c r="N40" s="100">
        <v>25</v>
      </c>
      <c r="O40" s="100">
        <v>23.6</v>
      </c>
      <c r="P40" s="100">
        <v>22.5</v>
      </c>
      <c r="Q40" s="100">
        <v>21.4</v>
      </c>
      <c r="R40" s="100">
        <v>20.5</v>
      </c>
      <c r="S40" s="100">
        <v>19.7</v>
      </c>
      <c r="T40" s="100">
        <v>19</v>
      </c>
      <c r="U40" s="100">
        <v>18.3</v>
      </c>
    </row>
    <row r="41" spans="1:21" x14ac:dyDescent="0.25">
      <c r="A41" s="99">
        <v>30</v>
      </c>
      <c r="B41" s="100">
        <v>265.8</v>
      </c>
      <c r="C41" s="100">
        <v>135.4</v>
      </c>
      <c r="D41" s="100">
        <v>92</v>
      </c>
      <c r="E41" s="100">
        <v>70.2</v>
      </c>
      <c r="F41" s="100">
        <v>57.2</v>
      </c>
      <c r="G41" s="100">
        <v>48.6</v>
      </c>
      <c r="H41" s="100">
        <v>42.4</v>
      </c>
      <c r="I41" s="100">
        <v>37.799999999999997</v>
      </c>
      <c r="J41" s="100">
        <v>34.200000000000003</v>
      </c>
      <c r="K41" s="100">
        <v>31.3</v>
      </c>
      <c r="L41" s="100">
        <v>29</v>
      </c>
      <c r="M41" s="100">
        <v>27</v>
      </c>
      <c r="N41" s="100">
        <v>25.4</v>
      </c>
      <c r="O41" s="100">
        <v>24</v>
      </c>
      <c r="P41" s="100">
        <v>22.8</v>
      </c>
      <c r="Q41" s="100">
        <v>21.7</v>
      </c>
      <c r="R41" s="100">
        <v>20.8</v>
      </c>
      <c r="S41" s="100">
        <v>20</v>
      </c>
      <c r="T41" s="100">
        <v>19.3</v>
      </c>
      <c r="U41" s="100">
        <v>18.600000000000001</v>
      </c>
    </row>
    <row r="42" spans="1:21" x14ac:dyDescent="0.25">
      <c r="A42" s="99">
        <v>31</v>
      </c>
      <c r="B42" s="100">
        <v>269.60000000000002</v>
      </c>
      <c r="C42" s="100">
        <v>137.30000000000001</v>
      </c>
      <c r="D42" s="100">
        <v>93.3</v>
      </c>
      <c r="E42" s="100">
        <v>71.2</v>
      </c>
      <c r="F42" s="100">
        <v>58</v>
      </c>
      <c r="G42" s="100">
        <v>49.3</v>
      </c>
      <c r="H42" s="100">
        <v>43</v>
      </c>
      <c r="I42" s="100">
        <v>38.299999999999997</v>
      </c>
      <c r="J42" s="100">
        <v>34.700000000000003</v>
      </c>
      <c r="K42" s="100">
        <v>31.8</v>
      </c>
      <c r="L42" s="100">
        <v>29.4</v>
      </c>
      <c r="M42" s="100">
        <v>27.4</v>
      </c>
      <c r="N42" s="100">
        <v>25.8</v>
      </c>
      <c r="O42" s="100">
        <v>24.3</v>
      </c>
      <c r="P42" s="100">
        <v>23.1</v>
      </c>
      <c r="Q42" s="100">
        <v>22.1</v>
      </c>
      <c r="R42" s="100">
        <v>21.1</v>
      </c>
      <c r="S42" s="100">
        <v>20.3</v>
      </c>
      <c r="T42" s="100">
        <v>19.600000000000001</v>
      </c>
      <c r="U42" s="100">
        <v>18.899999999999999</v>
      </c>
    </row>
    <row r="43" spans="1:21" x14ac:dyDescent="0.25">
      <c r="A43" s="99">
        <v>32</v>
      </c>
      <c r="B43" s="100">
        <v>273.3</v>
      </c>
      <c r="C43" s="100">
        <v>139.19999999999999</v>
      </c>
      <c r="D43" s="100">
        <v>94.6</v>
      </c>
      <c r="E43" s="100">
        <v>72.2</v>
      </c>
      <c r="F43" s="100">
        <v>58.9</v>
      </c>
      <c r="G43" s="100">
        <v>50</v>
      </c>
      <c r="H43" s="100">
        <v>43.6</v>
      </c>
      <c r="I43" s="100">
        <v>38.9</v>
      </c>
      <c r="J43" s="100">
        <v>35.200000000000003</v>
      </c>
      <c r="K43" s="100">
        <v>32.200000000000003</v>
      </c>
      <c r="L43" s="100">
        <v>29.8</v>
      </c>
      <c r="M43" s="100">
        <v>27.8</v>
      </c>
      <c r="N43" s="100">
        <v>26.1</v>
      </c>
      <c r="O43" s="100">
        <v>24.7</v>
      </c>
      <c r="P43" s="100">
        <v>23.5</v>
      </c>
      <c r="Q43" s="100">
        <v>22.4</v>
      </c>
      <c r="R43" s="100">
        <v>21.4</v>
      </c>
      <c r="S43" s="100">
        <v>20.6</v>
      </c>
      <c r="T43" s="100">
        <v>19.899999999999999</v>
      </c>
      <c r="U43" s="100">
        <v>19.2</v>
      </c>
    </row>
    <row r="44" spans="1:21" x14ac:dyDescent="0.25">
      <c r="A44" s="99">
        <v>33</v>
      </c>
      <c r="B44" s="100">
        <v>277.10000000000002</v>
      </c>
      <c r="C44" s="100">
        <v>141.19999999999999</v>
      </c>
      <c r="D44" s="100">
        <v>95.9</v>
      </c>
      <c r="E44" s="100">
        <v>73.3</v>
      </c>
      <c r="F44" s="100">
        <v>59.7</v>
      </c>
      <c r="G44" s="100">
        <v>50.7</v>
      </c>
      <c r="H44" s="100">
        <v>44.2</v>
      </c>
      <c r="I44" s="100">
        <v>39.4</v>
      </c>
      <c r="J44" s="100">
        <v>35.700000000000003</v>
      </c>
      <c r="K44" s="100">
        <v>32.700000000000003</v>
      </c>
      <c r="L44" s="100">
        <v>30.2</v>
      </c>
      <c r="M44" s="100">
        <v>28.2</v>
      </c>
      <c r="N44" s="100">
        <v>26.5</v>
      </c>
      <c r="O44" s="100">
        <v>25.1</v>
      </c>
      <c r="P44" s="100">
        <v>23.8</v>
      </c>
      <c r="Q44" s="100">
        <v>22.7</v>
      </c>
      <c r="R44" s="100">
        <v>21.8</v>
      </c>
      <c r="S44" s="100">
        <v>20.9</v>
      </c>
      <c r="T44" s="100">
        <v>20.100000000000001</v>
      </c>
      <c r="U44" s="100">
        <v>19.5</v>
      </c>
    </row>
    <row r="45" spans="1:21" x14ac:dyDescent="0.25">
      <c r="A45" s="99">
        <v>34</v>
      </c>
      <c r="B45" s="100">
        <v>281</v>
      </c>
      <c r="C45" s="100">
        <v>143.1</v>
      </c>
      <c r="D45" s="100">
        <v>97.2</v>
      </c>
      <c r="E45" s="100">
        <v>74.3</v>
      </c>
      <c r="F45" s="100">
        <v>60.5</v>
      </c>
      <c r="G45" s="100">
        <v>51.4</v>
      </c>
      <c r="H45" s="100">
        <v>44.8</v>
      </c>
      <c r="I45" s="100">
        <v>40</v>
      </c>
      <c r="J45" s="100">
        <v>36.200000000000003</v>
      </c>
      <c r="K45" s="100">
        <v>33.1</v>
      </c>
      <c r="L45" s="100">
        <v>30.7</v>
      </c>
      <c r="M45" s="100">
        <v>28.6</v>
      </c>
      <c r="N45" s="100">
        <v>26.9</v>
      </c>
      <c r="O45" s="100">
        <v>25.4</v>
      </c>
      <c r="P45" s="100">
        <v>24.2</v>
      </c>
      <c r="Q45" s="100">
        <v>23</v>
      </c>
      <c r="R45" s="100">
        <v>22.1</v>
      </c>
      <c r="S45" s="100">
        <v>21.2</v>
      </c>
      <c r="T45" s="100">
        <v>20.5</v>
      </c>
      <c r="U45" s="100">
        <v>19.8</v>
      </c>
    </row>
    <row r="46" spans="1:21" x14ac:dyDescent="0.25">
      <c r="A46" s="99">
        <v>35</v>
      </c>
      <c r="B46" s="100">
        <v>284.8</v>
      </c>
      <c r="C46" s="100">
        <v>145.1</v>
      </c>
      <c r="D46" s="100">
        <v>98.6</v>
      </c>
      <c r="E46" s="100">
        <v>75.3</v>
      </c>
      <c r="F46" s="100">
        <v>61.4</v>
      </c>
      <c r="G46" s="100">
        <v>52.1</v>
      </c>
      <c r="H46" s="100">
        <v>45.5</v>
      </c>
      <c r="I46" s="100">
        <v>40.5</v>
      </c>
      <c r="J46" s="100">
        <v>36.700000000000003</v>
      </c>
      <c r="K46" s="100">
        <v>33.6</v>
      </c>
      <c r="L46" s="100">
        <v>31.1</v>
      </c>
      <c r="M46" s="100">
        <v>29</v>
      </c>
      <c r="N46" s="100">
        <v>27.3</v>
      </c>
      <c r="O46" s="100">
        <v>25.8</v>
      </c>
      <c r="P46" s="100">
        <v>24.5</v>
      </c>
      <c r="Q46" s="100">
        <v>23.4</v>
      </c>
      <c r="R46" s="100">
        <v>22.4</v>
      </c>
      <c r="S46" s="100">
        <v>21.5</v>
      </c>
      <c r="T46" s="100">
        <v>20.8</v>
      </c>
      <c r="U46" s="100">
        <v>20.100000000000001</v>
      </c>
    </row>
    <row r="47" spans="1:21" x14ac:dyDescent="0.25">
      <c r="A47" s="99">
        <v>36</v>
      </c>
      <c r="B47" s="100">
        <v>288.7</v>
      </c>
      <c r="C47" s="100">
        <v>147.1</v>
      </c>
      <c r="D47" s="100">
        <v>99.9</v>
      </c>
      <c r="E47" s="100">
        <v>76.400000000000006</v>
      </c>
      <c r="F47" s="100">
        <v>62.2</v>
      </c>
      <c r="G47" s="100">
        <v>52.8</v>
      </c>
      <c r="H47" s="100">
        <v>46.1</v>
      </c>
      <c r="I47" s="100">
        <v>41.1</v>
      </c>
      <c r="J47" s="100">
        <v>37.200000000000003</v>
      </c>
      <c r="K47" s="100">
        <v>34.1</v>
      </c>
      <c r="L47" s="100">
        <v>31.6</v>
      </c>
      <c r="M47" s="100">
        <v>29.5</v>
      </c>
      <c r="N47" s="100">
        <v>27.7</v>
      </c>
      <c r="O47" s="100">
        <v>26.2</v>
      </c>
      <c r="P47" s="100">
        <v>24.9</v>
      </c>
      <c r="Q47" s="100">
        <v>23.7</v>
      </c>
      <c r="R47" s="100">
        <v>22.7</v>
      </c>
      <c r="S47" s="100">
        <v>21.9</v>
      </c>
      <c r="T47" s="100">
        <v>21.1</v>
      </c>
      <c r="U47" s="100">
        <v>20.399999999999999</v>
      </c>
    </row>
    <row r="48" spans="1:21" x14ac:dyDescent="0.25">
      <c r="A48" s="99">
        <v>37</v>
      </c>
      <c r="B48" s="100">
        <v>292.7</v>
      </c>
      <c r="C48" s="100">
        <v>149.1</v>
      </c>
      <c r="D48" s="100">
        <v>101.3</v>
      </c>
      <c r="E48" s="100">
        <v>77.400000000000006</v>
      </c>
      <c r="F48" s="100">
        <v>63.1</v>
      </c>
      <c r="G48" s="100">
        <v>53.6</v>
      </c>
      <c r="H48" s="100">
        <v>46.8</v>
      </c>
      <c r="I48" s="100">
        <v>41.7</v>
      </c>
      <c r="J48" s="100">
        <v>37.700000000000003</v>
      </c>
      <c r="K48" s="100">
        <v>34.6</v>
      </c>
      <c r="L48" s="100">
        <v>32</v>
      </c>
      <c r="M48" s="100">
        <v>29.9</v>
      </c>
      <c r="N48" s="100">
        <v>28.1</v>
      </c>
      <c r="O48" s="100">
        <v>26.6</v>
      </c>
      <c r="P48" s="100">
        <v>25.2</v>
      </c>
      <c r="Q48" s="100">
        <v>24.1</v>
      </c>
      <c r="R48" s="100">
        <v>23.1</v>
      </c>
      <c r="S48" s="100">
        <v>22.2</v>
      </c>
      <c r="T48" s="100">
        <v>21.4</v>
      </c>
      <c r="U48" s="100">
        <v>20.7</v>
      </c>
    </row>
    <row r="49" spans="1:21" x14ac:dyDescent="0.25">
      <c r="A49" s="99">
        <v>38</v>
      </c>
      <c r="B49" s="100">
        <v>296.7</v>
      </c>
      <c r="C49" s="100">
        <v>151.19999999999999</v>
      </c>
      <c r="D49" s="100">
        <v>102.7</v>
      </c>
      <c r="E49" s="100">
        <v>78.5</v>
      </c>
      <c r="F49" s="100">
        <v>64</v>
      </c>
      <c r="G49" s="100">
        <v>54.3</v>
      </c>
      <c r="H49" s="100">
        <v>47.4</v>
      </c>
      <c r="I49" s="100">
        <v>42.3</v>
      </c>
      <c r="J49" s="100">
        <v>38.299999999999997</v>
      </c>
      <c r="K49" s="100">
        <v>35.1</v>
      </c>
      <c r="L49" s="100">
        <v>32.5</v>
      </c>
      <c r="M49" s="100">
        <v>30.3</v>
      </c>
      <c r="N49" s="100">
        <v>28.5</v>
      </c>
      <c r="O49" s="100">
        <v>26.9</v>
      </c>
      <c r="P49" s="100">
        <v>25.6</v>
      </c>
      <c r="Q49" s="100">
        <v>24.5</v>
      </c>
      <c r="R49" s="100">
        <v>23.4</v>
      </c>
      <c r="S49" s="100">
        <v>22.5</v>
      </c>
      <c r="T49" s="100">
        <v>21.7</v>
      </c>
      <c r="U49" s="100">
        <v>21</v>
      </c>
    </row>
    <row r="50" spans="1:21" x14ac:dyDescent="0.25">
      <c r="A50" s="99">
        <v>39</v>
      </c>
      <c r="B50" s="100">
        <v>300.7</v>
      </c>
      <c r="C50" s="100">
        <v>153.19999999999999</v>
      </c>
      <c r="D50" s="100">
        <v>104.1</v>
      </c>
      <c r="E50" s="100">
        <v>79.599999999999994</v>
      </c>
      <c r="F50" s="100">
        <v>64.900000000000006</v>
      </c>
      <c r="G50" s="100">
        <v>55.1</v>
      </c>
      <c r="H50" s="100">
        <v>48.1</v>
      </c>
      <c r="I50" s="100">
        <v>42.9</v>
      </c>
      <c r="J50" s="100">
        <v>38.799999999999997</v>
      </c>
      <c r="K50" s="100">
        <v>35.6</v>
      </c>
      <c r="L50" s="100">
        <v>32.9</v>
      </c>
      <c r="M50" s="100">
        <v>30.8</v>
      </c>
      <c r="N50" s="100">
        <v>28.9</v>
      </c>
      <c r="O50" s="100">
        <v>27.3</v>
      </c>
      <c r="P50" s="100">
        <v>26</v>
      </c>
      <c r="Q50" s="100">
        <v>24.8</v>
      </c>
      <c r="R50" s="100">
        <v>23.8</v>
      </c>
      <c r="S50" s="100">
        <v>22.9</v>
      </c>
      <c r="T50" s="100">
        <v>22.1</v>
      </c>
      <c r="U50" s="100">
        <v>21.4</v>
      </c>
    </row>
    <row r="51" spans="1:21" x14ac:dyDescent="0.25">
      <c r="A51" s="99">
        <v>40</v>
      </c>
      <c r="B51" s="100">
        <v>304.8</v>
      </c>
      <c r="C51" s="100">
        <v>155.30000000000001</v>
      </c>
      <c r="D51" s="100">
        <v>105.6</v>
      </c>
      <c r="E51" s="100">
        <v>80.7</v>
      </c>
      <c r="F51" s="100">
        <v>65.8</v>
      </c>
      <c r="G51" s="100">
        <v>55.8</v>
      </c>
      <c r="H51" s="100">
        <v>48.8</v>
      </c>
      <c r="I51" s="100">
        <v>43.5</v>
      </c>
      <c r="J51" s="100">
        <v>39.4</v>
      </c>
      <c r="K51" s="100">
        <v>36.1</v>
      </c>
      <c r="L51" s="100">
        <v>33.4</v>
      </c>
      <c r="M51" s="100">
        <v>31.2</v>
      </c>
      <c r="N51" s="100">
        <v>29.4</v>
      </c>
      <c r="O51" s="100">
        <v>27.8</v>
      </c>
      <c r="P51" s="100">
        <v>26.4</v>
      </c>
      <c r="Q51" s="100">
        <v>25.2</v>
      </c>
      <c r="R51" s="100">
        <v>24.2</v>
      </c>
      <c r="S51" s="100">
        <v>23.3</v>
      </c>
      <c r="T51" s="100">
        <v>22.5</v>
      </c>
      <c r="U51" s="100">
        <v>21.7</v>
      </c>
    </row>
    <row r="52" spans="1:21" x14ac:dyDescent="0.25">
      <c r="A52" s="99">
        <v>41</v>
      </c>
      <c r="B52" s="100">
        <v>309</v>
      </c>
      <c r="C52" s="100">
        <v>157.5</v>
      </c>
      <c r="D52" s="100">
        <v>107</v>
      </c>
      <c r="E52" s="100">
        <v>81.8</v>
      </c>
      <c r="F52" s="100">
        <v>66.7</v>
      </c>
      <c r="G52" s="100">
        <v>56.6</v>
      </c>
      <c r="H52" s="100">
        <v>49.5</v>
      </c>
      <c r="I52" s="100">
        <v>44.1</v>
      </c>
      <c r="J52" s="100">
        <v>39.9</v>
      </c>
      <c r="K52" s="100">
        <v>36.6</v>
      </c>
      <c r="L52" s="100">
        <v>33.9</v>
      </c>
      <c r="M52" s="100">
        <v>31.7</v>
      </c>
      <c r="N52" s="100">
        <v>29.8</v>
      </c>
      <c r="O52" s="100">
        <v>28.2</v>
      </c>
      <c r="P52" s="100">
        <v>26.8</v>
      </c>
      <c r="Q52" s="100">
        <v>25.6</v>
      </c>
      <c r="R52" s="100">
        <v>24.6</v>
      </c>
      <c r="S52" s="100">
        <v>23.6</v>
      </c>
      <c r="T52" s="100">
        <v>22.8</v>
      </c>
      <c r="U52" s="100">
        <v>22.1</v>
      </c>
    </row>
    <row r="53" spans="1:21" x14ac:dyDescent="0.25">
      <c r="A53" s="99">
        <v>42</v>
      </c>
      <c r="B53" s="100">
        <v>313.2</v>
      </c>
      <c r="C53" s="100">
        <v>159.6</v>
      </c>
      <c r="D53" s="100">
        <v>108.5</v>
      </c>
      <c r="E53" s="100">
        <v>82.9</v>
      </c>
      <c r="F53" s="100">
        <v>67.599999999999994</v>
      </c>
      <c r="G53" s="100">
        <v>57.4</v>
      </c>
      <c r="H53" s="100">
        <v>50.2</v>
      </c>
      <c r="I53" s="100">
        <v>44.7</v>
      </c>
      <c r="J53" s="100">
        <v>40.5</v>
      </c>
      <c r="K53" s="100">
        <v>37.200000000000003</v>
      </c>
      <c r="L53" s="100">
        <v>34.4</v>
      </c>
      <c r="M53" s="100">
        <v>32.200000000000003</v>
      </c>
      <c r="N53" s="100">
        <v>30.2</v>
      </c>
      <c r="O53" s="100">
        <v>28.6</v>
      </c>
      <c r="P53" s="100">
        <v>27.2</v>
      </c>
      <c r="Q53" s="100">
        <v>26</v>
      </c>
      <c r="R53" s="100">
        <v>25</v>
      </c>
      <c r="S53" s="100">
        <v>24</v>
      </c>
      <c r="T53" s="100">
        <v>23.2</v>
      </c>
      <c r="U53" s="100">
        <v>22.5</v>
      </c>
    </row>
    <row r="54" spans="1:21" x14ac:dyDescent="0.25">
      <c r="A54" s="99">
        <v>43</v>
      </c>
      <c r="B54" s="100">
        <v>317.39999999999998</v>
      </c>
      <c r="C54" s="100">
        <v>161.80000000000001</v>
      </c>
      <c r="D54" s="100">
        <v>110</v>
      </c>
      <c r="E54" s="100">
        <v>84.1</v>
      </c>
      <c r="F54" s="100">
        <v>68.599999999999994</v>
      </c>
      <c r="G54" s="100">
        <v>58.2</v>
      </c>
      <c r="H54" s="100">
        <v>50.9</v>
      </c>
      <c r="I54" s="100">
        <v>45.4</v>
      </c>
      <c r="J54" s="100">
        <v>41.1</v>
      </c>
      <c r="K54" s="100">
        <v>37.700000000000003</v>
      </c>
      <c r="L54" s="100">
        <v>34.9</v>
      </c>
      <c r="M54" s="100">
        <v>32.6</v>
      </c>
      <c r="N54" s="100">
        <v>30.7</v>
      </c>
      <c r="O54" s="100">
        <v>29.1</v>
      </c>
      <c r="P54" s="100">
        <v>27.7</v>
      </c>
      <c r="Q54" s="100">
        <v>26.5</v>
      </c>
      <c r="R54" s="100">
        <v>25.4</v>
      </c>
      <c r="S54" s="100">
        <v>24.5</v>
      </c>
      <c r="T54" s="100">
        <v>23.6</v>
      </c>
      <c r="U54" s="100">
        <v>22.9</v>
      </c>
    </row>
    <row r="55" spans="1:21" x14ac:dyDescent="0.25">
      <c r="A55" s="99">
        <v>44</v>
      </c>
      <c r="B55" s="100">
        <v>321.60000000000002</v>
      </c>
      <c r="C55" s="100">
        <v>164</v>
      </c>
      <c r="D55" s="100">
        <v>111.5</v>
      </c>
      <c r="E55" s="100">
        <v>85.2</v>
      </c>
      <c r="F55" s="100">
        <v>69.5</v>
      </c>
      <c r="G55" s="100">
        <v>59</v>
      </c>
      <c r="H55" s="100">
        <v>51.6</v>
      </c>
      <c r="I55" s="100">
        <v>46</v>
      </c>
      <c r="J55" s="100">
        <v>41.7</v>
      </c>
      <c r="K55" s="100">
        <v>38.299999999999997</v>
      </c>
      <c r="L55" s="100">
        <v>35.5</v>
      </c>
      <c r="M55" s="100">
        <v>33.1</v>
      </c>
      <c r="N55" s="100">
        <v>31.2</v>
      </c>
      <c r="O55" s="100">
        <v>29.5</v>
      </c>
      <c r="P55" s="100">
        <v>28.1</v>
      </c>
      <c r="Q55" s="100">
        <v>26.9</v>
      </c>
      <c r="R55" s="100">
        <v>25.8</v>
      </c>
      <c r="S55" s="100">
        <v>24.9</v>
      </c>
      <c r="T55" s="100">
        <v>24.1</v>
      </c>
      <c r="U55" s="100">
        <v>23.3</v>
      </c>
    </row>
    <row r="56" spans="1:21" x14ac:dyDescent="0.25">
      <c r="A56" s="99">
        <v>45</v>
      </c>
      <c r="B56" s="100">
        <v>325.89999999999998</v>
      </c>
      <c r="C56" s="100">
        <v>166.2</v>
      </c>
      <c r="D56" s="100">
        <v>113</v>
      </c>
      <c r="E56" s="100">
        <v>86.4</v>
      </c>
      <c r="F56" s="100">
        <v>70.5</v>
      </c>
      <c r="G56" s="100">
        <v>59.9</v>
      </c>
      <c r="H56" s="100">
        <v>52.3</v>
      </c>
      <c r="I56" s="100">
        <v>46.7</v>
      </c>
      <c r="J56" s="100">
        <v>42.3</v>
      </c>
      <c r="K56" s="100">
        <v>38.799999999999997</v>
      </c>
      <c r="L56" s="100">
        <v>36</v>
      </c>
      <c r="M56" s="100">
        <v>33.700000000000003</v>
      </c>
      <c r="N56" s="100">
        <v>31.7</v>
      </c>
      <c r="O56" s="100">
        <v>30</v>
      </c>
      <c r="P56" s="100">
        <v>28.6</v>
      </c>
      <c r="Q56" s="100">
        <v>27.4</v>
      </c>
      <c r="R56" s="100">
        <v>26.3</v>
      </c>
      <c r="S56" s="100">
        <v>25.3</v>
      </c>
      <c r="T56" s="100">
        <v>24.5</v>
      </c>
      <c r="U56" s="100">
        <v>23.7</v>
      </c>
    </row>
    <row r="57" spans="1:21" x14ac:dyDescent="0.25">
      <c r="A57" s="99">
        <v>46</v>
      </c>
      <c r="B57" s="100">
        <v>330.3</v>
      </c>
      <c r="C57" s="100">
        <v>168.4</v>
      </c>
      <c r="D57" s="100">
        <v>114.5</v>
      </c>
      <c r="E57" s="100">
        <v>87.6</v>
      </c>
      <c r="F57" s="100">
        <v>71.400000000000006</v>
      </c>
      <c r="G57" s="100">
        <v>60.7</v>
      </c>
      <c r="H57" s="100">
        <v>53.1</v>
      </c>
      <c r="I57" s="100">
        <v>47.4</v>
      </c>
      <c r="J57" s="100">
        <v>42.9</v>
      </c>
      <c r="K57" s="100">
        <v>39.4</v>
      </c>
      <c r="L57" s="100">
        <v>36.6</v>
      </c>
      <c r="M57" s="100">
        <v>34.200000000000003</v>
      </c>
      <c r="N57" s="100">
        <v>32.200000000000003</v>
      </c>
      <c r="O57" s="100">
        <v>30.5</v>
      </c>
      <c r="P57" s="100">
        <v>29.1</v>
      </c>
      <c r="Q57" s="100">
        <v>27.8</v>
      </c>
      <c r="R57" s="100">
        <v>26.8</v>
      </c>
      <c r="S57" s="100">
        <v>25.8</v>
      </c>
      <c r="T57" s="100">
        <v>24.9</v>
      </c>
      <c r="U57" s="100"/>
    </row>
    <row r="58" spans="1:21" x14ac:dyDescent="0.25">
      <c r="A58" s="99">
        <v>47</v>
      </c>
      <c r="B58" s="100">
        <v>334.7</v>
      </c>
      <c r="C58" s="100">
        <v>170.7</v>
      </c>
      <c r="D58" s="100">
        <v>116.1</v>
      </c>
      <c r="E58" s="100">
        <v>88.8</v>
      </c>
      <c r="F58" s="100">
        <v>72.400000000000006</v>
      </c>
      <c r="G58" s="100">
        <v>61.6</v>
      </c>
      <c r="H58" s="100">
        <v>53.9</v>
      </c>
      <c r="I58" s="100">
        <v>48.1</v>
      </c>
      <c r="J58" s="100">
        <v>43.6</v>
      </c>
      <c r="K58" s="100">
        <v>40.1</v>
      </c>
      <c r="L58" s="100">
        <v>37.200000000000003</v>
      </c>
      <c r="M58" s="100">
        <v>34.799999999999997</v>
      </c>
      <c r="N58" s="100">
        <v>32.799999999999997</v>
      </c>
      <c r="O58" s="100">
        <v>31.1</v>
      </c>
      <c r="P58" s="100">
        <v>29.6</v>
      </c>
      <c r="Q58" s="100">
        <v>28.4</v>
      </c>
      <c r="R58" s="100">
        <v>27.3</v>
      </c>
      <c r="S58" s="100">
        <v>26.3</v>
      </c>
      <c r="T58" s="100"/>
      <c r="U58" s="100"/>
    </row>
    <row r="59" spans="1:21" x14ac:dyDescent="0.25">
      <c r="A59" s="99">
        <v>48</v>
      </c>
      <c r="B59" s="100">
        <v>339.2</v>
      </c>
      <c r="C59" s="100">
        <v>173</v>
      </c>
      <c r="D59" s="100">
        <v>117.7</v>
      </c>
      <c r="E59" s="100">
        <v>90</v>
      </c>
      <c r="F59" s="100">
        <v>73.5</v>
      </c>
      <c r="G59" s="100">
        <v>62.5</v>
      </c>
      <c r="H59" s="100">
        <v>54.7</v>
      </c>
      <c r="I59" s="100">
        <v>48.8</v>
      </c>
      <c r="J59" s="100">
        <v>44.3</v>
      </c>
      <c r="K59" s="100">
        <v>40.700000000000003</v>
      </c>
      <c r="L59" s="100">
        <v>37.799999999999997</v>
      </c>
      <c r="M59" s="100">
        <v>35.4</v>
      </c>
      <c r="N59" s="100">
        <v>33.4</v>
      </c>
      <c r="O59" s="100">
        <v>31.6</v>
      </c>
      <c r="P59" s="100">
        <v>30.2</v>
      </c>
      <c r="Q59" s="100">
        <v>28.9</v>
      </c>
      <c r="R59" s="100">
        <v>27.7</v>
      </c>
      <c r="S59" s="100"/>
      <c r="T59" s="100"/>
      <c r="U59" s="100"/>
    </row>
    <row r="60" spans="1:21" x14ac:dyDescent="0.25">
      <c r="A60" s="99">
        <v>49</v>
      </c>
      <c r="B60" s="100">
        <v>343.8</v>
      </c>
      <c r="C60" s="100">
        <v>175.4</v>
      </c>
      <c r="D60" s="100">
        <v>119.3</v>
      </c>
      <c r="E60" s="100">
        <v>91.3</v>
      </c>
      <c r="F60" s="100">
        <v>74.599999999999994</v>
      </c>
      <c r="G60" s="100">
        <v>63.5</v>
      </c>
      <c r="H60" s="100">
        <v>55.5</v>
      </c>
      <c r="I60" s="100">
        <v>49.6</v>
      </c>
      <c r="J60" s="100">
        <v>45.1</v>
      </c>
      <c r="K60" s="100">
        <v>41.4</v>
      </c>
      <c r="L60" s="100">
        <v>38.5</v>
      </c>
      <c r="M60" s="100">
        <v>36</v>
      </c>
      <c r="N60" s="100">
        <v>34</v>
      </c>
      <c r="O60" s="100">
        <v>32.200000000000003</v>
      </c>
      <c r="P60" s="100">
        <v>30.8</v>
      </c>
      <c r="Q60" s="100">
        <v>29.4</v>
      </c>
      <c r="R60" s="100"/>
      <c r="S60" s="100"/>
      <c r="T60" s="100"/>
      <c r="U60" s="100"/>
    </row>
    <row r="61" spans="1:21" x14ac:dyDescent="0.25">
      <c r="A61" s="99">
        <v>50</v>
      </c>
      <c r="B61" s="100">
        <v>348.5</v>
      </c>
      <c r="C61" s="100">
        <v>177.9</v>
      </c>
      <c r="D61" s="100">
        <v>121.1</v>
      </c>
      <c r="E61" s="100">
        <v>92.7</v>
      </c>
      <c r="F61" s="100">
        <v>75.7</v>
      </c>
      <c r="G61" s="100">
        <v>64.5</v>
      </c>
      <c r="H61" s="100">
        <v>56.5</v>
      </c>
      <c r="I61" s="100">
        <v>50.5</v>
      </c>
      <c r="J61" s="100">
        <v>45.8</v>
      </c>
      <c r="K61" s="100">
        <v>42.2</v>
      </c>
      <c r="L61" s="100">
        <v>39.200000000000003</v>
      </c>
      <c r="M61" s="100">
        <v>36.700000000000003</v>
      </c>
      <c r="N61" s="100">
        <v>34.6</v>
      </c>
      <c r="O61" s="100">
        <v>32.9</v>
      </c>
      <c r="P61" s="100">
        <v>31.3</v>
      </c>
      <c r="Q61" s="100"/>
      <c r="R61" s="100"/>
      <c r="S61" s="100"/>
      <c r="T61" s="100"/>
      <c r="U61" s="100"/>
    </row>
    <row r="62" spans="1:21" x14ac:dyDescent="0.25">
      <c r="A62" s="99">
        <v>51</v>
      </c>
      <c r="B62" s="100">
        <v>353.3</v>
      </c>
      <c r="C62" s="100">
        <v>180.4</v>
      </c>
      <c r="D62" s="100">
        <v>122.9</v>
      </c>
      <c r="E62" s="100">
        <v>94.1</v>
      </c>
      <c r="F62" s="100">
        <v>76.900000000000006</v>
      </c>
      <c r="G62" s="100">
        <v>65.5</v>
      </c>
      <c r="H62" s="100">
        <v>57.4</v>
      </c>
      <c r="I62" s="100">
        <v>51.3</v>
      </c>
      <c r="J62" s="100">
        <v>46.6</v>
      </c>
      <c r="K62" s="100">
        <v>42.9</v>
      </c>
      <c r="L62" s="100">
        <v>39.9</v>
      </c>
      <c r="M62" s="100">
        <v>37.4</v>
      </c>
      <c r="N62" s="100">
        <v>35.299999999999997</v>
      </c>
      <c r="O62" s="100">
        <v>33.5</v>
      </c>
      <c r="P62" s="100"/>
      <c r="Q62" s="100"/>
      <c r="R62" s="100"/>
      <c r="S62" s="100"/>
      <c r="T62" s="100"/>
      <c r="U62" s="100"/>
    </row>
    <row r="63" spans="1:21" x14ac:dyDescent="0.25">
      <c r="A63" s="99">
        <v>52</v>
      </c>
      <c r="B63" s="100">
        <v>358.1</v>
      </c>
      <c r="C63" s="100">
        <v>183</v>
      </c>
      <c r="D63" s="100">
        <v>124.6</v>
      </c>
      <c r="E63" s="100">
        <v>95.5</v>
      </c>
      <c r="F63" s="100">
        <v>78.099999999999994</v>
      </c>
      <c r="G63" s="100">
        <v>66.599999999999994</v>
      </c>
      <c r="H63" s="100">
        <v>58.3</v>
      </c>
      <c r="I63" s="100">
        <v>52.2</v>
      </c>
      <c r="J63" s="100">
        <v>47.5</v>
      </c>
      <c r="K63" s="100">
        <v>43.7</v>
      </c>
      <c r="L63" s="100">
        <v>40.6</v>
      </c>
      <c r="M63" s="100">
        <v>38.1</v>
      </c>
      <c r="N63" s="100">
        <v>35.9</v>
      </c>
      <c r="O63" s="100"/>
      <c r="P63" s="100"/>
      <c r="Q63" s="100"/>
      <c r="R63" s="100"/>
      <c r="S63" s="100"/>
      <c r="T63" s="100"/>
      <c r="U63" s="100"/>
    </row>
    <row r="64" spans="1:21" x14ac:dyDescent="0.25">
      <c r="A64" s="99">
        <v>53</v>
      </c>
      <c r="B64" s="100">
        <v>363</v>
      </c>
      <c r="C64" s="100">
        <v>185.5</v>
      </c>
      <c r="D64" s="100">
        <v>126.4</v>
      </c>
      <c r="E64" s="100">
        <v>97</v>
      </c>
      <c r="F64" s="100">
        <v>79.3</v>
      </c>
      <c r="G64" s="100">
        <v>67.599999999999994</v>
      </c>
      <c r="H64" s="100">
        <v>59.3</v>
      </c>
      <c r="I64" s="100">
        <v>53.1</v>
      </c>
      <c r="J64" s="100">
        <v>48.3</v>
      </c>
      <c r="K64" s="100">
        <v>44.5</v>
      </c>
      <c r="L64" s="100">
        <v>41.4</v>
      </c>
      <c r="M64" s="100">
        <v>38.799999999999997</v>
      </c>
      <c r="N64" s="100"/>
      <c r="O64" s="100"/>
      <c r="P64" s="100"/>
      <c r="Q64" s="100"/>
      <c r="R64" s="100"/>
      <c r="S64" s="100"/>
      <c r="T64" s="100"/>
      <c r="U64" s="100"/>
    </row>
    <row r="65" spans="1:21" x14ac:dyDescent="0.25">
      <c r="A65" s="99">
        <v>54</v>
      </c>
      <c r="B65" s="100">
        <v>367.9</v>
      </c>
      <c r="C65" s="100">
        <v>188.1</v>
      </c>
      <c r="D65" s="100">
        <v>128.30000000000001</v>
      </c>
      <c r="E65" s="100">
        <v>98.4</v>
      </c>
      <c r="F65" s="100">
        <v>80.599999999999994</v>
      </c>
      <c r="G65" s="100">
        <v>68.7</v>
      </c>
      <c r="H65" s="100">
        <v>60.3</v>
      </c>
      <c r="I65" s="100">
        <v>54</v>
      </c>
      <c r="J65" s="100">
        <v>49.2</v>
      </c>
      <c r="K65" s="100">
        <v>45.3</v>
      </c>
      <c r="L65" s="100">
        <v>42.1</v>
      </c>
      <c r="M65" s="100"/>
      <c r="N65" s="100"/>
      <c r="O65" s="100"/>
      <c r="P65" s="100"/>
      <c r="Q65" s="100"/>
      <c r="R65" s="100"/>
      <c r="S65" s="100"/>
      <c r="T65" s="100"/>
      <c r="U65" s="100"/>
    </row>
    <row r="66" spans="1:21" x14ac:dyDescent="0.25">
      <c r="A66" s="99">
        <v>55</v>
      </c>
      <c r="B66" s="100">
        <v>372.9</v>
      </c>
      <c r="C66" s="100">
        <v>190.8</v>
      </c>
      <c r="D66" s="100">
        <v>130.19999999999999</v>
      </c>
      <c r="E66" s="100">
        <v>99.9</v>
      </c>
      <c r="F66" s="100">
        <v>81.900000000000006</v>
      </c>
      <c r="G66" s="100">
        <v>69.8</v>
      </c>
      <c r="H66" s="100">
        <v>61.3</v>
      </c>
      <c r="I66" s="100">
        <v>54.9</v>
      </c>
      <c r="J66" s="100">
        <v>50</v>
      </c>
      <c r="K66" s="100">
        <v>46.1</v>
      </c>
      <c r="L66" s="100"/>
      <c r="M66" s="100"/>
      <c r="N66" s="100"/>
      <c r="O66" s="100"/>
      <c r="P66" s="100"/>
      <c r="Q66" s="100"/>
      <c r="R66" s="100"/>
      <c r="S66" s="100"/>
      <c r="T66" s="100"/>
      <c r="U66" s="100"/>
    </row>
    <row r="67" spans="1:21" x14ac:dyDescent="0.25">
      <c r="A67" s="99">
        <v>56</v>
      </c>
      <c r="B67" s="100">
        <v>378</v>
      </c>
      <c r="C67" s="100">
        <v>193.5</v>
      </c>
      <c r="D67" s="100">
        <v>132.1</v>
      </c>
      <c r="E67" s="100">
        <v>101.5</v>
      </c>
      <c r="F67" s="100">
        <v>83.2</v>
      </c>
      <c r="G67" s="100">
        <v>71</v>
      </c>
      <c r="H67" s="100">
        <v>62.4</v>
      </c>
      <c r="I67" s="100">
        <v>55.9</v>
      </c>
      <c r="J67" s="100">
        <v>50.9</v>
      </c>
      <c r="K67" s="100"/>
      <c r="L67" s="100"/>
      <c r="M67" s="100"/>
      <c r="N67" s="100"/>
      <c r="O67" s="100"/>
      <c r="P67" s="100"/>
      <c r="Q67" s="100"/>
      <c r="R67" s="100"/>
      <c r="S67" s="100"/>
      <c r="T67" s="100"/>
      <c r="U67" s="100"/>
    </row>
    <row r="68" spans="1:21" x14ac:dyDescent="0.25">
      <c r="A68" s="99">
        <v>57</v>
      </c>
      <c r="B68" s="100">
        <v>383.3</v>
      </c>
      <c r="C68" s="100">
        <v>196.3</v>
      </c>
      <c r="D68" s="100">
        <v>134.1</v>
      </c>
      <c r="E68" s="100">
        <v>103.1</v>
      </c>
      <c r="F68" s="100">
        <v>84.5</v>
      </c>
      <c r="G68" s="100">
        <v>72.2</v>
      </c>
      <c r="H68" s="100">
        <v>63.4</v>
      </c>
      <c r="I68" s="100">
        <v>56.9</v>
      </c>
      <c r="J68" s="100"/>
      <c r="K68" s="100"/>
      <c r="L68" s="100"/>
      <c r="M68" s="100"/>
      <c r="N68" s="100"/>
      <c r="O68" s="100"/>
      <c r="P68" s="100"/>
      <c r="Q68" s="100"/>
      <c r="R68" s="100"/>
      <c r="S68" s="100"/>
      <c r="T68" s="100"/>
      <c r="U68" s="100"/>
    </row>
    <row r="69" spans="1:21" x14ac:dyDescent="0.25">
      <c r="A69" s="99">
        <v>58</v>
      </c>
      <c r="B69" s="100">
        <v>388.8</v>
      </c>
      <c r="C69" s="100">
        <v>199.2</v>
      </c>
      <c r="D69" s="100">
        <v>136.19999999999999</v>
      </c>
      <c r="E69" s="100">
        <v>104.7</v>
      </c>
      <c r="F69" s="100">
        <v>85.9</v>
      </c>
      <c r="G69" s="100">
        <v>73.400000000000006</v>
      </c>
      <c r="H69" s="100">
        <v>64.599999999999994</v>
      </c>
      <c r="I69" s="100"/>
      <c r="J69" s="100"/>
      <c r="K69" s="100"/>
      <c r="L69" s="100"/>
      <c r="M69" s="100"/>
      <c r="N69" s="100"/>
      <c r="O69" s="100"/>
      <c r="P69" s="100"/>
      <c r="Q69" s="100"/>
      <c r="R69" s="100"/>
      <c r="S69" s="100"/>
      <c r="T69" s="100"/>
      <c r="U69" s="100"/>
    </row>
    <row r="70" spans="1:21" x14ac:dyDescent="0.25">
      <c r="A70" s="99">
        <v>59</v>
      </c>
      <c r="B70" s="100">
        <v>394.5</v>
      </c>
      <c r="C70" s="100">
        <v>202.3</v>
      </c>
      <c r="D70" s="100">
        <v>138.30000000000001</v>
      </c>
      <c r="E70" s="100">
        <v>106.4</v>
      </c>
      <c r="F70" s="100">
        <v>87.4</v>
      </c>
      <c r="G70" s="100">
        <v>74.7</v>
      </c>
      <c r="H70" s="100"/>
      <c r="I70" s="100"/>
      <c r="J70" s="100"/>
      <c r="K70" s="100"/>
      <c r="L70" s="100"/>
      <c r="M70" s="100"/>
      <c r="N70" s="100"/>
      <c r="O70" s="100"/>
      <c r="P70" s="100"/>
      <c r="Q70" s="100"/>
      <c r="R70" s="100"/>
      <c r="S70" s="100"/>
      <c r="T70" s="100"/>
      <c r="U70" s="100"/>
    </row>
    <row r="71" spans="1:21" x14ac:dyDescent="0.25">
      <c r="A71" s="99">
        <v>60</v>
      </c>
      <c r="B71" s="100">
        <v>400.4</v>
      </c>
      <c r="C71" s="100">
        <v>205.5</v>
      </c>
      <c r="D71" s="100">
        <v>140.6</v>
      </c>
      <c r="E71" s="100">
        <v>108.2</v>
      </c>
      <c r="F71" s="100">
        <v>88.9</v>
      </c>
      <c r="G71" s="100"/>
      <c r="H71" s="100"/>
      <c r="I71" s="100"/>
      <c r="J71" s="100"/>
      <c r="K71" s="100"/>
      <c r="L71" s="100"/>
      <c r="M71" s="100"/>
      <c r="N71" s="100"/>
      <c r="O71" s="100"/>
      <c r="P71" s="100"/>
      <c r="Q71" s="100"/>
      <c r="R71" s="100"/>
      <c r="S71" s="100"/>
      <c r="T71" s="100"/>
      <c r="U71" s="100"/>
    </row>
    <row r="72" spans="1:21" x14ac:dyDescent="0.25">
      <c r="A72" s="99">
        <v>61</v>
      </c>
      <c r="B72" s="100">
        <v>406.8</v>
      </c>
      <c r="C72" s="100">
        <v>208.8</v>
      </c>
      <c r="D72" s="100">
        <v>143</v>
      </c>
      <c r="E72" s="100">
        <v>110.1</v>
      </c>
      <c r="F72" s="100"/>
      <c r="G72" s="100"/>
      <c r="H72" s="100"/>
      <c r="I72" s="100"/>
      <c r="J72" s="100"/>
      <c r="K72" s="100"/>
      <c r="L72" s="100"/>
      <c r="M72" s="100"/>
      <c r="N72" s="100"/>
      <c r="O72" s="100"/>
      <c r="P72" s="100"/>
      <c r="Q72" s="100"/>
      <c r="R72" s="100"/>
      <c r="S72" s="100"/>
      <c r="T72" s="100"/>
      <c r="U72" s="100"/>
    </row>
    <row r="73" spans="1:21" x14ac:dyDescent="0.25">
      <c r="A73" s="99">
        <v>62</v>
      </c>
      <c r="B73" s="100">
        <v>413.4</v>
      </c>
      <c r="C73" s="100">
        <v>212.4</v>
      </c>
      <c r="D73" s="100">
        <v>145.5</v>
      </c>
      <c r="E73" s="100"/>
      <c r="F73" s="100"/>
      <c r="G73" s="100"/>
      <c r="H73" s="100"/>
      <c r="I73" s="100"/>
      <c r="J73" s="100"/>
      <c r="K73" s="100"/>
      <c r="L73" s="100"/>
      <c r="M73" s="100"/>
      <c r="N73" s="100"/>
      <c r="O73" s="100"/>
      <c r="P73" s="100"/>
      <c r="Q73" s="100"/>
      <c r="R73" s="100"/>
      <c r="S73" s="100"/>
      <c r="T73" s="100"/>
      <c r="U73" s="100"/>
    </row>
    <row r="74" spans="1:21" x14ac:dyDescent="0.25">
      <c r="A74" s="99">
        <v>63</v>
      </c>
      <c r="B74" s="100">
        <v>420.5</v>
      </c>
      <c r="C74" s="100">
        <v>216.1</v>
      </c>
      <c r="D74" s="100"/>
      <c r="E74" s="100"/>
      <c r="F74" s="100"/>
      <c r="G74" s="100"/>
      <c r="H74" s="100"/>
      <c r="I74" s="100"/>
      <c r="J74" s="100"/>
      <c r="K74" s="100"/>
      <c r="L74" s="100"/>
      <c r="M74" s="100"/>
      <c r="N74" s="100"/>
      <c r="O74" s="100"/>
      <c r="P74" s="100"/>
      <c r="Q74" s="100"/>
      <c r="R74" s="100"/>
      <c r="S74" s="100"/>
      <c r="T74" s="100"/>
      <c r="U74" s="100"/>
    </row>
    <row r="75" spans="1:21" x14ac:dyDescent="0.25">
      <c r="A75" s="99">
        <v>64</v>
      </c>
      <c r="B75" s="100">
        <v>427.9</v>
      </c>
      <c r="C75" s="100"/>
      <c r="D75" s="100"/>
      <c r="E75" s="100"/>
      <c r="F75" s="100"/>
      <c r="G75" s="100"/>
      <c r="H75" s="100"/>
      <c r="I75" s="100"/>
      <c r="J75" s="100"/>
      <c r="K75" s="100"/>
      <c r="L75" s="100"/>
      <c r="M75" s="100"/>
      <c r="N75" s="100"/>
      <c r="O75" s="100"/>
      <c r="P75" s="100"/>
      <c r="Q75" s="100"/>
      <c r="R75" s="100"/>
      <c r="S75" s="100"/>
      <c r="T75" s="100"/>
      <c r="U75" s="100"/>
    </row>
  </sheetData>
  <sheetProtection algorithmName="SHA-512" hashValue="374CoRpUvy/rV+NJnwDAQ4Koz26XOkXDA0EjhCREVbd9etDRk532FBYUR8tI7GOlz+vqOR7b60BQrmQrUrysWw==" saltValue="7HcbxUkIecm5Hc586gUr6w==" spinCount="100000" sheet="1" objects="1" scenarios="1"/>
  <conditionalFormatting sqref="A6:A21">
    <cfRule type="expression" dxfId="347" priority="17" stopIfTrue="1">
      <formula>MOD(ROW(),2)=0</formula>
    </cfRule>
    <cfRule type="expression" dxfId="346" priority="18" stopIfTrue="1">
      <formula>MOD(ROW(),2)&lt;&gt;0</formula>
    </cfRule>
  </conditionalFormatting>
  <conditionalFormatting sqref="A26:A75">
    <cfRule type="expression" dxfId="345" priority="3" stopIfTrue="1">
      <formula>MOD(ROW(),2)=0</formula>
    </cfRule>
    <cfRule type="expression" dxfId="344" priority="4" stopIfTrue="1">
      <formula>MOD(ROW(),2)&lt;&gt;0</formula>
    </cfRule>
  </conditionalFormatting>
  <conditionalFormatting sqref="B17:B21">
    <cfRule type="expression" dxfId="343" priority="1" stopIfTrue="1">
      <formula>MOD(ROW(),2)=0</formula>
    </cfRule>
    <cfRule type="expression" dxfId="342" priority="2" stopIfTrue="1">
      <formula>MOD(ROW(),2)&lt;&gt;0</formula>
    </cfRule>
  </conditionalFormatting>
  <conditionalFormatting sqref="B6:U21">
    <cfRule type="expression" dxfId="341" priority="27" stopIfTrue="1">
      <formula>MOD(ROW(),2)=0</formula>
    </cfRule>
    <cfRule type="expression" dxfId="340" priority="28" stopIfTrue="1">
      <formula>MOD(ROW(),2)&lt;&gt;0</formula>
    </cfRule>
  </conditionalFormatting>
  <conditionalFormatting sqref="B26:U75">
    <cfRule type="expression" dxfId="339" priority="5" stopIfTrue="1">
      <formula>MOD(ROW(),2)=0</formula>
    </cfRule>
    <cfRule type="expression" dxfId="338" priority="6" stopIfTrue="1">
      <formula>MOD(ROW(),2)&lt;&gt;0</formula>
    </cfRule>
  </conditionalFormatting>
  <hyperlinks>
    <hyperlink ref="B24" location="Assumptions!A1" display="Assumptions" xr:uid="{54CC2AF6-C6B7-44AE-84E8-1E09530A332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103"/>
  <dimension ref="A1:V178"/>
  <sheetViews>
    <sheetView showGridLines="0" zoomScale="85" zoomScaleNormal="85" workbookViewId="0">
      <selection activeCell="A4" sqref="A4"/>
    </sheetView>
  </sheetViews>
  <sheetFormatPr defaultColWidth="10" defaultRowHeight="12.5" x14ac:dyDescent="0.25"/>
  <cols>
    <col min="1" max="1" width="31.90625" style="25" customWidth="1"/>
    <col min="2" max="21" width="22.90625" style="25" customWidth="1"/>
    <col min="22" max="16384" width="10" style="25"/>
  </cols>
  <sheetData>
    <row r="1" spans="1:21" ht="20" x14ac:dyDescent="0.4">
      <c r="A1" s="36" t="s">
        <v>0</v>
      </c>
      <c r="B1" s="37"/>
      <c r="C1" s="37"/>
      <c r="D1" s="37"/>
      <c r="E1" s="37"/>
      <c r="F1" s="37"/>
      <c r="G1" s="37"/>
      <c r="H1" s="37"/>
      <c r="I1" s="37"/>
    </row>
    <row r="2" spans="1:21" ht="15.5" x14ac:dyDescent="0.35">
      <c r="A2" s="38" t="str">
        <f>IF(title="&gt; Enter workbook title here","Enter workbook title in Cover sheet",title)</f>
        <v>NHSPS_NI - Consolidated Factor Spreadsheet</v>
      </c>
      <c r="B2" s="39"/>
      <c r="C2" s="39"/>
      <c r="D2" s="39"/>
      <c r="E2" s="39"/>
      <c r="F2" s="39"/>
      <c r="G2" s="39"/>
      <c r="H2" s="39"/>
      <c r="I2" s="39"/>
    </row>
    <row r="3" spans="1:21" ht="15.5" x14ac:dyDescent="0.35">
      <c r="A3" s="40" t="str">
        <f>TABLE_FACTOR_TYPE_1&amp;" - x-"&amp;TABLE_SERIES_NUMBER_1</f>
        <v>Added pension - x-717</v>
      </c>
      <c r="B3" s="39"/>
      <c r="C3" s="39"/>
      <c r="D3" s="39"/>
      <c r="E3" s="39"/>
      <c r="F3" s="39"/>
      <c r="G3" s="39"/>
      <c r="H3" s="39"/>
      <c r="I3" s="39"/>
    </row>
    <row r="4" spans="1:21" x14ac:dyDescent="0.25">
      <c r="A4" s="41"/>
    </row>
    <row r="6" spans="1:21" ht="13" x14ac:dyDescent="0.3">
      <c r="A6" s="163" t="s">
        <v>276</v>
      </c>
      <c r="B6" s="107" t="s">
        <v>277</v>
      </c>
      <c r="C6" s="107"/>
      <c r="D6" s="107"/>
      <c r="E6" s="107"/>
      <c r="F6" s="107"/>
      <c r="G6" s="107"/>
      <c r="H6" s="107"/>
      <c r="I6" s="107"/>
      <c r="J6" s="107"/>
      <c r="K6" s="107"/>
      <c r="L6" s="107"/>
      <c r="M6" s="107"/>
      <c r="N6" s="107"/>
      <c r="O6" s="107"/>
      <c r="P6" s="107"/>
      <c r="Q6" s="107"/>
      <c r="R6" s="107"/>
      <c r="S6" s="107"/>
      <c r="T6" s="107"/>
      <c r="U6" s="107"/>
    </row>
    <row r="7" spans="1:21" x14ac:dyDescent="0.25">
      <c r="A7" s="69" t="s">
        <v>278</v>
      </c>
      <c r="B7" s="107" t="s">
        <v>310</v>
      </c>
      <c r="C7" s="107"/>
      <c r="D7" s="107"/>
      <c r="E7" s="107"/>
      <c r="F7" s="107"/>
      <c r="G7" s="107"/>
      <c r="H7" s="107"/>
      <c r="I7" s="107"/>
      <c r="J7" s="107"/>
      <c r="K7" s="107"/>
      <c r="L7" s="107"/>
      <c r="M7" s="107"/>
      <c r="N7" s="107"/>
      <c r="O7" s="107"/>
      <c r="P7" s="107"/>
      <c r="Q7" s="107"/>
      <c r="R7" s="107"/>
      <c r="S7" s="107"/>
      <c r="T7" s="107"/>
      <c r="U7" s="107"/>
    </row>
    <row r="8" spans="1:21" x14ac:dyDescent="0.25">
      <c r="A8" s="69" t="s">
        <v>280</v>
      </c>
      <c r="B8" s="107" t="s">
        <v>513</v>
      </c>
      <c r="C8" s="107"/>
      <c r="D8" s="107"/>
      <c r="E8" s="107"/>
      <c r="F8" s="107"/>
      <c r="G8" s="107"/>
      <c r="H8" s="107"/>
      <c r="I8" s="107"/>
      <c r="J8" s="107"/>
      <c r="K8" s="107"/>
      <c r="L8" s="107"/>
      <c r="M8" s="107"/>
      <c r="N8" s="107"/>
      <c r="O8" s="107"/>
      <c r="P8" s="107"/>
      <c r="Q8" s="107"/>
      <c r="R8" s="107"/>
      <c r="S8" s="107"/>
      <c r="T8" s="107"/>
      <c r="U8" s="107"/>
    </row>
    <row r="9" spans="1:21" x14ac:dyDescent="0.25">
      <c r="A9" s="69" t="s">
        <v>282</v>
      </c>
      <c r="B9" s="107" t="s">
        <v>514</v>
      </c>
      <c r="C9" s="107"/>
      <c r="D9" s="107"/>
      <c r="E9" s="107"/>
      <c r="F9" s="107"/>
      <c r="G9" s="107"/>
      <c r="H9" s="107"/>
      <c r="I9" s="107"/>
      <c r="J9" s="107"/>
      <c r="K9" s="107"/>
      <c r="L9" s="107"/>
      <c r="M9" s="107"/>
      <c r="N9" s="107"/>
      <c r="O9" s="107"/>
      <c r="P9" s="107"/>
      <c r="Q9" s="107"/>
      <c r="R9" s="107"/>
      <c r="S9" s="107"/>
      <c r="T9" s="107"/>
      <c r="U9" s="107"/>
    </row>
    <row r="10" spans="1:21" x14ac:dyDescent="0.25">
      <c r="A10" s="69" t="s">
        <v>6</v>
      </c>
      <c r="B10" s="107" t="s">
        <v>559</v>
      </c>
      <c r="C10" s="107"/>
      <c r="D10" s="107"/>
      <c r="E10" s="107"/>
      <c r="F10" s="107"/>
      <c r="G10" s="107"/>
      <c r="H10" s="107"/>
      <c r="I10" s="107"/>
      <c r="J10" s="107"/>
      <c r="K10" s="107"/>
      <c r="L10" s="107"/>
      <c r="M10" s="107"/>
      <c r="N10" s="107"/>
      <c r="O10" s="107"/>
      <c r="P10" s="107"/>
      <c r="Q10" s="107"/>
      <c r="R10" s="107"/>
      <c r="S10" s="107"/>
      <c r="T10" s="107"/>
      <c r="U10" s="107"/>
    </row>
    <row r="11" spans="1:21" x14ac:dyDescent="0.25">
      <c r="A11" s="69" t="s">
        <v>285</v>
      </c>
      <c r="B11" s="107" t="s">
        <v>359</v>
      </c>
      <c r="C11" s="107"/>
      <c r="D11" s="107"/>
      <c r="E11" s="107"/>
      <c r="F11" s="107"/>
      <c r="G11" s="107"/>
      <c r="H11" s="107"/>
      <c r="I11" s="107"/>
      <c r="J11" s="107"/>
      <c r="K11" s="107"/>
      <c r="L11" s="107"/>
      <c r="M11" s="107"/>
      <c r="N11" s="107"/>
      <c r="O11" s="107"/>
      <c r="P11" s="107"/>
      <c r="Q11" s="107"/>
      <c r="R11" s="107"/>
      <c r="S11" s="107"/>
      <c r="T11" s="107"/>
      <c r="U11" s="107"/>
    </row>
    <row r="12" spans="1:21" x14ac:dyDescent="0.25">
      <c r="A12" s="69" t="s">
        <v>287</v>
      </c>
      <c r="B12" s="107" t="s">
        <v>520</v>
      </c>
      <c r="C12" s="107"/>
      <c r="D12" s="107"/>
      <c r="E12" s="107"/>
      <c r="F12" s="107"/>
      <c r="G12" s="107"/>
      <c r="H12" s="107"/>
      <c r="I12" s="107"/>
      <c r="J12" s="107"/>
      <c r="K12" s="107"/>
      <c r="L12" s="107"/>
      <c r="M12" s="107"/>
      <c r="N12" s="107"/>
      <c r="O12" s="107"/>
      <c r="P12" s="107"/>
      <c r="Q12" s="107"/>
      <c r="R12" s="107"/>
      <c r="S12" s="107"/>
      <c r="T12" s="107"/>
      <c r="U12" s="107"/>
    </row>
    <row r="13" spans="1:21" x14ac:dyDescent="0.25">
      <c r="A13" s="69" t="s">
        <v>289</v>
      </c>
      <c r="B13" s="107">
        <v>0</v>
      </c>
      <c r="C13" s="107"/>
      <c r="D13" s="107"/>
      <c r="E13" s="107"/>
      <c r="F13" s="107"/>
      <c r="G13" s="107"/>
      <c r="H13" s="107"/>
      <c r="I13" s="107"/>
      <c r="J13" s="107"/>
      <c r="K13" s="107"/>
      <c r="L13" s="107"/>
      <c r="M13" s="107"/>
      <c r="N13" s="107"/>
      <c r="O13" s="107"/>
      <c r="P13" s="107"/>
      <c r="Q13" s="107"/>
      <c r="R13" s="107"/>
      <c r="S13" s="107"/>
      <c r="T13" s="107"/>
      <c r="U13" s="107"/>
    </row>
    <row r="14" spans="1:21" x14ac:dyDescent="0.25">
      <c r="A14" s="69" t="s">
        <v>291</v>
      </c>
      <c r="B14" s="107">
        <v>717</v>
      </c>
      <c r="C14" s="107"/>
      <c r="D14" s="107"/>
      <c r="E14" s="107"/>
      <c r="F14" s="107"/>
      <c r="G14" s="107"/>
      <c r="H14" s="107"/>
      <c r="I14" s="107"/>
      <c r="J14" s="107"/>
      <c r="K14" s="107"/>
      <c r="L14" s="107"/>
      <c r="M14" s="107"/>
      <c r="N14" s="107"/>
      <c r="O14" s="107"/>
      <c r="P14" s="107"/>
      <c r="Q14" s="107"/>
      <c r="R14" s="107"/>
      <c r="S14" s="107"/>
      <c r="T14" s="107"/>
      <c r="U14" s="107"/>
    </row>
    <row r="15" spans="1:21" x14ac:dyDescent="0.25">
      <c r="A15" s="69" t="s">
        <v>293</v>
      </c>
      <c r="B15" s="107" t="s">
        <v>560</v>
      </c>
      <c r="C15" s="107"/>
      <c r="D15" s="107"/>
      <c r="E15" s="107"/>
      <c r="F15" s="107"/>
      <c r="G15" s="107"/>
      <c r="H15" s="107"/>
      <c r="I15" s="107"/>
      <c r="J15" s="107"/>
      <c r="K15" s="107"/>
      <c r="L15" s="107"/>
      <c r="M15" s="107"/>
      <c r="N15" s="107"/>
      <c r="O15" s="107"/>
      <c r="P15" s="107"/>
      <c r="Q15" s="107"/>
      <c r="R15" s="107"/>
      <c r="S15" s="107"/>
      <c r="T15" s="107"/>
      <c r="U15" s="107"/>
    </row>
    <row r="16" spans="1:21" x14ac:dyDescent="0.25">
      <c r="A16" s="69" t="s">
        <v>295</v>
      </c>
      <c r="B16" s="107" t="s">
        <v>561</v>
      </c>
      <c r="C16" s="107"/>
      <c r="D16" s="107"/>
      <c r="E16" s="107"/>
      <c r="F16" s="107"/>
      <c r="G16" s="107"/>
      <c r="H16" s="107"/>
      <c r="I16" s="107"/>
      <c r="J16" s="107"/>
      <c r="K16" s="107"/>
      <c r="L16" s="107"/>
      <c r="M16" s="107"/>
      <c r="N16" s="107"/>
      <c r="O16" s="107"/>
      <c r="P16" s="107"/>
      <c r="Q16" s="107"/>
      <c r="R16" s="107"/>
      <c r="S16" s="107"/>
      <c r="T16" s="107"/>
      <c r="U16" s="107"/>
    </row>
    <row r="17" spans="1:21" x14ac:dyDescent="0.25">
      <c r="A17" s="69" t="s">
        <v>725</v>
      </c>
      <c r="B17" s="107"/>
      <c r="C17" s="107"/>
      <c r="D17" s="107"/>
      <c r="E17" s="107"/>
      <c r="F17" s="107"/>
      <c r="G17" s="107"/>
      <c r="H17" s="107"/>
      <c r="I17" s="107"/>
      <c r="J17" s="107"/>
      <c r="K17" s="107"/>
      <c r="L17" s="107"/>
      <c r="M17" s="107"/>
      <c r="N17" s="107"/>
      <c r="O17" s="107"/>
      <c r="P17" s="107"/>
      <c r="Q17" s="107"/>
      <c r="R17" s="107"/>
      <c r="S17" s="107"/>
      <c r="T17" s="107"/>
      <c r="U17" s="107"/>
    </row>
    <row r="18" spans="1:21" x14ac:dyDescent="0.25">
      <c r="A18" s="85" t="s">
        <v>299</v>
      </c>
      <c r="B18" s="164">
        <v>45202</v>
      </c>
      <c r="C18" s="107"/>
      <c r="D18" s="107"/>
      <c r="E18" s="107"/>
      <c r="F18" s="107"/>
      <c r="G18" s="107"/>
      <c r="H18" s="107"/>
      <c r="I18" s="107"/>
      <c r="J18" s="107"/>
      <c r="K18" s="107"/>
      <c r="L18" s="107"/>
      <c r="M18" s="107"/>
      <c r="N18" s="107"/>
      <c r="O18" s="107"/>
      <c r="P18" s="107"/>
      <c r="Q18" s="107"/>
      <c r="R18" s="107"/>
      <c r="S18" s="107"/>
      <c r="T18" s="107"/>
      <c r="U18" s="107"/>
    </row>
    <row r="19" spans="1:21" x14ac:dyDescent="0.25">
      <c r="A19" s="85" t="s">
        <v>301</v>
      </c>
      <c r="B19" s="164">
        <v>45202</v>
      </c>
      <c r="C19" s="107"/>
      <c r="D19" s="107"/>
      <c r="E19" s="107"/>
      <c r="F19" s="107"/>
      <c r="G19" s="107"/>
      <c r="H19" s="107"/>
      <c r="I19" s="107"/>
      <c r="J19" s="107"/>
      <c r="K19" s="107"/>
      <c r="L19" s="107"/>
      <c r="M19" s="107"/>
      <c r="N19" s="107"/>
      <c r="O19" s="107"/>
      <c r="P19" s="107"/>
      <c r="Q19" s="107"/>
      <c r="R19" s="107"/>
      <c r="S19" s="107"/>
      <c r="T19" s="107"/>
      <c r="U19" s="107"/>
    </row>
    <row r="20" spans="1:21" x14ac:dyDescent="0.25">
      <c r="A20" s="85" t="s">
        <v>303</v>
      </c>
      <c r="B20" s="107" t="s">
        <v>317</v>
      </c>
      <c r="C20" s="107"/>
      <c r="D20" s="107"/>
      <c r="E20" s="107"/>
      <c r="F20" s="107"/>
      <c r="G20" s="107"/>
      <c r="H20" s="107"/>
      <c r="I20" s="107"/>
      <c r="J20" s="107"/>
      <c r="K20" s="107"/>
      <c r="L20" s="107"/>
      <c r="M20" s="107"/>
      <c r="N20" s="107"/>
      <c r="O20" s="107"/>
      <c r="P20" s="107"/>
      <c r="Q20" s="107"/>
      <c r="R20" s="107"/>
      <c r="S20" s="107"/>
      <c r="T20" s="107"/>
      <c r="U20" s="107"/>
    </row>
    <row r="21" spans="1:21" x14ac:dyDescent="0.25">
      <c r="A21" s="85" t="s">
        <v>309</v>
      </c>
      <c r="B21" s="107" t="s">
        <v>318</v>
      </c>
      <c r="C21" s="107"/>
      <c r="D21" s="107"/>
      <c r="E21" s="107"/>
      <c r="F21" s="107"/>
      <c r="G21" s="107"/>
      <c r="H21" s="107"/>
      <c r="I21" s="107"/>
      <c r="J21" s="107"/>
      <c r="K21" s="107"/>
      <c r="L21" s="107"/>
      <c r="M21" s="107"/>
      <c r="N21" s="107"/>
      <c r="O21" s="107"/>
      <c r="P21" s="107"/>
      <c r="Q21" s="107"/>
      <c r="R21" s="107"/>
      <c r="S21" s="107"/>
      <c r="T21" s="107"/>
      <c r="U21" s="107"/>
    </row>
    <row r="23" spans="1:21" x14ac:dyDescent="0.25">
      <c r="B23" s="103" t="str">
        <f>HYPERLINK("#'Factor List'!A1","Back to Factor List")</f>
        <v>Back to Factor List</v>
      </c>
    </row>
    <row r="24" spans="1:21" x14ac:dyDescent="0.25">
      <c r="B24" s="103" t="s">
        <v>15</v>
      </c>
    </row>
    <row r="26" spans="1:21" ht="13" x14ac:dyDescent="0.25">
      <c r="A26" s="98" t="s">
        <v>408</v>
      </c>
      <c r="B26" s="98" t="s">
        <v>778</v>
      </c>
      <c r="C26" s="98" t="s">
        <v>779</v>
      </c>
      <c r="D26" s="98" t="s">
        <v>780</v>
      </c>
      <c r="E26" s="98" t="s">
        <v>781</v>
      </c>
      <c r="F26" s="98" t="s">
        <v>782</v>
      </c>
      <c r="G26" s="98" t="s">
        <v>783</v>
      </c>
      <c r="H26" s="98" t="s">
        <v>784</v>
      </c>
      <c r="I26" s="98" t="s">
        <v>785</v>
      </c>
      <c r="J26" s="98" t="s">
        <v>786</v>
      </c>
      <c r="K26" s="98" t="s">
        <v>787</v>
      </c>
      <c r="L26" s="98" t="s">
        <v>788</v>
      </c>
      <c r="M26" s="98" t="s">
        <v>789</v>
      </c>
      <c r="N26" s="98" t="s">
        <v>790</v>
      </c>
      <c r="O26" s="98" t="s">
        <v>791</v>
      </c>
      <c r="P26" s="98" t="s">
        <v>792</v>
      </c>
      <c r="Q26" s="98" t="s">
        <v>793</v>
      </c>
      <c r="R26" s="98" t="s">
        <v>794</v>
      </c>
      <c r="S26" s="98" t="s">
        <v>795</v>
      </c>
      <c r="T26" s="98" t="s">
        <v>796</v>
      </c>
      <c r="U26" s="98" t="s">
        <v>797</v>
      </c>
    </row>
    <row r="27" spans="1:21" x14ac:dyDescent="0.25">
      <c r="A27" s="99">
        <v>16</v>
      </c>
      <c r="B27" s="100">
        <v>209.2</v>
      </c>
      <c r="C27" s="100">
        <v>106.5</v>
      </c>
      <c r="D27" s="100">
        <v>72.3</v>
      </c>
      <c r="E27" s="100">
        <v>55.2</v>
      </c>
      <c r="F27" s="100">
        <v>45</v>
      </c>
      <c r="G27" s="100">
        <v>38.200000000000003</v>
      </c>
      <c r="H27" s="100">
        <v>33.299999999999997</v>
      </c>
      <c r="I27" s="100">
        <v>29.7</v>
      </c>
      <c r="J27" s="100">
        <v>26.8</v>
      </c>
      <c r="K27" s="100">
        <v>24.6</v>
      </c>
      <c r="L27" s="100">
        <v>22.7</v>
      </c>
      <c r="M27" s="100">
        <v>21.2</v>
      </c>
      <c r="N27" s="100">
        <v>19.899999999999999</v>
      </c>
      <c r="O27" s="100">
        <v>18.8</v>
      </c>
      <c r="P27" s="100">
        <v>17.8</v>
      </c>
      <c r="Q27" s="100">
        <v>17</v>
      </c>
      <c r="R27" s="100">
        <v>16.3</v>
      </c>
      <c r="S27" s="100">
        <v>15.6</v>
      </c>
      <c r="T27" s="100">
        <v>15.1</v>
      </c>
      <c r="U27" s="100">
        <v>14.5</v>
      </c>
    </row>
    <row r="28" spans="1:21" x14ac:dyDescent="0.25">
      <c r="A28" s="99">
        <v>17</v>
      </c>
      <c r="B28" s="100">
        <v>212.5</v>
      </c>
      <c r="C28" s="100">
        <v>108.2</v>
      </c>
      <c r="D28" s="100">
        <v>73.5</v>
      </c>
      <c r="E28" s="100">
        <v>56.1</v>
      </c>
      <c r="F28" s="100">
        <v>45.7</v>
      </c>
      <c r="G28" s="100">
        <v>38.799999999999997</v>
      </c>
      <c r="H28" s="100">
        <v>33.799999999999997</v>
      </c>
      <c r="I28" s="100">
        <v>30.1</v>
      </c>
      <c r="J28" s="100">
        <v>27.3</v>
      </c>
      <c r="K28" s="100">
        <v>25</v>
      </c>
      <c r="L28" s="100">
        <v>23.1</v>
      </c>
      <c r="M28" s="100">
        <v>21.5</v>
      </c>
      <c r="N28" s="100">
        <v>20.2</v>
      </c>
      <c r="O28" s="100">
        <v>19.100000000000001</v>
      </c>
      <c r="P28" s="100">
        <v>18.100000000000001</v>
      </c>
      <c r="Q28" s="100">
        <v>17.3</v>
      </c>
      <c r="R28" s="100">
        <v>16.5</v>
      </c>
      <c r="S28" s="100">
        <v>15.9</v>
      </c>
      <c r="T28" s="100">
        <v>15.3</v>
      </c>
      <c r="U28" s="100">
        <v>14.8</v>
      </c>
    </row>
    <row r="29" spans="1:21" x14ac:dyDescent="0.25">
      <c r="A29" s="99">
        <v>18</v>
      </c>
      <c r="B29" s="100">
        <v>216.1</v>
      </c>
      <c r="C29" s="100">
        <v>110</v>
      </c>
      <c r="D29" s="100">
        <v>74.7</v>
      </c>
      <c r="E29" s="100">
        <v>57.1</v>
      </c>
      <c r="F29" s="100">
        <v>46.5</v>
      </c>
      <c r="G29" s="100">
        <v>39.4</v>
      </c>
      <c r="H29" s="100">
        <v>34.4</v>
      </c>
      <c r="I29" s="100">
        <v>30.6</v>
      </c>
      <c r="J29" s="100">
        <v>27.7</v>
      </c>
      <c r="K29" s="100">
        <v>25.4</v>
      </c>
      <c r="L29" s="100">
        <v>23.5</v>
      </c>
      <c r="M29" s="100">
        <v>21.9</v>
      </c>
      <c r="N29" s="100">
        <v>20.6</v>
      </c>
      <c r="O29" s="100">
        <v>19.399999999999999</v>
      </c>
      <c r="P29" s="100">
        <v>18.399999999999999</v>
      </c>
      <c r="Q29" s="100">
        <v>17.600000000000001</v>
      </c>
      <c r="R29" s="100">
        <v>16.8</v>
      </c>
      <c r="S29" s="100">
        <v>16.2</v>
      </c>
      <c r="T29" s="100">
        <v>15.6</v>
      </c>
      <c r="U29" s="100">
        <v>15</v>
      </c>
    </row>
    <row r="30" spans="1:21" x14ac:dyDescent="0.25">
      <c r="A30" s="99">
        <v>19</v>
      </c>
      <c r="B30" s="100">
        <v>219.5</v>
      </c>
      <c r="C30" s="100">
        <v>111.8</v>
      </c>
      <c r="D30" s="100">
        <v>75.900000000000006</v>
      </c>
      <c r="E30" s="100">
        <v>58</v>
      </c>
      <c r="F30" s="100">
        <v>47.2</v>
      </c>
      <c r="G30" s="100">
        <v>40.1</v>
      </c>
      <c r="H30" s="100">
        <v>35</v>
      </c>
      <c r="I30" s="100">
        <v>31.1</v>
      </c>
      <c r="J30" s="100">
        <v>28.2</v>
      </c>
      <c r="K30" s="100">
        <v>25.8</v>
      </c>
      <c r="L30" s="100">
        <v>23.9</v>
      </c>
      <c r="M30" s="100">
        <v>22.3</v>
      </c>
      <c r="N30" s="100">
        <v>20.9</v>
      </c>
      <c r="O30" s="100">
        <v>19.7</v>
      </c>
      <c r="P30" s="100">
        <v>18.7</v>
      </c>
      <c r="Q30" s="100">
        <v>17.899999999999999</v>
      </c>
      <c r="R30" s="100">
        <v>17.100000000000001</v>
      </c>
      <c r="S30" s="100">
        <v>16.399999999999999</v>
      </c>
      <c r="T30" s="100">
        <v>15.8</v>
      </c>
      <c r="U30" s="100">
        <v>15.3</v>
      </c>
    </row>
    <row r="31" spans="1:21" x14ac:dyDescent="0.25">
      <c r="A31" s="99">
        <v>20</v>
      </c>
      <c r="B31" s="100">
        <v>222.7</v>
      </c>
      <c r="C31" s="100">
        <v>113.4</v>
      </c>
      <c r="D31" s="100">
        <v>77</v>
      </c>
      <c r="E31" s="100">
        <v>58.8</v>
      </c>
      <c r="F31" s="100">
        <v>47.9</v>
      </c>
      <c r="G31" s="100">
        <v>40.6</v>
      </c>
      <c r="H31" s="100">
        <v>35.5</v>
      </c>
      <c r="I31" s="100">
        <v>31.6</v>
      </c>
      <c r="J31" s="100">
        <v>28.6</v>
      </c>
      <c r="K31" s="100">
        <v>26.2</v>
      </c>
      <c r="L31" s="100">
        <v>24.2</v>
      </c>
      <c r="M31" s="100">
        <v>22.6</v>
      </c>
      <c r="N31" s="100">
        <v>21.2</v>
      </c>
      <c r="O31" s="100">
        <v>20</v>
      </c>
      <c r="P31" s="100">
        <v>19</v>
      </c>
      <c r="Q31" s="100">
        <v>18.100000000000001</v>
      </c>
      <c r="R31" s="100">
        <v>17.399999999999999</v>
      </c>
      <c r="S31" s="100">
        <v>16.7</v>
      </c>
      <c r="T31" s="100">
        <v>16.100000000000001</v>
      </c>
      <c r="U31" s="100">
        <v>15.5</v>
      </c>
    </row>
    <row r="32" spans="1:21" x14ac:dyDescent="0.25">
      <c r="A32" s="99">
        <v>21</v>
      </c>
      <c r="B32" s="100">
        <v>225.8</v>
      </c>
      <c r="C32" s="100">
        <v>115</v>
      </c>
      <c r="D32" s="100">
        <v>78.099999999999994</v>
      </c>
      <c r="E32" s="100">
        <v>59.6</v>
      </c>
      <c r="F32" s="100">
        <v>48.6</v>
      </c>
      <c r="G32" s="100">
        <v>41.2</v>
      </c>
      <c r="H32" s="100">
        <v>36</v>
      </c>
      <c r="I32" s="100">
        <v>32</v>
      </c>
      <c r="J32" s="100">
        <v>29</v>
      </c>
      <c r="K32" s="100">
        <v>26.5</v>
      </c>
      <c r="L32" s="100">
        <v>24.6</v>
      </c>
      <c r="M32" s="100">
        <v>22.9</v>
      </c>
      <c r="N32" s="100">
        <v>21.5</v>
      </c>
      <c r="O32" s="100">
        <v>20.3</v>
      </c>
      <c r="P32" s="100">
        <v>19.3</v>
      </c>
      <c r="Q32" s="100">
        <v>18.399999999999999</v>
      </c>
      <c r="R32" s="100">
        <v>17.600000000000001</v>
      </c>
      <c r="S32" s="100">
        <v>16.899999999999999</v>
      </c>
      <c r="T32" s="100">
        <v>16.3</v>
      </c>
      <c r="U32" s="100">
        <v>15.7</v>
      </c>
    </row>
    <row r="33" spans="1:21" x14ac:dyDescent="0.25">
      <c r="A33" s="99">
        <v>22</v>
      </c>
      <c r="B33" s="100">
        <v>229</v>
      </c>
      <c r="C33" s="100">
        <v>116.6</v>
      </c>
      <c r="D33" s="100">
        <v>79.2</v>
      </c>
      <c r="E33" s="100">
        <v>60.5</v>
      </c>
      <c r="F33" s="100">
        <v>49.3</v>
      </c>
      <c r="G33" s="100">
        <v>41.8</v>
      </c>
      <c r="H33" s="100">
        <v>36.5</v>
      </c>
      <c r="I33" s="100">
        <v>32.5</v>
      </c>
      <c r="J33" s="100">
        <v>29.4</v>
      </c>
      <c r="K33" s="100">
        <v>26.9</v>
      </c>
      <c r="L33" s="100">
        <v>24.9</v>
      </c>
      <c r="M33" s="100">
        <v>23.2</v>
      </c>
      <c r="N33" s="100">
        <v>21.8</v>
      </c>
      <c r="O33" s="100">
        <v>20.6</v>
      </c>
      <c r="P33" s="100">
        <v>19.600000000000001</v>
      </c>
      <c r="Q33" s="100">
        <v>18.7</v>
      </c>
      <c r="R33" s="100">
        <v>17.899999999999999</v>
      </c>
      <c r="S33" s="100">
        <v>17.2</v>
      </c>
      <c r="T33" s="100">
        <v>16.5</v>
      </c>
      <c r="U33" s="100">
        <v>16</v>
      </c>
    </row>
    <row r="34" spans="1:21" x14ac:dyDescent="0.25">
      <c r="A34" s="99">
        <v>23</v>
      </c>
      <c r="B34" s="100">
        <v>232.3</v>
      </c>
      <c r="C34" s="100">
        <v>118.3</v>
      </c>
      <c r="D34" s="100">
        <v>80.3</v>
      </c>
      <c r="E34" s="100">
        <v>61.3</v>
      </c>
      <c r="F34" s="100">
        <v>50</v>
      </c>
      <c r="G34" s="100">
        <v>42.4</v>
      </c>
      <c r="H34" s="100">
        <v>37</v>
      </c>
      <c r="I34" s="100">
        <v>33</v>
      </c>
      <c r="J34" s="100">
        <v>29.8</v>
      </c>
      <c r="K34" s="100">
        <v>27.3</v>
      </c>
      <c r="L34" s="100">
        <v>25.3</v>
      </c>
      <c r="M34" s="100">
        <v>23.6</v>
      </c>
      <c r="N34" s="100">
        <v>22.1</v>
      </c>
      <c r="O34" s="100">
        <v>20.9</v>
      </c>
      <c r="P34" s="100">
        <v>19.8</v>
      </c>
      <c r="Q34" s="100">
        <v>18.899999999999999</v>
      </c>
      <c r="R34" s="100">
        <v>18.100000000000001</v>
      </c>
      <c r="S34" s="100">
        <v>17.399999999999999</v>
      </c>
      <c r="T34" s="100">
        <v>16.8</v>
      </c>
      <c r="U34" s="100">
        <v>16.2</v>
      </c>
    </row>
    <row r="35" spans="1:21" x14ac:dyDescent="0.25">
      <c r="A35" s="99">
        <v>24</v>
      </c>
      <c r="B35" s="100">
        <v>235.5</v>
      </c>
      <c r="C35" s="100">
        <v>120</v>
      </c>
      <c r="D35" s="100">
        <v>81.400000000000006</v>
      </c>
      <c r="E35" s="100">
        <v>62.2</v>
      </c>
      <c r="F35" s="100">
        <v>50.7</v>
      </c>
      <c r="G35" s="100">
        <v>43</v>
      </c>
      <c r="H35" s="100">
        <v>37.5</v>
      </c>
      <c r="I35" s="100">
        <v>33.4</v>
      </c>
      <c r="J35" s="100">
        <v>30.2</v>
      </c>
      <c r="K35" s="100">
        <v>27.7</v>
      </c>
      <c r="L35" s="100">
        <v>25.6</v>
      </c>
      <c r="M35" s="100">
        <v>23.9</v>
      </c>
      <c r="N35" s="100">
        <v>22.4</v>
      </c>
      <c r="O35" s="100">
        <v>21.2</v>
      </c>
      <c r="P35" s="100">
        <v>20.100000000000001</v>
      </c>
      <c r="Q35" s="100">
        <v>19.2</v>
      </c>
      <c r="R35" s="100">
        <v>18.399999999999999</v>
      </c>
      <c r="S35" s="100">
        <v>17.7</v>
      </c>
      <c r="T35" s="100">
        <v>17</v>
      </c>
      <c r="U35" s="100">
        <v>16.399999999999999</v>
      </c>
    </row>
    <row r="36" spans="1:21" x14ac:dyDescent="0.25">
      <c r="A36" s="99">
        <v>25</v>
      </c>
      <c r="B36" s="100">
        <v>238.8</v>
      </c>
      <c r="C36" s="100">
        <v>121.6</v>
      </c>
      <c r="D36" s="100">
        <v>82.6</v>
      </c>
      <c r="E36" s="100">
        <v>63.1</v>
      </c>
      <c r="F36" s="100">
        <v>51.4</v>
      </c>
      <c r="G36" s="100">
        <v>43.6</v>
      </c>
      <c r="H36" s="100">
        <v>38</v>
      </c>
      <c r="I36" s="100">
        <v>33.9</v>
      </c>
      <c r="J36" s="100">
        <v>30.7</v>
      </c>
      <c r="K36" s="100">
        <v>28.1</v>
      </c>
      <c r="L36" s="100">
        <v>26</v>
      </c>
      <c r="M36" s="100">
        <v>24.2</v>
      </c>
      <c r="N36" s="100">
        <v>22.8</v>
      </c>
      <c r="O36" s="100">
        <v>21.5</v>
      </c>
      <c r="P36" s="100">
        <v>20.399999999999999</v>
      </c>
      <c r="Q36" s="100">
        <v>19.5</v>
      </c>
      <c r="R36" s="100">
        <v>18.600000000000001</v>
      </c>
      <c r="S36" s="100">
        <v>17.899999999999999</v>
      </c>
      <c r="T36" s="100">
        <v>17.3</v>
      </c>
      <c r="U36" s="100">
        <v>16.7</v>
      </c>
    </row>
    <row r="37" spans="1:21" x14ac:dyDescent="0.25">
      <c r="A37" s="99">
        <v>26</v>
      </c>
      <c r="B37" s="100">
        <v>242.2</v>
      </c>
      <c r="C37" s="100">
        <v>123.4</v>
      </c>
      <c r="D37" s="100">
        <v>83.8</v>
      </c>
      <c r="E37" s="100">
        <v>64</v>
      </c>
      <c r="F37" s="100">
        <v>52.1</v>
      </c>
      <c r="G37" s="100">
        <v>44.2</v>
      </c>
      <c r="H37" s="100">
        <v>38.6</v>
      </c>
      <c r="I37" s="100">
        <v>34.4</v>
      </c>
      <c r="J37" s="100">
        <v>31.1</v>
      </c>
      <c r="K37" s="100">
        <v>28.5</v>
      </c>
      <c r="L37" s="100">
        <v>26.4</v>
      </c>
      <c r="M37" s="100">
        <v>24.6</v>
      </c>
      <c r="N37" s="100">
        <v>23.1</v>
      </c>
      <c r="O37" s="100">
        <v>21.8</v>
      </c>
      <c r="P37" s="100">
        <v>20.7</v>
      </c>
      <c r="Q37" s="100">
        <v>19.8</v>
      </c>
      <c r="R37" s="100">
        <v>18.899999999999999</v>
      </c>
      <c r="S37" s="100">
        <v>18.2</v>
      </c>
      <c r="T37" s="100">
        <v>17.5</v>
      </c>
      <c r="U37" s="100">
        <v>16.899999999999999</v>
      </c>
    </row>
    <row r="38" spans="1:21" x14ac:dyDescent="0.25">
      <c r="A38" s="99">
        <v>27</v>
      </c>
      <c r="B38" s="100">
        <v>245.6</v>
      </c>
      <c r="C38" s="100">
        <v>125.1</v>
      </c>
      <c r="D38" s="100">
        <v>84.9</v>
      </c>
      <c r="E38" s="100">
        <v>64.900000000000006</v>
      </c>
      <c r="F38" s="100">
        <v>52.8</v>
      </c>
      <c r="G38" s="100">
        <v>44.8</v>
      </c>
      <c r="H38" s="100">
        <v>39.1</v>
      </c>
      <c r="I38" s="100">
        <v>34.9</v>
      </c>
      <c r="J38" s="100">
        <v>31.5</v>
      </c>
      <c r="K38" s="100">
        <v>28.9</v>
      </c>
      <c r="L38" s="100">
        <v>26.7</v>
      </c>
      <c r="M38" s="100">
        <v>24.9</v>
      </c>
      <c r="N38" s="100">
        <v>23.4</v>
      </c>
      <c r="O38" s="100">
        <v>22.1</v>
      </c>
      <c r="P38" s="100">
        <v>21</v>
      </c>
      <c r="Q38" s="100">
        <v>20</v>
      </c>
      <c r="R38" s="100">
        <v>19.2</v>
      </c>
      <c r="S38" s="100">
        <v>18.399999999999999</v>
      </c>
      <c r="T38" s="100">
        <v>17.8</v>
      </c>
      <c r="U38" s="100">
        <v>17.2</v>
      </c>
    </row>
    <row r="39" spans="1:21" x14ac:dyDescent="0.25">
      <c r="A39" s="99">
        <v>28</v>
      </c>
      <c r="B39" s="100">
        <v>249</v>
      </c>
      <c r="C39" s="100">
        <v>126.8</v>
      </c>
      <c r="D39" s="100">
        <v>86.1</v>
      </c>
      <c r="E39" s="100">
        <v>65.8</v>
      </c>
      <c r="F39" s="100">
        <v>53.6</v>
      </c>
      <c r="G39" s="100">
        <v>45.5</v>
      </c>
      <c r="H39" s="100">
        <v>39.700000000000003</v>
      </c>
      <c r="I39" s="100">
        <v>35.4</v>
      </c>
      <c r="J39" s="100">
        <v>32</v>
      </c>
      <c r="K39" s="100">
        <v>29.3</v>
      </c>
      <c r="L39" s="100">
        <v>27.1</v>
      </c>
      <c r="M39" s="100">
        <v>25.3</v>
      </c>
      <c r="N39" s="100">
        <v>23.8</v>
      </c>
      <c r="O39" s="100">
        <v>22.5</v>
      </c>
      <c r="P39" s="100">
        <v>21.3</v>
      </c>
      <c r="Q39" s="100">
        <v>20.3</v>
      </c>
      <c r="R39" s="100">
        <v>19.5</v>
      </c>
      <c r="S39" s="100">
        <v>18.7</v>
      </c>
      <c r="T39" s="100">
        <v>18</v>
      </c>
      <c r="U39" s="100">
        <v>17.399999999999999</v>
      </c>
    </row>
    <row r="40" spans="1:21" x14ac:dyDescent="0.25">
      <c r="A40" s="99">
        <v>29</v>
      </c>
      <c r="B40" s="100">
        <v>252.5</v>
      </c>
      <c r="C40" s="100">
        <v>128.6</v>
      </c>
      <c r="D40" s="100">
        <v>87.3</v>
      </c>
      <c r="E40" s="100">
        <v>66.7</v>
      </c>
      <c r="F40" s="100">
        <v>54.3</v>
      </c>
      <c r="G40" s="100">
        <v>46.1</v>
      </c>
      <c r="H40" s="100">
        <v>40.299999999999997</v>
      </c>
      <c r="I40" s="100">
        <v>35.9</v>
      </c>
      <c r="J40" s="100">
        <v>32.4</v>
      </c>
      <c r="K40" s="100">
        <v>29.7</v>
      </c>
      <c r="L40" s="100">
        <v>27.5</v>
      </c>
      <c r="M40" s="100">
        <v>25.7</v>
      </c>
      <c r="N40" s="100">
        <v>24.1</v>
      </c>
      <c r="O40" s="100">
        <v>22.8</v>
      </c>
      <c r="P40" s="100">
        <v>21.6</v>
      </c>
      <c r="Q40" s="100">
        <v>20.6</v>
      </c>
      <c r="R40" s="100">
        <v>19.8</v>
      </c>
      <c r="S40" s="100">
        <v>19</v>
      </c>
      <c r="T40" s="100">
        <v>18.3</v>
      </c>
      <c r="U40" s="100">
        <v>17.7</v>
      </c>
    </row>
    <row r="41" spans="1:21" x14ac:dyDescent="0.25">
      <c r="A41" s="99">
        <v>30</v>
      </c>
      <c r="B41" s="100">
        <v>256</v>
      </c>
      <c r="C41" s="100">
        <v>130.4</v>
      </c>
      <c r="D41" s="100">
        <v>88.6</v>
      </c>
      <c r="E41" s="100">
        <v>67.599999999999994</v>
      </c>
      <c r="F41" s="100">
        <v>55.1</v>
      </c>
      <c r="G41" s="100">
        <v>46.8</v>
      </c>
      <c r="H41" s="100">
        <v>40.799999999999997</v>
      </c>
      <c r="I41" s="100">
        <v>36.4</v>
      </c>
      <c r="J41" s="100">
        <v>32.9</v>
      </c>
      <c r="K41" s="100">
        <v>30.2</v>
      </c>
      <c r="L41" s="100">
        <v>27.9</v>
      </c>
      <c r="M41" s="100">
        <v>26</v>
      </c>
      <c r="N41" s="100">
        <v>24.5</v>
      </c>
      <c r="O41" s="100">
        <v>23.1</v>
      </c>
      <c r="P41" s="100">
        <v>21.9</v>
      </c>
      <c r="Q41" s="100">
        <v>20.9</v>
      </c>
      <c r="R41" s="100">
        <v>20</v>
      </c>
      <c r="S41" s="100">
        <v>19.3</v>
      </c>
      <c r="T41" s="100">
        <v>18.600000000000001</v>
      </c>
      <c r="U41" s="100">
        <v>17.899999999999999</v>
      </c>
    </row>
    <row r="42" spans="1:21" x14ac:dyDescent="0.25">
      <c r="A42" s="99">
        <v>31</v>
      </c>
      <c r="B42" s="100">
        <v>259.60000000000002</v>
      </c>
      <c r="C42" s="100">
        <v>132.19999999999999</v>
      </c>
      <c r="D42" s="100">
        <v>89.8</v>
      </c>
      <c r="E42" s="100">
        <v>68.599999999999994</v>
      </c>
      <c r="F42" s="100">
        <v>55.9</v>
      </c>
      <c r="G42" s="100">
        <v>47.4</v>
      </c>
      <c r="H42" s="100">
        <v>41.4</v>
      </c>
      <c r="I42" s="100">
        <v>36.9</v>
      </c>
      <c r="J42" s="100">
        <v>33.4</v>
      </c>
      <c r="K42" s="100">
        <v>30.6</v>
      </c>
      <c r="L42" s="100">
        <v>28.3</v>
      </c>
      <c r="M42" s="100">
        <v>26.4</v>
      </c>
      <c r="N42" s="100">
        <v>24.8</v>
      </c>
      <c r="O42" s="100">
        <v>23.4</v>
      </c>
      <c r="P42" s="100">
        <v>22.3</v>
      </c>
      <c r="Q42" s="100">
        <v>21.2</v>
      </c>
      <c r="R42" s="100">
        <v>20.3</v>
      </c>
      <c r="S42" s="100">
        <v>19.5</v>
      </c>
      <c r="T42" s="100">
        <v>18.8</v>
      </c>
      <c r="U42" s="100">
        <v>18.2</v>
      </c>
    </row>
    <row r="43" spans="1:21" x14ac:dyDescent="0.25">
      <c r="A43" s="99">
        <v>32</v>
      </c>
      <c r="B43" s="100">
        <v>263.2</v>
      </c>
      <c r="C43" s="100">
        <v>134.1</v>
      </c>
      <c r="D43" s="100">
        <v>91.1</v>
      </c>
      <c r="E43" s="100">
        <v>69.599999999999994</v>
      </c>
      <c r="F43" s="100">
        <v>56.7</v>
      </c>
      <c r="G43" s="100">
        <v>48.1</v>
      </c>
      <c r="H43" s="100">
        <v>42</v>
      </c>
      <c r="I43" s="100">
        <v>37.4</v>
      </c>
      <c r="J43" s="100">
        <v>33.9</v>
      </c>
      <c r="K43" s="100">
        <v>31</v>
      </c>
      <c r="L43" s="100">
        <v>28.7</v>
      </c>
      <c r="M43" s="100">
        <v>26.8</v>
      </c>
      <c r="N43" s="100">
        <v>25.2</v>
      </c>
      <c r="O43" s="100">
        <v>23.8</v>
      </c>
      <c r="P43" s="100">
        <v>22.6</v>
      </c>
      <c r="Q43" s="100">
        <v>21.5</v>
      </c>
      <c r="R43" s="100">
        <v>20.6</v>
      </c>
      <c r="S43" s="100">
        <v>19.8</v>
      </c>
      <c r="T43" s="100">
        <v>19.100000000000001</v>
      </c>
      <c r="U43" s="100">
        <v>18.5</v>
      </c>
    </row>
    <row r="44" spans="1:21" x14ac:dyDescent="0.25">
      <c r="A44" s="99">
        <v>33</v>
      </c>
      <c r="B44" s="100">
        <v>266.8</v>
      </c>
      <c r="C44" s="100">
        <v>135.9</v>
      </c>
      <c r="D44" s="100">
        <v>92.3</v>
      </c>
      <c r="E44" s="100">
        <v>70.5</v>
      </c>
      <c r="F44" s="100">
        <v>57.5</v>
      </c>
      <c r="G44" s="100">
        <v>48.8</v>
      </c>
      <c r="H44" s="100">
        <v>42.6</v>
      </c>
      <c r="I44" s="100">
        <v>37.9</v>
      </c>
      <c r="J44" s="100">
        <v>34.299999999999997</v>
      </c>
      <c r="K44" s="100">
        <v>31.5</v>
      </c>
      <c r="L44" s="100">
        <v>29.1</v>
      </c>
      <c r="M44" s="100">
        <v>27.2</v>
      </c>
      <c r="N44" s="100">
        <v>25.5</v>
      </c>
      <c r="O44" s="100">
        <v>24.1</v>
      </c>
      <c r="P44" s="100">
        <v>22.9</v>
      </c>
      <c r="Q44" s="100">
        <v>21.9</v>
      </c>
      <c r="R44" s="100">
        <v>20.9</v>
      </c>
      <c r="S44" s="100">
        <v>20.100000000000001</v>
      </c>
      <c r="T44" s="100">
        <v>19.399999999999999</v>
      </c>
      <c r="U44" s="100">
        <v>18.7</v>
      </c>
    </row>
    <row r="45" spans="1:21" x14ac:dyDescent="0.25">
      <c r="A45" s="99">
        <v>34</v>
      </c>
      <c r="B45" s="100">
        <v>270.5</v>
      </c>
      <c r="C45" s="100">
        <v>137.80000000000001</v>
      </c>
      <c r="D45" s="100">
        <v>93.6</v>
      </c>
      <c r="E45" s="100">
        <v>71.5</v>
      </c>
      <c r="F45" s="100">
        <v>58.3</v>
      </c>
      <c r="G45" s="100">
        <v>49.4</v>
      </c>
      <c r="H45" s="100">
        <v>43.2</v>
      </c>
      <c r="I45" s="100">
        <v>38.5</v>
      </c>
      <c r="J45" s="100">
        <v>34.799999999999997</v>
      </c>
      <c r="K45" s="100">
        <v>31.9</v>
      </c>
      <c r="L45" s="100">
        <v>29.5</v>
      </c>
      <c r="M45" s="100">
        <v>27.6</v>
      </c>
      <c r="N45" s="100">
        <v>25.9</v>
      </c>
      <c r="O45" s="100">
        <v>24.5</v>
      </c>
      <c r="P45" s="100">
        <v>23.2</v>
      </c>
      <c r="Q45" s="100">
        <v>22.2</v>
      </c>
      <c r="R45" s="100">
        <v>21.2</v>
      </c>
      <c r="S45" s="100">
        <v>20.399999999999999</v>
      </c>
      <c r="T45" s="100">
        <v>19.7</v>
      </c>
      <c r="U45" s="100">
        <v>19</v>
      </c>
    </row>
    <row r="46" spans="1:21" x14ac:dyDescent="0.25">
      <c r="A46" s="99">
        <v>35</v>
      </c>
      <c r="B46" s="100">
        <v>274.10000000000002</v>
      </c>
      <c r="C46" s="100">
        <v>139.69999999999999</v>
      </c>
      <c r="D46" s="100">
        <v>94.9</v>
      </c>
      <c r="E46" s="100">
        <v>72.5</v>
      </c>
      <c r="F46" s="100">
        <v>59.1</v>
      </c>
      <c r="G46" s="100">
        <v>50.1</v>
      </c>
      <c r="H46" s="100">
        <v>43.8</v>
      </c>
      <c r="I46" s="100">
        <v>39</v>
      </c>
      <c r="J46" s="100">
        <v>35.299999999999997</v>
      </c>
      <c r="K46" s="100">
        <v>32.4</v>
      </c>
      <c r="L46" s="100">
        <v>29.9</v>
      </c>
      <c r="M46" s="100">
        <v>27.9</v>
      </c>
      <c r="N46" s="100">
        <v>26.3</v>
      </c>
      <c r="O46" s="100">
        <v>24.8</v>
      </c>
      <c r="P46" s="100">
        <v>23.6</v>
      </c>
      <c r="Q46" s="100">
        <v>22.5</v>
      </c>
      <c r="R46" s="100">
        <v>21.6</v>
      </c>
      <c r="S46" s="100">
        <v>20.7</v>
      </c>
      <c r="T46" s="100">
        <v>20</v>
      </c>
      <c r="U46" s="100">
        <v>19.3</v>
      </c>
    </row>
    <row r="47" spans="1:21" x14ac:dyDescent="0.25">
      <c r="A47" s="99">
        <v>36</v>
      </c>
      <c r="B47" s="100">
        <v>277.89999999999998</v>
      </c>
      <c r="C47" s="100">
        <v>141.6</v>
      </c>
      <c r="D47" s="100">
        <v>96.2</v>
      </c>
      <c r="E47" s="100">
        <v>73.5</v>
      </c>
      <c r="F47" s="100">
        <v>59.9</v>
      </c>
      <c r="G47" s="100">
        <v>50.8</v>
      </c>
      <c r="H47" s="100">
        <v>44.4</v>
      </c>
      <c r="I47" s="100">
        <v>39.5</v>
      </c>
      <c r="J47" s="100">
        <v>35.799999999999997</v>
      </c>
      <c r="K47" s="100">
        <v>32.799999999999997</v>
      </c>
      <c r="L47" s="100">
        <v>30.4</v>
      </c>
      <c r="M47" s="100">
        <v>28.3</v>
      </c>
      <c r="N47" s="100">
        <v>26.6</v>
      </c>
      <c r="O47" s="100">
        <v>25.2</v>
      </c>
      <c r="P47" s="100">
        <v>23.9</v>
      </c>
      <c r="Q47" s="100">
        <v>22.8</v>
      </c>
      <c r="R47" s="100">
        <v>21.9</v>
      </c>
      <c r="S47" s="100">
        <v>21</v>
      </c>
      <c r="T47" s="100">
        <v>20.3</v>
      </c>
      <c r="U47" s="100">
        <v>19.600000000000001</v>
      </c>
    </row>
    <row r="48" spans="1:21" x14ac:dyDescent="0.25">
      <c r="A48" s="99">
        <v>37</v>
      </c>
      <c r="B48" s="100">
        <v>281.60000000000002</v>
      </c>
      <c r="C48" s="100">
        <v>143.5</v>
      </c>
      <c r="D48" s="100">
        <v>97.5</v>
      </c>
      <c r="E48" s="100">
        <v>74.5</v>
      </c>
      <c r="F48" s="100">
        <v>60.7</v>
      </c>
      <c r="G48" s="100">
        <v>51.5</v>
      </c>
      <c r="H48" s="100">
        <v>45</v>
      </c>
      <c r="I48" s="100">
        <v>40.1</v>
      </c>
      <c r="J48" s="100">
        <v>36.299999999999997</v>
      </c>
      <c r="K48" s="100">
        <v>33.299999999999997</v>
      </c>
      <c r="L48" s="100">
        <v>30.8</v>
      </c>
      <c r="M48" s="100">
        <v>28.8</v>
      </c>
      <c r="N48" s="100">
        <v>27</v>
      </c>
      <c r="O48" s="100">
        <v>25.6</v>
      </c>
      <c r="P48" s="100">
        <v>24.3</v>
      </c>
      <c r="Q48" s="100">
        <v>23.2</v>
      </c>
      <c r="R48" s="100">
        <v>22.2</v>
      </c>
      <c r="S48" s="100">
        <v>21.4</v>
      </c>
      <c r="T48" s="100">
        <v>20.6</v>
      </c>
      <c r="U48" s="100">
        <v>19.899999999999999</v>
      </c>
    </row>
    <row r="49" spans="1:21" x14ac:dyDescent="0.25">
      <c r="A49" s="99">
        <v>38</v>
      </c>
      <c r="B49" s="100">
        <v>285.39999999999998</v>
      </c>
      <c r="C49" s="100">
        <v>145.4</v>
      </c>
      <c r="D49" s="100">
        <v>98.8</v>
      </c>
      <c r="E49" s="100">
        <v>75.5</v>
      </c>
      <c r="F49" s="100">
        <v>61.5</v>
      </c>
      <c r="G49" s="100">
        <v>52.2</v>
      </c>
      <c r="H49" s="100">
        <v>45.6</v>
      </c>
      <c r="I49" s="100">
        <v>40.700000000000003</v>
      </c>
      <c r="J49" s="100">
        <v>36.799999999999997</v>
      </c>
      <c r="K49" s="100">
        <v>33.700000000000003</v>
      </c>
      <c r="L49" s="100">
        <v>31.2</v>
      </c>
      <c r="M49" s="100">
        <v>29.2</v>
      </c>
      <c r="N49" s="100">
        <v>27.4</v>
      </c>
      <c r="O49" s="100">
        <v>25.9</v>
      </c>
      <c r="P49" s="100">
        <v>24.6</v>
      </c>
      <c r="Q49" s="100">
        <v>23.5</v>
      </c>
      <c r="R49" s="100">
        <v>22.5</v>
      </c>
      <c r="S49" s="100">
        <v>21.7</v>
      </c>
      <c r="T49" s="100">
        <v>20.9</v>
      </c>
      <c r="U49" s="100">
        <v>20.2</v>
      </c>
    </row>
    <row r="50" spans="1:21" x14ac:dyDescent="0.25">
      <c r="A50" s="99">
        <v>39</v>
      </c>
      <c r="B50" s="100">
        <v>289.3</v>
      </c>
      <c r="C50" s="100">
        <v>147.4</v>
      </c>
      <c r="D50" s="100">
        <v>100.1</v>
      </c>
      <c r="E50" s="100">
        <v>76.5</v>
      </c>
      <c r="F50" s="100">
        <v>62.4</v>
      </c>
      <c r="G50" s="100">
        <v>53</v>
      </c>
      <c r="H50" s="100">
        <v>46.3</v>
      </c>
      <c r="I50" s="100">
        <v>41.2</v>
      </c>
      <c r="J50" s="100">
        <v>37.299999999999997</v>
      </c>
      <c r="K50" s="100">
        <v>34.200000000000003</v>
      </c>
      <c r="L50" s="100">
        <v>31.7</v>
      </c>
      <c r="M50" s="100">
        <v>29.6</v>
      </c>
      <c r="N50" s="100">
        <v>27.8</v>
      </c>
      <c r="O50" s="100">
        <v>26.3</v>
      </c>
      <c r="P50" s="100">
        <v>25</v>
      </c>
      <c r="Q50" s="100">
        <v>23.9</v>
      </c>
      <c r="R50" s="100">
        <v>22.9</v>
      </c>
      <c r="S50" s="100">
        <v>22</v>
      </c>
      <c r="T50" s="100">
        <v>21.3</v>
      </c>
      <c r="U50" s="100">
        <v>20.6</v>
      </c>
    </row>
    <row r="51" spans="1:21" x14ac:dyDescent="0.25">
      <c r="A51" s="99">
        <v>40</v>
      </c>
      <c r="B51" s="100">
        <v>293.2</v>
      </c>
      <c r="C51" s="100">
        <v>149.4</v>
      </c>
      <c r="D51" s="100">
        <v>101.5</v>
      </c>
      <c r="E51" s="100">
        <v>77.599999999999994</v>
      </c>
      <c r="F51" s="100">
        <v>63.2</v>
      </c>
      <c r="G51" s="100">
        <v>53.7</v>
      </c>
      <c r="H51" s="100">
        <v>46.9</v>
      </c>
      <c r="I51" s="100">
        <v>41.8</v>
      </c>
      <c r="J51" s="100">
        <v>37.9</v>
      </c>
      <c r="K51" s="100">
        <v>34.700000000000003</v>
      </c>
      <c r="L51" s="100">
        <v>32.1</v>
      </c>
      <c r="M51" s="100">
        <v>30</v>
      </c>
      <c r="N51" s="100">
        <v>28.2</v>
      </c>
      <c r="O51" s="100">
        <v>26.7</v>
      </c>
      <c r="P51" s="100">
        <v>25.4</v>
      </c>
      <c r="Q51" s="100">
        <v>24.2</v>
      </c>
      <c r="R51" s="100">
        <v>23.3</v>
      </c>
      <c r="S51" s="100">
        <v>22.4</v>
      </c>
      <c r="T51" s="100">
        <v>21.6</v>
      </c>
      <c r="U51" s="100">
        <v>20.9</v>
      </c>
    </row>
    <row r="52" spans="1:21" x14ac:dyDescent="0.25">
      <c r="A52" s="99">
        <v>41</v>
      </c>
      <c r="B52" s="100">
        <v>297.10000000000002</v>
      </c>
      <c r="C52" s="100">
        <v>151.4</v>
      </c>
      <c r="D52" s="100">
        <v>102.9</v>
      </c>
      <c r="E52" s="100">
        <v>78.599999999999994</v>
      </c>
      <c r="F52" s="100">
        <v>64.099999999999994</v>
      </c>
      <c r="G52" s="100">
        <v>54.5</v>
      </c>
      <c r="H52" s="100">
        <v>47.6</v>
      </c>
      <c r="I52" s="100">
        <v>42.4</v>
      </c>
      <c r="J52" s="100">
        <v>38.4</v>
      </c>
      <c r="K52" s="100">
        <v>35.200000000000003</v>
      </c>
      <c r="L52" s="100">
        <v>32.6</v>
      </c>
      <c r="M52" s="100">
        <v>30.5</v>
      </c>
      <c r="N52" s="100">
        <v>28.6</v>
      </c>
      <c r="O52" s="100">
        <v>27.1</v>
      </c>
      <c r="P52" s="100">
        <v>25.8</v>
      </c>
      <c r="Q52" s="100">
        <v>24.6</v>
      </c>
      <c r="R52" s="100">
        <v>23.6</v>
      </c>
      <c r="S52" s="100">
        <v>22.7</v>
      </c>
      <c r="T52" s="100">
        <v>22</v>
      </c>
      <c r="U52" s="100">
        <v>21.3</v>
      </c>
    </row>
    <row r="53" spans="1:21" x14ac:dyDescent="0.25">
      <c r="A53" s="99">
        <v>42</v>
      </c>
      <c r="B53" s="100">
        <v>301.10000000000002</v>
      </c>
      <c r="C53" s="100">
        <v>153.5</v>
      </c>
      <c r="D53" s="100">
        <v>104.3</v>
      </c>
      <c r="E53" s="100">
        <v>79.7</v>
      </c>
      <c r="F53" s="100">
        <v>65</v>
      </c>
      <c r="G53" s="100">
        <v>55.2</v>
      </c>
      <c r="H53" s="100">
        <v>48.2</v>
      </c>
      <c r="I53" s="100">
        <v>43</v>
      </c>
      <c r="J53" s="100">
        <v>38.9</v>
      </c>
      <c r="K53" s="100">
        <v>35.700000000000003</v>
      </c>
      <c r="L53" s="100">
        <v>33.1</v>
      </c>
      <c r="M53" s="100">
        <v>30.9</v>
      </c>
      <c r="N53" s="100">
        <v>29.1</v>
      </c>
      <c r="O53" s="100">
        <v>27.5</v>
      </c>
      <c r="P53" s="100">
        <v>26.2</v>
      </c>
      <c r="Q53" s="100">
        <v>25</v>
      </c>
      <c r="R53" s="100">
        <v>24</v>
      </c>
      <c r="S53" s="100">
        <v>23.1</v>
      </c>
      <c r="T53" s="100">
        <v>22.3</v>
      </c>
      <c r="U53" s="100">
        <v>21.6</v>
      </c>
    </row>
    <row r="54" spans="1:21" x14ac:dyDescent="0.25">
      <c r="A54" s="99">
        <v>43</v>
      </c>
      <c r="B54" s="100">
        <v>305</v>
      </c>
      <c r="C54" s="100">
        <v>155.5</v>
      </c>
      <c r="D54" s="100">
        <v>105.7</v>
      </c>
      <c r="E54" s="100">
        <v>80.8</v>
      </c>
      <c r="F54" s="100">
        <v>65.900000000000006</v>
      </c>
      <c r="G54" s="100">
        <v>56</v>
      </c>
      <c r="H54" s="100">
        <v>48.9</v>
      </c>
      <c r="I54" s="100">
        <v>43.6</v>
      </c>
      <c r="J54" s="100">
        <v>39.5</v>
      </c>
      <c r="K54" s="100">
        <v>36.200000000000003</v>
      </c>
      <c r="L54" s="100">
        <v>33.6</v>
      </c>
      <c r="M54" s="100">
        <v>31.4</v>
      </c>
      <c r="N54" s="100">
        <v>29.5</v>
      </c>
      <c r="O54" s="100">
        <v>27.9</v>
      </c>
      <c r="P54" s="100">
        <v>26.6</v>
      </c>
      <c r="Q54" s="100">
        <v>25.4</v>
      </c>
      <c r="R54" s="100">
        <v>24.4</v>
      </c>
      <c r="S54" s="100">
        <v>23.5</v>
      </c>
      <c r="T54" s="100">
        <v>22.7</v>
      </c>
      <c r="U54" s="100">
        <v>22</v>
      </c>
    </row>
    <row r="55" spans="1:21" x14ac:dyDescent="0.25">
      <c r="A55" s="99">
        <v>44</v>
      </c>
      <c r="B55" s="100">
        <v>309.10000000000002</v>
      </c>
      <c r="C55" s="100">
        <v>157.6</v>
      </c>
      <c r="D55" s="100">
        <v>107.1</v>
      </c>
      <c r="E55" s="100">
        <v>81.900000000000006</v>
      </c>
      <c r="F55" s="100">
        <v>66.8</v>
      </c>
      <c r="G55" s="100">
        <v>56.7</v>
      </c>
      <c r="H55" s="100">
        <v>49.6</v>
      </c>
      <c r="I55" s="100">
        <v>44.2</v>
      </c>
      <c r="J55" s="100">
        <v>40.1</v>
      </c>
      <c r="K55" s="100">
        <v>36.799999999999997</v>
      </c>
      <c r="L55" s="100">
        <v>34.1</v>
      </c>
      <c r="M55" s="100">
        <v>31.8</v>
      </c>
      <c r="N55" s="100">
        <v>30</v>
      </c>
      <c r="O55" s="100">
        <v>28.4</v>
      </c>
      <c r="P55" s="100">
        <v>27</v>
      </c>
      <c r="Q55" s="100">
        <v>25.8</v>
      </c>
      <c r="R55" s="100">
        <v>24.8</v>
      </c>
      <c r="S55" s="100">
        <v>23.9</v>
      </c>
      <c r="T55" s="100">
        <v>23.1</v>
      </c>
      <c r="U55" s="100">
        <v>22.4</v>
      </c>
    </row>
    <row r="56" spans="1:21" x14ac:dyDescent="0.25">
      <c r="A56" s="99">
        <v>45</v>
      </c>
      <c r="B56" s="100">
        <v>313.10000000000002</v>
      </c>
      <c r="C56" s="100">
        <v>159.69999999999999</v>
      </c>
      <c r="D56" s="100">
        <v>108.5</v>
      </c>
      <c r="E56" s="100">
        <v>83</v>
      </c>
      <c r="F56" s="100">
        <v>67.7</v>
      </c>
      <c r="G56" s="100">
        <v>57.5</v>
      </c>
      <c r="H56" s="100">
        <v>50.3</v>
      </c>
      <c r="I56" s="100">
        <v>44.8</v>
      </c>
      <c r="J56" s="100">
        <v>40.6</v>
      </c>
      <c r="K56" s="100">
        <v>37.299999999999997</v>
      </c>
      <c r="L56" s="100">
        <v>34.6</v>
      </c>
      <c r="M56" s="100">
        <v>32.299999999999997</v>
      </c>
      <c r="N56" s="100">
        <v>30.5</v>
      </c>
      <c r="O56" s="100">
        <v>28.9</v>
      </c>
      <c r="P56" s="100">
        <v>27.5</v>
      </c>
      <c r="Q56" s="100">
        <v>26.3</v>
      </c>
      <c r="R56" s="100">
        <v>25.3</v>
      </c>
      <c r="S56" s="100">
        <v>24.3</v>
      </c>
      <c r="T56" s="100">
        <v>23.5</v>
      </c>
      <c r="U56" s="100">
        <v>22.8</v>
      </c>
    </row>
    <row r="57" spans="1:21" x14ac:dyDescent="0.25">
      <c r="A57" s="99">
        <v>46</v>
      </c>
      <c r="B57" s="100">
        <v>317.3</v>
      </c>
      <c r="C57" s="100">
        <v>161.80000000000001</v>
      </c>
      <c r="D57" s="100">
        <v>110</v>
      </c>
      <c r="E57" s="100">
        <v>84.1</v>
      </c>
      <c r="F57" s="100">
        <v>68.599999999999994</v>
      </c>
      <c r="G57" s="100">
        <v>58.3</v>
      </c>
      <c r="H57" s="100">
        <v>51</v>
      </c>
      <c r="I57" s="100">
        <v>45.5</v>
      </c>
      <c r="J57" s="100">
        <v>41.2</v>
      </c>
      <c r="K57" s="100">
        <v>37.9</v>
      </c>
      <c r="L57" s="100">
        <v>35.1</v>
      </c>
      <c r="M57" s="100">
        <v>32.9</v>
      </c>
      <c r="N57" s="100">
        <v>31</v>
      </c>
      <c r="O57" s="100">
        <v>29.3</v>
      </c>
      <c r="P57" s="100">
        <v>28</v>
      </c>
      <c r="Q57" s="100">
        <v>26.7</v>
      </c>
      <c r="R57" s="100">
        <v>25.7</v>
      </c>
      <c r="S57" s="100">
        <v>24.8</v>
      </c>
      <c r="T57" s="100">
        <v>24</v>
      </c>
      <c r="U57" s="100">
        <v>23.2</v>
      </c>
    </row>
    <row r="58" spans="1:21" x14ac:dyDescent="0.25">
      <c r="A58" s="99">
        <v>47</v>
      </c>
      <c r="B58" s="100">
        <v>321.39999999999998</v>
      </c>
      <c r="C58" s="100">
        <v>163.9</v>
      </c>
      <c r="D58" s="100">
        <v>111.5</v>
      </c>
      <c r="E58" s="100">
        <v>85.3</v>
      </c>
      <c r="F58" s="100">
        <v>69.599999999999994</v>
      </c>
      <c r="G58" s="100">
        <v>59.1</v>
      </c>
      <c r="H58" s="100">
        <v>51.7</v>
      </c>
      <c r="I58" s="100">
        <v>46.2</v>
      </c>
      <c r="J58" s="100">
        <v>41.9</v>
      </c>
      <c r="K58" s="100">
        <v>38.5</v>
      </c>
      <c r="L58" s="100">
        <v>35.700000000000003</v>
      </c>
      <c r="M58" s="100">
        <v>33.4</v>
      </c>
      <c r="N58" s="100">
        <v>31.5</v>
      </c>
      <c r="O58" s="100">
        <v>29.8</v>
      </c>
      <c r="P58" s="100">
        <v>28.4</v>
      </c>
      <c r="Q58" s="100">
        <v>27.2</v>
      </c>
      <c r="R58" s="100">
        <v>26.2</v>
      </c>
      <c r="S58" s="100">
        <v>25.3</v>
      </c>
      <c r="T58" s="100">
        <v>24.4</v>
      </c>
      <c r="U58" s="100"/>
    </row>
    <row r="59" spans="1:21" x14ac:dyDescent="0.25">
      <c r="A59" s="99">
        <v>48</v>
      </c>
      <c r="B59" s="100">
        <v>325.7</v>
      </c>
      <c r="C59" s="100">
        <v>166.1</v>
      </c>
      <c r="D59" s="100">
        <v>113</v>
      </c>
      <c r="E59" s="100">
        <v>86.4</v>
      </c>
      <c r="F59" s="100">
        <v>70.599999999999994</v>
      </c>
      <c r="G59" s="100">
        <v>60</v>
      </c>
      <c r="H59" s="100">
        <v>52.5</v>
      </c>
      <c r="I59" s="100">
        <v>46.9</v>
      </c>
      <c r="J59" s="100">
        <v>42.5</v>
      </c>
      <c r="K59" s="100">
        <v>39.1</v>
      </c>
      <c r="L59" s="100">
        <v>36.299999999999997</v>
      </c>
      <c r="M59" s="100">
        <v>34</v>
      </c>
      <c r="N59" s="100">
        <v>32</v>
      </c>
      <c r="O59" s="100">
        <v>30.4</v>
      </c>
      <c r="P59" s="100">
        <v>29</v>
      </c>
      <c r="Q59" s="100">
        <v>27.7</v>
      </c>
      <c r="R59" s="100">
        <v>26.7</v>
      </c>
      <c r="S59" s="100">
        <v>25.7</v>
      </c>
      <c r="T59" s="100"/>
      <c r="U59" s="100"/>
    </row>
    <row r="60" spans="1:21" x14ac:dyDescent="0.25">
      <c r="A60" s="99">
        <v>49</v>
      </c>
      <c r="B60" s="100">
        <v>330</v>
      </c>
      <c r="C60" s="100">
        <v>168.3</v>
      </c>
      <c r="D60" s="100">
        <v>114.5</v>
      </c>
      <c r="E60" s="100">
        <v>87.7</v>
      </c>
      <c r="F60" s="100">
        <v>71.599999999999994</v>
      </c>
      <c r="G60" s="100">
        <v>60.9</v>
      </c>
      <c r="H60" s="100">
        <v>53.3</v>
      </c>
      <c r="I60" s="100">
        <v>47.6</v>
      </c>
      <c r="J60" s="100">
        <v>43.2</v>
      </c>
      <c r="K60" s="100">
        <v>39.799999999999997</v>
      </c>
      <c r="L60" s="100">
        <v>36.9</v>
      </c>
      <c r="M60" s="100">
        <v>34.6</v>
      </c>
      <c r="N60" s="100">
        <v>32.6</v>
      </c>
      <c r="O60" s="100">
        <v>31</v>
      </c>
      <c r="P60" s="100">
        <v>29.5</v>
      </c>
      <c r="Q60" s="100">
        <v>28.3</v>
      </c>
      <c r="R60" s="100">
        <v>27.2</v>
      </c>
      <c r="S60" s="100"/>
      <c r="T60" s="100"/>
      <c r="U60" s="100"/>
    </row>
    <row r="61" spans="1:21" x14ac:dyDescent="0.25">
      <c r="A61" s="99">
        <v>50</v>
      </c>
      <c r="B61" s="100">
        <v>334.4</v>
      </c>
      <c r="C61" s="100">
        <v>170.7</v>
      </c>
      <c r="D61" s="100">
        <v>116.2</v>
      </c>
      <c r="E61" s="100">
        <v>89</v>
      </c>
      <c r="F61" s="100">
        <v>72.7</v>
      </c>
      <c r="G61" s="100">
        <v>61.9</v>
      </c>
      <c r="H61" s="100">
        <v>54.2</v>
      </c>
      <c r="I61" s="100">
        <v>48.4</v>
      </c>
      <c r="J61" s="100">
        <v>44</v>
      </c>
      <c r="K61" s="100">
        <v>40.5</v>
      </c>
      <c r="L61" s="100">
        <v>37.6</v>
      </c>
      <c r="M61" s="100">
        <v>35.200000000000003</v>
      </c>
      <c r="N61" s="100">
        <v>33.200000000000003</v>
      </c>
      <c r="O61" s="100">
        <v>31.6</v>
      </c>
      <c r="P61" s="100">
        <v>30.1</v>
      </c>
      <c r="Q61" s="100">
        <v>28.8</v>
      </c>
      <c r="R61" s="100"/>
      <c r="S61" s="100"/>
      <c r="T61" s="100"/>
      <c r="U61" s="100"/>
    </row>
    <row r="62" spans="1:21" x14ac:dyDescent="0.25">
      <c r="A62" s="99">
        <v>51</v>
      </c>
      <c r="B62" s="100">
        <v>338.9</v>
      </c>
      <c r="C62" s="100">
        <v>173.1</v>
      </c>
      <c r="D62" s="100">
        <v>117.8</v>
      </c>
      <c r="E62" s="100">
        <v>90.3</v>
      </c>
      <c r="F62" s="100">
        <v>73.8</v>
      </c>
      <c r="G62" s="100">
        <v>62.8</v>
      </c>
      <c r="H62" s="100">
        <v>55</v>
      </c>
      <c r="I62" s="100">
        <v>49.2</v>
      </c>
      <c r="J62" s="100">
        <v>44.7</v>
      </c>
      <c r="K62" s="100">
        <v>41.2</v>
      </c>
      <c r="L62" s="100">
        <v>38.299999999999997</v>
      </c>
      <c r="M62" s="100">
        <v>35.9</v>
      </c>
      <c r="N62" s="100">
        <v>33.9</v>
      </c>
      <c r="O62" s="100">
        <v>32.200000000000003</v>
      </c>
      <c r="P62" s="100">
        <v>30.6</v>
      </c>
      <c r="Q62" s="100"/>
      <c r="R62" s="100"/>
      <c r="S62" s="100"/>
      <c r="T62" s="100"/>
      <c r="U62" s="100"/>
    </row>
    <row r="63" spans="1:21" x14ac:dyDescent="0.25">
      <c r="A63" s="99">
        <v>52</v>
      </c>
      <c r="B63" s="100">
        <v>343.4</v>
      </c>
      <c r="C63" s="100">
        <v>175.4</v>
      </c>
      <c r="D63" s="100">
        <v>119.5</v>
      </c>
      <c r="E63" s="100">
        <v>91.6</v>
      </c>
      <c r="F63" s="100">
        <v>74.900000000000006</v>
      </c>
      <c r="G63" s="100">
        <v>63.8</v>
      </c>
      <c r="H63" s="100">
        <v>55.9</v>
      </c>
      <c r="I63" s="100">
        <v>50.1</v>
      </c>
      <c r="J63" s="100">
        <v>45.5</v>
      </c>
      <c r="K63" s="100">
        <v>41.9</v>
      </c>
      <c r="L63" s="100">
        <v>39</v>
      </c>
      <c r="M63" s="100">
        <v>36.5</v>
      </c>
      <c r="N63" s="100">
        <v>34.5</v>
      </c>
      <c r="O63" s="100">
        <v>32.700000000000003</v>
      </c>
      <c r="P63" s="100"/>
      <c r="Q63" s="100"/>
      <c r="R63" s="100"/>
      <c r="S63" s="100"/>
      <c r="T63" s="100"/>
      <c r="U63" s="100"/>
    </row>
    <row r="64" spans="1:21" x14ac:dyDescent="0.25">
      <c r="A64" s="99">
        <v>53</v>
      </c>
      <c r="B64" s="100">
        <v>347.9</v>
      </c>
      <c r="C64" s="100">
        <v>177.8</v>
      </c>
      <c r="D64" s="100">
        <v>121.2</v>
      </c>
      <c r="E64" s="100">
        <v>92.9</v>
      </c>
      <c r="F64" s="100">
        <v>76</v>
      </c>
      <c r="G64" s="100">
        <v>64.8</v>
      </c>
      <c r="H64" s="100">
        <v>56.8</v>
      </c>
      <c r="I64" s="100">
        <v>50.9</v>
      </c>
      <c r="J64" s="100">
        <v>46.3</v>
      </c>
      <c r="K64" s="100">
        <v>42.6</v>
      </c>
      <c r="L64" s="100">
        <v>39.700000000000003</v>
      </c>
      <c r="M64" s="100">
        <v>37.200000000000003</v>
      </c>
      <c r="N64" s="100">
        <v>35.1</v>
      </c>
      <c r="O64" s="100"/>
      <c r="P64" s="100"/>
      <c r="Q64" s="100"/>
      <c r="R64" s="100"/>
      <c r="S64" s="100"/>
      <c r="T64" s="100"/>
      <c r="U64" s="100"/>
    </row>
    <row r="65" spans="1:21" x14ac:dyDescent="0.25">
      <c r="A65" s="99">
        <v>54</v>
      </c>
      <c r="B65" s="100">
        <v>352.5</v>
      </c>
      <c r="C65" s="100">
        <v>180.2</v>
      </c>
      <c r="D65" s="100">
        <v>122.9</v>
      </c>
      <c r="E65" s="100">
        <v>94.3</v>
      </c>
      <c r="F65" s="100">
        <v>77.2</v>
      </c>
      <c r="G65" s="100">
        <v>65.8</v>
      </c>
      <c r="H65" s="100">
        <v>57.8</v>
      </c>
      <c r="I65" s="100">
        <v>51.7</v>
      </c>
      <c r="J65" s="100">
        <v>47.1</v>
      </c>
      <c r="K65" s="100">
        <v>43.4</v>
      </c>
      <c r="L65" s="100">
        <v>40.4</v>
      </c>
      <c r="M65" s="100">
        <v>37.9</v>
      </c>
      <c r="N65" s="100"/>
      <c r="O65" s="100"/>
      <c r="P65" s="100"/>
      <c r="Q65" s="100"/>
      <c r="R65" s="100"/>
      <c r="S65" s="100"/>
      <c r="T65" s="100"/>
      <c r="U65" s="100"/>
    </row>
    <row r="66" spans="1:21" x14ac:dyDescent="0.25">
      <c r="A66" s="99">
        <v>55</v>
      </c>
      <c r="B66" s="100">
        <v>357.1</v>
      </c>
      <c r="C66" s="100">
        <v>182.7</v>
      </c>
      <c r="D66" s="100">
        <v>124.7</v>
      </c>
      <c r="E66" s="100">
        <v>95.7</v>
      </c>
      <c r="F66" s="100">
        <v>78.400000000000006</v>
      </c>
      <c r="G66" s="100">
        <v>66.900000000000006</v>
      </c>
      <c r="H66" s="100">
        <v>58.7</v>
      </c>
      <c r="I66" s="100">
        <v>52.6</v>
      </c>
      <c r="J66" s="100">
        <v>47.9</v>
      </c>
      <c r="K66" s="100">
        <v>44.2</v>
      </c>
      <c r="L66" s="100">
        <v>41.1</v>
      </c>
      <c r="M66" s="100"/>
      <c r="N66" s="100"/>
      <c r="O66" s="100"/>
      <c r="P66" s="100"/>
      <c r="Q66" s="100"/>
      <c r="R66" s="100"/>
      <c r="S66" s="100"/>
      <c r="T66" s="100"/>
      <c r="U66" s="100"/>
    </row>
    <row r="67" spans="1:21" x14ac:dyDescent="0.25">
      <c r="A67" s="99">
        <v>56</v>
      </c>
      <c r="B67" s="100">
        <v>361.8</v>
      </c>
      <c r="C67" s="100">
        <v>185.2</v>
      </c>
      <c r="D67" s="100">
        <v>126.5</v>
      </c>
      <c r="E67" s="100">
        <v>97.1</v>
      </c>
      <c r="F67" s="100">
        <v>79.599999999999994</v>
      </c>
      <c r="G67" s="100">
        <v>68</v>
      </c>
      <c r="H67" s="100">
        <v>59.7</v>
      </c>
      <c r="I67" s="100">
        <v>53.5</v>
      </c>
      <c r="J67" s="100">
        <v>48.8</v>
      </c>
      <c r="K67" s="100">
        <v>45</v>
      </c>
      <c r="L67" s="100"/>
      <c r="M67" s="100"/>
      <c r="N67" s="100"/>
      <c r="O67" s="100"/>
      <c r="P67" s="100"/>
      <c r="Q67" s="100"/>
      <c r="R67" s="100"/>
      <c r="S67" s="100"/>
      <c r="T67" s="100"/>
      <c r="U67" s="100"/>
    </row>
    <row r="68" spans="1:21" x14ac:dyDescent="0.25">
      <c r="A68" s="99">
        <v>57</v>
      </c>
      <c r="B68" s="100">
        <v>366.7</v>
      </c>
      <c r="C68" s="100">
        <v>187.8</v>
      </c>
      <c r="D68" s="100">
        <v>128.30000000000001</v>
      </c>
      <c r="E68" s="100">
        <v>98.6</v>
      </c>
      <c r="F68" s="100">
        <v>80.8</v>
      </c>
      <c r="G68" s="100">
        <v>69.099999999999994</v>
      </c>
      <c r="H68" s="100">
        <v>60.7</v>
      </c>
      <c r="I68" s="100">
        <v>54.4</v>
      </c>
      <c r="J68" s="100">
        <v>49.6</v>
      </c>
      <c r="K68" s="100"/>
      <c r="L68" s="100"/>
      <c r="M68" s="100"/>
      <c r="N68" s="100"/>
      <c r="O68" s="100"/>
      <c r="P68" s="100"/>
      <c r="Q68" s="100"/>
      <c r="R68" s="100"/>
      <c r="S68" s="100"/>
      <c r="T68" s="100"/>
      <c r="U68" s="100"/>
    </row>
    <row r="69" spans="1:21" x14ac:dyDescent="0.25">
      <c r="A69" s="99">
        <v>58</v>
      </c>
      <c r="B69" s="100">
        <v>371.6</v>
      </c>
      <c r="C69" s="100">
        <v>190.5</v>
      </c>
      <c r="D69" s="100">
        <v>130.19999999999999</v>
      </c>
      <c r="E69" s="100">
        <v>100.1</v>
      </c>
      <c r="F69" s="100">
        <v>82.1</v>
      </c>
      <c r="G69" s="100">
        <v>70.2</v>
      </c>
      <c r="H69" s="100">
        <v>61.7</v>
      </c>
      <c r="I69" s="100">
        <v>55.4</v>
      </c>
      <c r="J69" s="100"/>
      <c r="K69" s="100"/>
      <c r="L69" s="100"/>
      <c r="M69" s="100"/>
      <c r="N69" s="100"/>
      <c r="O69" s="100"/>
      <c r="P69" s="100"/>
      <c r="Q69" s="100"/>
      <c r="R69" s="100"/>
      <c r="S69" s="100"/>
      <c r="T69" s="100"/>
      <c r="U69" s="100"/>
    </row>
    <row r="70" spans="1:21" x14ac:dyDescent="0.25">
      <c r="A70" s="99">
        <v>59</v>
      </c>
      <c r="B70" s="100">
        <v>376.8</v>
      </c>
      <c r="C70" s="100">
        <v>193.2</v>
      </c>
      <c r="D70" s="100">
        <v>132.19999999999999</v>
      </c>
      <c r="E70" s="100">
        <v>101.7</v>
      </c>
      <c r="F70" s="100">
        <v>83.5</v>
      </c>
      <c r="G70" s="100">
        <v>71.400000000000006</v>
      </c>
      <c r="H70" s="100">
        <v>62.8</v>
      </c>
      <c r="I70" s="100"/>
      <c r="J70" s="100"/>
      <c r="K70" s="100"/>
      <c r="L70" s="100"/>
      <c r="M70" s="100"/>
      <c r="N70" s="100"/>
      <c r="O70" s="100"/>
      <c r="P70" s="100"/>
      <c r="Q70" s="100"/>
      <c r="R70" s="100"/>
      <c r="S70" s="100"/>
      <c r="T70" s="100"/>
      <c r="U70" s="100"/>
    </row>
    <row r="71" spans="1:21" x14ac:dyDescent="0.25">
      <c r="A71" s="99">
        <v>60</v>
      </c>
      <c r="B71" s="100">
        <v>382.3</v>
      </c>
      <c r="C71" s="100">
        <v>196.2</v>
      </c>
      <c r="D71" s="100">
        <v>134.19999999999999</v>
      </c>
      <c r="E71" s="100">
        <v>103.3</v>
      </c>
      <c r="F71" s="100">
        <v>84.9</v>
      </c>
      <c r="G71" s="100">
        <v>72.599999999999994</v>
      </c>
      <c r="H71" s="100"/>
      <c r="I71" s="100"/>
      <c r="J71" s="100"/>
      <c r="K71" s="100"/>
      <c r="L71" s="100"/>
      <c r="M71" s="100"/>
      <c r="N71" s="100"/>
      <c r="O71" s="100"/>
      <c r="P71" s="100"/>
      <c r="Q71" s="100"/>
      <c r="R71" s="100"/>
      <c r="S71" s="100"/>
      <c r="T71" s="100"/>
      <c r="U71" s="100"/>
    </row>
    <row r="72" spans="1:21" x14ac:dyDescent="0.25">
      <c r="A72" s="99">
        <v>61</v>
      </c>
      <c r="B72" s="100">
        <v>388</v>
      </c>
      <c r="C72" s="100">
        <v>199.2</v>
      </c>
      <c r="D72" s="100">
        <v>136.4</v>
      </c>
      <c r="E72" s="100">
        <v>105</v>
      </c>
      <c r="F72" s="100">
        <v>86.4</v>
      </c>
      <c r="G72" s="100"/>
      <c r="H72" s="100"/>
      <c r="I72" s="100"/>
      <c r="J72" s="100"/>
      <c r="K72" s="100"/>
      <c r="L72" s="100"/>
      <c r="M72" s="100"/>
      <c r="N72" s="100"/>
      <c r="O72" s="100"/>
      <c r="P72" s="100"/>
      <c r="Q72" s="100"/>
      <c r="R72" s="100"/>
      <c r="S72" s="100"/>
      <c r="T72" s="100"/>
      <c r="U72" s="100"/>
    </row>
    <row r="73" spans="1:21" x14ac:dyDescent="0.25">
      <c r="A73" s="99">
        <v>62</v>
      </c>
      <c r="B73" s="100">
        <v>394.1</v>
      </c>
      <c r="C73" s="100">
        <v>202.4</v>
      </c>
      <c r="D73" s="100">
        <v>138.6</v>
      </c>
      <c r="E73" s="100">
        <v>106.9</v>
      </c>
      <c r="F73" s="100"/>
      <c r="G73" s="100"/>
      <c r="H73" s="100"/>
      <c r="I73" s="100"/>
      <c r="J73" s="100"/>
      <c r="K73" s="100"/>
      <c r="L73" s="100"/>
      <c r="M73" s="100"/>
      <c r="N73" s="100"/>
      <c r="O73" s="100"/>
      <c r="P73" s="100"/>
      <c r="Q73" s="100"/>
      <c r="R73" s="100"/>
      <c r="S73" s="100"/>
      <c r="T73" s="100"/>
      <c r="U73" s="100"/>
    </row>
    <row r="74" spans="1:21" x14ac:dyDescent="0.25">
      <c r="A74" s="99">
        <v>63</v>
      </c>
      <c r="B74" s="100">
        <v>400.6</v>
      </c>
      <c r="C74" s="100">
        <v>205.9</v>
      </c>
      <c r="D74" s="100">
        <v>141.1</v>
      </c>
      <c r="E74" s="100"/>
      <c r="F74" s="100"/>
      <c r="G74" s="100"/>
      <c r="H74" s="100"/>
      <c r="I74" s="100"/>
      <c r="J74" s="100"/>
      <c r="K74" s="100"/>
      <c r="L74" s="100"/>
      <c r="M74" s="100"/>
      <c r="N74" s="100"/>
      <c r="O74" s="100"/>
      <c r="P74" s="100"/>
      <c r="Q74" s="100"/>
      <c r="R74" s="100"/>
      <c r="S74" s="100"/>
      <c r="T74" s="100"/>
      <c r="U74" s="100"/>
    </row>
    <row r="75" spans="1:21" x14ac:dyDescent="0.25">
      <c r="A75" s="99">
        <v>64</v>
      </c>
      <c r="B75" s="100">
        <v>407.5</v>
      </c>
      <c r="C75" s="100">
        <v>209.5</v>
      </c>
      <c r="D75" s="100"/>
      <c r="E75" s="100"/>
      <c r="F75" s="100"/>
      <c r="G75" s="100"/>
      <c r="H75" s="100"/>
      <c r="I75" s="100"/>
      <c r="J75" s="100"/>
      <c r="K75" s="100"/>
      <c r="L75" s="100"/>
      <c r="M75" s="100"/>
      <c r="N75" s="100"/>
      <c r="O75" s="100"/>
      <c r="P75" s="100"/>
      <c r="Q75" s="100"/>
      <c r="R75" s="100"/>
      <c r="S75" s="100"/>
      <c r="T75" s="100"/>
      <c r="U75" s="100"/>
    </row>
    <row r="76" spans="1:21" x14ac:dyDescent="0.25">
      <c r="A76" s="99">
        <v>65</v>
      </c>
      <c r="B76" s="100">
        <v>414.8</v>
      </c>
      <c r="C76" s="100"/>
      <c r="D76" s="100"/>
      <c r="E76" s="100"/>
      <c r="F76" s="100"/>
      <c r="G76" s="100"/>
      <c r="H76" s="100"/>
      <c r="I76" s="100"/>
      <c r="J76" s="100"/>
      <c r="K76" s="100"/>
      <c r="L76" s="100"/>
      <c r="M76" s="100"/>
      <c r="N76" s="100"/>
      <c r="O76" s="100"/>
      <c r="P76" s="100"/>
      <c r="Q76" s="100"/>
      <c r="R76" s="100"/>
      <c r="S76" s="100"/>
      <c r="T76" s="100"/>
      <c r="U76" s="100"/>
    </row>
    <row r="129" spans="22:22" x14ac:dyDescent="0.25">
      <c r="V129" s="25" t="b">
        <f t="shared" ref="V129" si="0">V78=V27</f>
        <v>1</v>
      </c>
    </row>
    <row r="130" spans="22:22" x14ac:dyDescent="0.25">
      <c r="V130" s="25" t="b">
        <f t="shared" ref="V130" si="1">V79=V28</f>
        <v>1</v>
      </c>
    </row>
    <row r="131" spans="22:22" x14ac:dyDescent="0.25">
      <c r="V131" s="25" t="b">
        <f t="shared" ref="V131" si="2">V80=V29</f>
        <v>1</v>
      </c>
    </row>
    <row r="132" spans="22:22" x14ac:dyDescent="0.25">
      <c r="V132" s="25" t="b">
        <f t="shared" ref="V132" si="3">V81=V30</f>
        <v>1</v>
      </c>
    </row>
    <row r="133" spans="22:22" x14ac:dyDescent="0.25">
      <c r="V133" s="25" t="b">
        <f t="shared" ref="V133" si="4">V82=V31</f>
        <v>1</v>
      </c>
    </row>
    <row r="134" spans="22:22" x14ac:dyDescent="0.25">
      <c r="V134" s="25" t="b">
        <f t="shared" ref="V134" si="5">V83=V32</f>
        <v>1</v>
      </c>
    </row>
    <row r="135" spans="22:22" x14ac:dyDescent="0.25">
      <c r="V135" s="25" t="b">
        <f t="shared" ref="V135" si="6">V84=V33</f>
        <v>1</v>
      </c>
    </row>
    <row r="136" spans="22:22" x14ac:dyDescent="0.25">
      <c r="V136" s="25" t="b">
        <f t="shared" ref="V136" si="7">V85=V34</f>
        <v>1</v>
      </c>
    </row>
    <row r="137" spans="22:22" x14ac:dyDescent="0.25">
      <c r="V137" s="25" t="b">
        <f t="shared" ref="V137" si="8">V86=V35</f>
        <v>1</v>
      </c>
    </row>
    <row r="138" spans="22:22" x14ac:dyDescent="0.25">
      <c r="V138" s="25" t="b">
        <f t="shared" ref="V138" si="9">V87=V36</f>
        <v>1</v>
      </c>
    </row>
    <row r="139" spans="22:22" x14ac:dyDescent="0.25">
      <c r="V139" s="25" t="b">
        <f t="shared" ref="V139" si="10">V88=V37</f>
        <v>1</v>
      </c>
    </row>
    <row r="140" spans="22:22" x14ac:dyDescent="0.25">
      <c r="V140" s="25" t="b">
        <f t="shared" ref="V140" si="11">V89=V38</f>
        <v>1</v>
      </c>
    </row>
    <row r="141" spans="22:22" x14ac:dyDescent="0.25">
      <c r="V141" s="25" t="b">
        <f t="shared" ref="V141" si="12">V90=V39</f>
        <v>1</v>
      </c>
    </row>
    <row r="142" spans="22:22" x14ac:dyDescent="0.25">
      <c r="V142" s="25" t="b">
        <f t="shared" ref="V142" si="13">V91=V40</f>
        <v>1</v>
      </c>
    </row>
    <row r="143" spans="22:22" x14ac:dyDescent="0.25">
      <c r="V143" s="25" t="b">
        <f t="shared" ref="V143" si="14">V92=V41</f>
        <v>1</v>
      </c>
    </row>
    <row r="144" spans="22:22" x14ac:dyDescent="0.25">
      <c r="V144" s="25" t="b">
        <f t="shared" ref="V144" si="15">V93=V42</f>
        <v>1</v>
      </c>
    </row>
    <row r="145" spans="22:22" x14ac:dyDescent="0.25">
      <c r="V145" s="25" t="b">
        <f t="shared" ref="V145" si="16">V94=V43</f>
        <v>1</v>
      </c>
    </row>
    <row r="146" spans="22:22" x14ac:dyDescent="0.25">
      <c r="V146" s="25" t="b">
        <f t="shared" ref="V146" si="17">V95=V44</f>
        <v>1</v>
      </c>
    </row>
    <row r="147" spans="22:22" x14ac:dyDescent="0.25">
      <c r="V147" s="25" t="b">
        <f t="shared" ref="V147" si="18">V96=V45</f>
        <v>1</v>
      </c>
    </row>
    <row r="148" spans="22:22" x14ac:dyDescent="0.25">
      <c r="V148" s="25" t="b">
        <f t="shared" ref="V148" si="19">V97=V46</f>
        <v>1</v>
      </c>
    </row>
    <row r="149" spans="22:22" x14ac:dyDescent="0.25">
      <c r="V149" s="25" t="b">
        <f t="shared" ref="V149" si="20">V98=V47</f>
        <v>1</v>
      </c>
    </row>
    <row r="150" spans="22:22" x14ac:dyDescent="0.25">
      <c r="V150" s="25" t="b">
        <f t="shared" ref="V150" si="21">V99=V48</f>
        <v>1</v>
      </c>
    </row>
    <row r="151" spans="22:22" x14ac:dyDescent="0.25">
      <c r="V151" s="25" t="b">
        <f t="shared" ref="V151" si="22">V100=V49</f>
        <v>1</v>
      </c>
    </row>
    <row r="152" spans="22:22" x14ac:dyDescent="0.25">
      <c r="V152" s="25" t="b">
        <f t="shared" ref="V152" si="23">V101=V50</f>
        <v>1</v>
      </c>
    </row>
    <row r="153" spans="22:22" x14ac:dyDescent="0.25">
      <c r="V153" s="25" t="b">
        <f t="shared" ref="V153" si="24">V102=V51</f>
        <v>1</v>
      </c>
    </row>
    <row r="154" spans="22:22" x14ac:dyDescent="0.25">
      <c r="V154" s="25" t="b">
        <f t="shared" ref="V154" si="25">V103=V52</f>
        <v>1</v>
      </c>
    </row>
    <row r="155" spans="22:22" x14ac:dyDescent="0.25">
      <c r="V155" s="25" t="b">
        <f t="shared" ref="V155" si="26">V104=V53</f>
        <v>1</v>
      </c>
    </row>
    <row r="156" spans="22:22" x14ac:dyDescent="0.25">
      <c r="V156" s="25" t="b">
        <f t="shared" ref="V156" si="27">V105=V54</f>
        <v>1</v>
      </c>
    </row>
    <row r="157" spans="22:22" x14ac:dyDescent="0.25">
      <c r="V157" s="25" t="b">
        <f t="shared" ref="V157" si="28">V106=V55</f>
        <v>1</v>
      </c>
    </row>
    <row r="158" spans="22:22" x14ac:dyDescent="0.25">
      <c r="V158" s="25" t="b">
        <f t="shared" ref="V158" si="29">V107=V56</f>
        <v>1</v>
      </c>
    </row>
    <row r="159" spans="22:22" x14ac:dyDescent="0.25">
      <c r="V159" s="25" t="b">
        <f t="shared" ref="V159" si="30">V108=V57</f>
        <v>1</v>
      </c>
    </row>
    <row r="160" spans="22:22" x14ac:dyDescent="0.25">
      <c r="V160" s="25" t="b">
        <f t="shared" ref="V160" si="31">V109=V58</f>
        <v>1</v>
      </c>
    </row>
    <row r="161" spans="22:22" x14ac:dyDescent="0.25">
      <c r="V161" s="25" t="b">
        <f t="shared" ref="V161" si="32">V110=V59</f>
        <v>1</v>
      </c>
    </row>
    <row r="162" spans="22:22" x14ac:dyDescent="0.25">
      <c r="V162" s="25" t="b">
        <f t="shared" ref="V162" si="33">V111=V60</f>
        <v>1</v>
      </c>
    </row>
    <row r="163" spans="22:22" x14ac:dyDescent="0.25">
      <c r="V163" s="25" t="b">
        <f t="shared" ref="V163" si="34">V112=V61</f>
        <v>1</v>
      </c>
    </row>
    <row r="164" spans="22:22" x14ac:dyDescent="0.25">
      <c r="V164" s="25" t="b">
        <f t="shared" ref="V164" si="35">V113=V62</f>
        <v>1</v>
      </c>
    </row>
    <row r="165" spans="22:22" x14ac:dyDescent="0.25">
      <c r="V165" s="25" t="b">
        <f t="shared" ref="V165" si="36">V114=V63</f>
        <v>1</v>
      </c>
    </row>
    <row r="166" spans="22:22" x14ac:dyDescent="0.25">
      <c r="V166" s="25" t="b">
        <f t="shared" ref="V166" si="37">V115=V64</f>
        <v>1</v>
      </c>
    </row>
    <row r="167" spans="22:22" x14ac:dyDescent="0.25">
      <c r="V167" s="25" t="b">
        <f t="shared" ref="V167" si="38">V116=V65</f>
        <v>1</v>
      </c>
    </row>
    <row r="168" spans="22:22" x14ac:dyDescent="0.25">
      <c r="V168" s="25" t="b">
        <f t="shared" ref="V168" si="39">V117=V66</f>
        <v>1</v>
      </c>
    </row>
    <row r="169" spans="22:22" x14ac:dyDescent="0.25">
      <c r="V169" s="25" t="b">
        <f t="shared" ref="V169" si="40">V118=V67</f>
        <v>1</v>
      </c>
    </row>
    <row r="170" spans="22:22" x14ac:dyDescent="0.25">
      <c r="V170" s="25" t="b">
        <f t="shared" ref="V170" si="41">V119=V68</f>
        <v>1</v>
      </c>
    </row>
    <row r="171" spans="22:22" x14ac:dyDescent="0.25">
      <c r="V171" s="25" t="b">
        <f t="shared" ref="V171" si="42">V120=V69</f>
        <v>1</v>
      </c>
    </row>
    <row r="172" spans="22:22" x14ac:dyDescent="0.25">
      <c r="V172" s="25" t="b">
        <f t="shared" ref="V172" si="43">V121=V70</f>
        <v>1</v>
      </c>
    </row>
    <row r="173" spans="22:22" x14ac:dyDescent="0.25">
      <c r="V173" s="25" t="b">
        <f t="shared" ref="V173" si="44">V122=V71</f>
        <v>1</v>
      </c>
    </row>
    <row r="174" spans="22:22" x14ac:dyDescent="0.25">
      <c r="V174" s="25" t="b">
        <f t="shared" ref="V174" si="45">V123=V72</f>
        <v>1</v>
      </c>
    </row>
    <row r="175" spans="22:22" x14ac:dyDescent="0.25">
      <c r="V175" s="25" t="b">
        <f t="shared" ref="V175" si="46">V124=V73</f>
        <v>1</v>
      </c>
    </row>
    <row r="176" spans="22:22" x14ac:dyDescent="0.25">
      <c r="V176" s="25" t="b">
        <f t="shared" ref="V176" si="47">V125=V74</f>
        <v>1</v>
      </c>
    </row>
    <row r="177" spans="22:22" x14ac:dyDescent="0.25">
      <c r="V177" s="25" t="b">
        <f t="shared" ref="V177" si="48">V126=V75</f>
        <v>1</v>
      </c>
    </row>
    <row r="178" spans="22:22" x14ac:dyDescent="0.25">
      <c r="V178" s="25" t="b">
        <f t="shared" ref="V178" si="49">V127=V76</f>
        <v>1</v>
      </c>
    </row>
  </sheetData>
  <sheetProtection algorithmName="SHA-512" hashValue="/H3ggBgDWjckEKq5E5IlN4E8IvthR5XEuoeten2O8yoMY5Iy+XshfBpIbD+7k03Q1waq4Mk4UlPh9eAaDX/Zyg==" saltValue="EqQ6wLiAhamSytf3XnULRQ==" spinCount="100000" sheet="1" objects="1" scenarios="1"/>
  <conditionalFormatting sqref="A6:A21">
    <cfRule type="expression" dxfId="337" priority="17" stopIfTrue="1">
      <formula>MOD(ROW(),2)=0</formula>
    </cfRule>
    <cfRule type="expression" dxfId="336" priority="18" stopIfTrue="1">
      <formula>MOD(ROW(),2)&lt;&gt;0</formula>
    </cfRule>
  </conditionalFormatting>
  <conditionalFormatting sqref="A26:A76">
    <cfRule type="expression" dxfId="335" priority="3" stopIfTrue="1">
      <formula>MOD(ROW(),2)=0</formula>
    </cfRule>
    <cfRule type="expression" dxfId="334" priority="4" stopIfTrue="1">
      <formula>MOD(ROW(),2)&lt;&gt;0</formula>
    </cfRule>
  </conditionalFormatting>
  <conditionalFormatting sqref="B17:B21">
    <cfRule type="expression" dxfId="333" priority="1" stopIfTrue="1">
      <formula>MOD(ROW(),2)=0</formula>
    </cfRule>
    <cfRule type="expression" dxfId="332" priority="2" stopIfTrue="1">
      <formula>MOD(ROW(),2)&lt;&gt;0</formula>
    </cfRule>
  </conditionalFormatting>
  <conditionalFormatting sqref="B6:U21">
    <cfRule type="expression" dxfId="331" priority="27" stopIfTrue="1">
      <formula>MOD(ROW(),2)=0</formula>
    </cfRule>
    <cfRule type="expression" dxfId="330" priority="28" stopIfTrue="1">
      <formula>MOD(ROW(),2)&lt;&gt;0</formula>
    </cfRule>
  </conditionalFormatting>
  <conditionalFormatting sqref="B26:U76">
    <cfRule type="expression" dxfId="329" priority="5" stopIfTrue="1">
      <formula>MOD(ROW(),2)=0</formula>
    </cfRule>
    <cfRule type="expression" dxfId="328" priority="6" stopIfTrue="1">
      <formula>MOD(ROW(),2)&lt;&gt;0</formula>
    </cfRule>
  </conditionalFormatting>
  <hyperlinks>
    <hyperlink ref="B24" location="Assumptions!A1" display="Assumptions" xr:uid="{46A5BD2F-2981-4219-B96D-AC2C304F3A8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04"/>
  <dimension ref="A1:U77"/>
  <sheetViews>
    <sheetView showGridLines="0" zoomScale="85" zoomScaleNormal="85" workbookViewId="0">
      <selection activeCell="A4" sqref="A4"/>
    </sheetView>
  </sheetViews>
  <sheetFormatPr defaultColWidth="10" defaultRowHeight="12.5" x14ac:dyDescent="0.25"/>
  <cols>
    <col min="1" max="1" width="31.90625" style="25" customWidth="1"/>
    <col min="2" max="21" width="22.90625" style="25" customWidth="1"/>
    <col min="22" max="16384" width="10" style="25"/>
  </cols>
  <sheetData>
    <row r="1" spans="1:21" ht="20" x14ac:dyDescent="0.4">
      <c r="A1" s="36" t="s">
        <v>0</v>
      </c>
      <c r="B1" s="37"/>
      <c r="C1" s="37"/>
      <c r="D1" s="37"/>
      <c r="E1" s="37"/>
      <c r="F1" s="37"/>
      <c r="G1" s="37"/>
      <c r="H1" s="37"/>
      <c r="I1" s="37"/>
    </row>
    <row r="2" spans="1:21" ht="15.5" x14ac:dyDescent="0.35">
      <c r="A2" s="38" t="str">
        <f>IF(title="&gt; Enter workbook title here","Enter workbook title in Cover sheet",title)</f>
        <v>NHSPS_NI - Consolidated Factor Spreadsheet</v>
      </c>
      <c r="B2" s="39"/>
      <c r="C2" s="39"/>
      <c r="D2" s="39"/>
      <c r="E2" s="39"/>
      <c r="F2" s="39"/>
      <c r="G2" s="39"/>
      <c r="H2" s="39"/>
      <c r="I2" s="39"/>
    </row>
    <row r="3" spans="1:21" ht="15.5" x14ac:dyDescent="0.35">
      <c r="A3" s="40" t="str">
        <f>TABLE_FACTOR_TYPE_1&amp;" - x-"&amp;TABLE_SERIES_NUMBER_1</f>
        <v>Added pension - x-718</v>
      </c>
      <c r="B3" s="39"/>
      <c r="C3" s="39"/>
      <c r="D3" s="39"/>
      <c r="E3" s="39"/>
      <c r="F3" s="39"/>
      <c r="G3" s="39"/>
      <c r="H3" s="39"/>
      <c r="I3" s="39"/>
    </row>
    <row r="4" spans="1:21" x14ac:dyDescent="0.25">
      <c r="A4" s="41"/>
    </row>
    <row r="6" spans="1:21" ht="13" x14ac:dyDescent="0.3">
      <c r="A6" s="163" t="s">
        <v>276</v>
      </c>
      <c r="B6" s="107" t="s">
        <v>277</v>
      </c>
      <c r="C6" s="107"/>
      <c r="D6" s="107"/>
      <c r="E6" s="107"/>
      <c r="F6" s="107"/>
      <c r="G6" s="107"/>
      <c r="H6" s="107"/>
      <c r="I6" s="107"/>
      <c r="J6" s="107"/>
      <c r="K6" s="107"/>
      <c r="L6" s="107"/>
      <c r="M6" s="107"/>
      <c r="N6" s="107"/>
      <c r="O6" s="107"/>
      <c r="P6" s="107"/>
      <c r="Q6" s="107"/>
      <c r="R6" s="107"/>
      <c r="S6" s="107"/>
      <c r="T6" s="107"/>
      <c r="U6" s="107"/>
    </row>
    <row r="7" spans="1:21" x14ac:dyDescent="0.25">
      <c r="A7" s="69" t="s">
        <v>278</v>
      </c>
      <c r="B7" s="107" t="s">
        <v>310</v>
      </c>
      <c r="C7" s="107"/>
      <c r="D7" s="107"/>
      <c r="E7" s="107"/>
      <c r="F7" s="107"/>
      <c r="G7" s="107"/>
      <c r="H7" s="107"/>
      <c r="I7" s="107"/>
      <c r="J7" s="107"/>
      <c r="K7" s="107"/>
      <c r="L7" s="107"/>
      <c r="M7" s="107"/>
      <c r="N7" s="107"/>
      <c r="O7" s="107"/>
      <c r="P7" s="107"/>
      <c r="Q7" s="107"/>
      <c r="R7" s="107"/>
      <c r="S7" s="107"/>
      <c r="T7" s="107"/>
      <c r="U7" s="107"/>
    </row>
    <row r="8" spans="1:21" x14ac:dyDescent="0.25">
      <c r="A8" s="69" t="s">
        <v>280</v>
      </c>
      <c r="B8" s="107" t="s">
        <v>513</v>
      </c>
      <c r="C8" s="107"/>
      <c r="D8" s="107"/>
      <c r="E8" s="107"/>
      <c r="F8" s="107"/>
      <c r="G8" s="107"/>
      <c r="H8" s="107"/>
      <c r="I8" s="107"/>
      <c r="J8" s="107"/>
      <c r="K8" s="107"/>
      <c r="L8" s="107"/>
      <c r="M8" s="107"/>
      <c r="N8" s="107"/>
      <c r="O8" s="107"/>
      <c r="P8" s="107"/>
      <c r="Q8" s="107"/>
      <c r="R8" s="107"/>
      <c r="S8" s="107"/>
      <c r="T8" s="107"/>
      <c r="U8" s="107"/>
    </row>
    <row r="9" spans="1:21" x14ac:dyDescent="0.25">
      <c r="A9" s="69" t="s">
        <v>282</v>
      </c>
      <c r="B9" s="107" t="s">
        <v>514</v>
      </c>
      <c r="C9" s="107"/>
      <c r="D9" s="107"/>
      <c r="E9" s="107"/>
      <c r="F9" s="107"/>
      <c r="G9" s="107"/>
      <c r="H9" s="107"/>
      <c r="I9" s="107"/>
      <c r="J9" s="107"/>
      <c r="K9" s="107"/>
      <c r="L9" s="107"/>
      <c r="M9" s="107"/>
      <c r="N9" s="107"/>
      <c r="O9" s="107"/>
      <c r="P9" s="107"/>
      <c r="Q9" s="107"/>
      <c r="R9" s="107"/>
      <c r="S9" s="107"/>
      <c r="T9" s="107"/>
      <c r="U9" s="107"/>
    </row>
    <row r="10" spans="1:21" x14ac:dyDescent="0.25">
      <c r="A10" s="69" t="s">
        <v>6</v>
      </c>
      <c r="B10" s="107" t="s">
        <v>562</v>
      </c>
      <c r="C10" s="107"/>
      <c r="D10" s="107"/>
      <c r="E10" s="107"/>
      <c r="F10" s="107"/>
      <c r="G10" s="107"/>
      <c r="H10" s="107"/>
      <c r="I10" s="107"/>
      <c r="J10" s="107"/>
      <c r="K10" s="107"/>
      <c r="L10" s="107"/>
      <c r="M10" s="107"/>
      <c r="N10" s="107"/>
      <c r="O10" s="107"/>
      <c r="P10" s="107"/>
      <c r="Q10" s="107"/>
      <c r="R10" s="107"/>
      <c r="S10" s="107"/>
      <c r="T10" s="107"/>
      <c r="U10" s="107"/>
    </row>
    <row r="11" spans="1:21" x14ac:dyDescent="0.25">
      <c r="A11" s="69" t="s">
        <v>285</v>
      </c>
      <c r="B11" s="107" t="s">
        <v>359</v>
      </c>
      <c r="C11" s="107"/>
      <c r="D11" s="107"/>
      <c r="E11" s="107"/>
      <c r="F11" s="107"/>
      <c r="G11" s="107"/>
      <c r="H11" s="107"/>
      <c r="I11" s="107"/>
      <c r="J11" s="107"/>
      <c r="K11" s="107"/>
      <c r="L11" s="107"/>
      <c r="M11" s="107"/>
      <c r="N11" s="107"/>
      <c r="O11" s="107"/>
      <c r="P11" s="107"/>
      <c r="Q11" s="107"/>
      <c r="R11" s="107"/>
      <c r="S11" s="107"/>
      <c r="T11" s="107"/>
      <c r="U11" s="107"/>
    </row>
    <row r="12" spans="1:21" x14ac:dyDescent="0.25">
      <c r="A12" s="69" t="s">
        <v>287</v>
      </c>
      <c r="B12" s="107" t="s">
        <v>520</v>
      </c>
      <c r="C12" s="107"/>
      <c r="D12" s="107"/>
      <c r="E12" s="107"/>
      <c r="F12" s="107"/>
      <c r="G12" s="107"/>
      <c r="H12" s="107"/>
      <c r="I12" s="107"/>
      <c r="J12" s="107"/>
      <c r="K12" s="107"/>
      <c r="L12" s="107"/>
      <c r="M12" s="107"/>
      <c r="N12" s="107"/>
      <c r="O12" s="107"/>
      <c r="P12" s="107"/>
      <c r="Q12" s="107"/>
      <c r="R12" s="107"/>
      <c r="S12" s="107"/>
      <c r="T12" s="107"/>
      <c r="U12" s="107"/>
    </row>
    <row r="13" spans="1:21" x14ac:dyDescent="0.25">
      <c r="A13" s="69" t="s">
        <v>289</v>
      </c>
      <c r="B13" s="107">
        <v>0</v>
      </c>
      <c r="C13" s="107"/>
      <c r="D13" s="107"/>
      <c r="E13" s="107"/>
      <c r="F13" s="107"/>
      <c r="G13" s="107"/>
      <c r="H13" s="107"/>
      <c r="I13" s="107"/>
      <c r="J13" s="107"/>
      <c r="K13" s="107"/>
      <c r="L13" s="107"/>
      <c r="M13" s="107"/>
      <c r="N13" s="107"/>
      <c r="O13" s="107"/>
      <c r="P13" s="107"/>
      <c r="Q13" s="107"/>
      <c r="R13" s="107"/>
      <c r="S13" s="107"/>
      <c r="T13" s="107"/>
      <c r="U13" s="107"/>
    </row>
    <row r="14" spans="1:21" x14ac:dyDescent="0.25">
      <c r="A14" s="69" t="s">
        <v>291</v>
      </c>
      <c r="B14" s="107">
        <v>718</v>
      </c>
      <c r="C14" s="107"/>
      <c r="D14" s="107"/>
      <c r="E14" s="107"/>
      <c r="F14" s="107"/>
      <c r="G14" s="107"/>
      <c r="H14" s="107"/>
      <c r="I14" s="107"/>
      <c r="J14" s="107"/>
      <c r="K14" s="107"/>
      <c r="L14" s="107"/>
      <c r="M14" s="107"/>
      <c r="N14" s="107"/>
      <c r="O14" s="107"/>
      <c r="P14" s="107"/>
      <c r="Q14" s="107"/>
      <c r="R14" s="107"/>
      <c r="S14" s="107"/>
      <c r="T14" s="107"/>
      <c r="U14" s="107"/>
    </row>
    <row r="15" spans="1:21" x14ac:dyDescent="0.25">
      <c r="A15" s="69" t="s">
        <v>293</v>
      </c>
      <c r="B15" s="107" t="s">
        <v>563</v>
      </c>
      <c r="C15" s="107"/>
      <c r="D15" s="107"/>
      <c r="E15" s="107"/>
      <c r="F15" s="107"/>
      <c r="G15" s="107"/>
      <c r="H15" s="107"/>
      <c r="I15" s="107"/>
      <c r="J15" s="107"/>
      <c r="K15" s="107"/>
      <c r="L15" s="107"/>
      <c r="M15" s="107"/>
      <c r="N15" s="107"/>
      <c r="O15" s="107"/>
      <c r="P15" s="107"/>
      <c r="Q15" s="107"/>
      <c r="R15" s="107"/>
      <c r="S15" s="107"/>
      <c r="T15" s="107"/>
      <c r="U15" s="107"/>
    </row>
    <row r="16" spans="1:21" x14ac:dyDescent="0.25">
      <c r="A16" s="69" t="s">
        <v>295</v>
      </c>
      <c r="B16" s="107" t="s">
        <v>564</v>
      </c>
      <c r="C16" s="107"/>
      <c r="D16" s="107"/>
      <c r="E16" s="107"/>
      <c r="F16" s="107"/>
      <c r="G16" s="107"/>
      <c r="H16" s="107"/>
      <c r="I16" s="107"/>
      <c r="J16" s="107"/>
      <c r="K16" s="107"/>
      <c r="L16" s="107"/>
      <c r="M16" s="107"/>
      <c r="N16" s="107"/>
      <c r="O16" s="107"/>
      <c r="P16" s="107"/>
      <c r="Q16" s="107"/>
      <c r="R16" s="107"/>
      <c r="S16" s="107"/>
      <c r="T16" s="107"/>
      <c r="U16" s="107"/>
    </row>
    <row r="17" spans="1:21" x14ac:dyDescent="0.25">
      <c r="A17" s="69" t="s">
        <v>725</v>
      </c>
      <c r="B17" s="107"/>
      <c r="C17" s="107"/>
      <c r="D17" s="107"/>
      <c r="E17" s="107"/>
      <c r="F17" s="107"/>
      <c r="G17" s="107"/>
      <c r="H17" s="107"/>
      <c r="I17" s="107"/>
      <c r="J17" s="107"/>
      <c r="K17" s="107"/>
      <c r="L17" s="107"/>
      <c r="M17" s="107"/>
      <c r="N17" s="107"/>
      <c r="O17" s="107"/>
      <c r="P17" s="107"/>
      <c r="Q17" s="107"/>
      <c r="R17" s="107"/>
      <c r="S17" s="107"/>
      <c r="T17" s="107"/>
      <c r="U17" s="107"/>
    </row>
    <row r="18" spans="1:21" x14ac:dyDescent="0.25">
      <c r="A18" s="85" t="s">
        <v>299</v>
      </c>
      <c r="B18" s="164">
        <v>45202</v>
      </c>
      <c r="C18" s="107"/>
      <c r="D18" s="107"/>
      <c r="E18" s="107"/>
      <c r="F18" s="107"/>
      <c r="G18" s="107"/>
      <c r="H18" s="107"/>
      <c r="I18" s="107"/>
      <c r="J18" s="107"/>
      <c r="K18" s="107"/>
      <c r="L18" s="107"/>
      <c r="M18" s="107"/>
      <c r="N18" s="107"/>
      <c r="O18" s="107"/>
      <c r="P18" s="107"/>
      <c r="Q18" s="107"/>
      <c r="R18" s="107"/>
      <c r="S18" s="107"/>
      <c r="T18" s="107"/>
      <c r="U18" s="107"/>
    </row>
    <row r="19" spans="1:21" x14ac:dyDescent="0.25">
      <c r="A19" s="85" t="s">
        <v>301</v>
      </c>
      <c r="B19" s="164">
        <v>45202</v>
      </c>
      <c r="C19" s="107"/>
      <c r="D19" s="107"/>
      <c r="E19" s="107"/>
      <c r="F19" s="107"/>
      <c r="G19" s="107"/>
      <c r="H19" s="107"/>
      <c r="I19" s="107"/>
      <c r="J19" s="107"/>
      <c r="K19" s="107"/>
      <c r="L19" s="107"/>
      <c r="M19" s="107"/>
      <c r="N19" s="107"/>
      <c r="O19" s="107"/>
      <c r="P19" s="107"/>
      <c r="Q19" s="107"/>
      <c r="R19" s="107"/>
      <c r="S19" s="107"/>
      <c r="T19" s="107"/>
      <c r="U19" s="107"/>
    </row>
    <row r="20" spans="1:21" x14ac:dyDescent="0.25">
      <c r="A20" s="85" t="s">
        <v>303</v>
      </c>
      <c r="B20" s="107" t="s">
        <v>317</v>
      </c>
      <c r="C20" s="107"/>
      <c r="D20" s="107"/>
      <c r="E20" s="107"/>
      <c r="F20" s="107"/>
      <c r="G20" s="107"/>
      <c r="H20" s="107"/>
      <c r="I20" s="107"/>
      <c r="J20" s="107"/>
      <c r="K20" s="107"/>
      <c r="L20" s="107"/>
      <c r="M20" s="107"/>
      <c r="N20" s="107"/>
      <c r="O20" s="107"/>
      <c r="P20" s="107"/>
      <c r="Q20" s="107"/>
      <c r="R20" s="107"/>
      <c r="S20" s="107"/>
      <c r="T20" s="107"/>
      <c r="U20" s="107"/>
    </row>
    <row r="21" spans="1:21" x14ac:dyDescent="0.25">
      <c r="A21" s="85" t="s">
        <v>309</v>
      </c>
      <c r="B21" s="107" t="s">
        <v>318</v>
      </c>
      <c r="C21" s="107"/>
      <c r="D21" s="107"/>
      <c r="E21" s="107"/>
      <c r="F21" s="107"/>
      <c r="G21" s="107"/>
      <c r="H21" s="107"/>
      <c r="I21" s="107"/>
      <c r="J21" s="107"/>
      <c r="K21" s="107"/>
      <c r="L21" s="107"/>
      <c r="M21" s="107"/>
      <c r="N21" s="107"/>
      <c r="O21" s="107"/>
      <c r="P21" s="107"/>
      <c r="Q21" s="107"/>
      <c r="R21" s="107"/>
      <c r="S21" s="107"/>
      <c r="T21" s="107"/>
      <c r="U21" s="107"/>
    </row>
    <row r="23" spans="1:21" x14ac:dyDescent="0.25">
      <c r="B23" s="103" t="str">
        <f>HYPERLINK("#'Factor List'!A1","Back to Factor List")</f>
        <v>Back to Factor List</v>
      </c>
    </row>
    <row r="24" spans="1:21" x14ac:dyDescent="0.25">
      <c r="B24" s="103" t="s">
        <v>15</v>
      </c>
    </row>
    <row r="26" spans="1:21" ht="13" x14ac:dyDescent="0.25">
      <c r="A26" s="98" t="s">
        <v>408</v>
      </c>
      <c r="B26" s="98" t="s">
        <v>778</v>
      </c>
      <c r="C26" s="98" t="s">
        <v>779</v>
      </c>
      <c r="D26" s="98" t="s">
        <v>780</v>
      </c>
      <c r="E26" s="98" t="s">
        <v>781</v>
      </c>
      <c r="F26" s="98" t="s">
        <v>782</v>
      </c>
      <c r="G26" s="98" t="s">
        <v>783</v>
      </c>
      <c r="H26" s="98" t="s">
        <v>784</v>
      </c>
      <c r="I26" s="98" t="s">
        <v>785</v>
      </c>
      <c r="J26" s="98" t="s">
        <v>786</v>
      </c>
      <c r="K26" s="98" t="s">
        <v>787</v>
      </c>
      <c r="L26" s="98" t="s">
        <v>788</v>
      </c>
      <c r="M26" s="98" t="s">
        <v>789</v>
      </c>
      <c r="N26" s="98" t="s">
        <v>790</v>
      </c>
      <c r="O26" s="98" t="s">
        <v>791</v>
      </c>
      <c r="P26" s="98" t="s">
        <v>792</v>
      </c>
      <c r="Q26" s="98" t="s">
        <v>793</v>
      </c>
      <c r="R26" s="98" t="s">
        <v>794</v>
      </c>
      <c r="S26" s="98" t="s">
        <v>795</v>
      </c>
      <c r="T26" s="98" t="s">
        <v>796</v>
      </c>
      <c r="U26" s="98" t="s">
        <v>797</v>
      </c>
    </row>
    <row r="27" spans="1:21" x14ac:dyDescent="0.25">
      <c r="A27" s="99">
        <v>16</v>
      </c>
      <c r="B27" s="100">
        <v>201.7</v>
      </c>
      <c r="C27" s="100">
        <v>102.7</v>
      </c>
      <c r="D27" s="100">
        <v>69.7</v>
      </c>
      <c r="E27" s="100">
        <v>53.3</v>
      </c>
      <c r="F27" s="100">
        <v>43.4</v>
      </c>
      <c r="G27" s="100">
        <v>36.799999999999997</v>
      </c>
      <c r="H27" s="100">
        <v>32.1</v>
      </c>
      <c r="I27" s="100">
        <v>28.6</v>
      </c>
      <c r="J27" s="100">
        <v>25.9</v>
      </c>
      <c r="K27" s="100">
        <v>23.7</v>
      </c>
      <c r="L27" s="100">
        <v>21.9</v>
      </c>
      <c r="M27" s="100">
        <v>20.399999999999999</v>
      </c>
      <c r="N27" s="100">
        <v>19.2</v>
      </c>
      <c r="O27" s="100">
        <v>18.100000000000001</v>
      </c>
      <c r="P27" s="100">
        <v>17.2</v>
      </c>
      <c r="Q27" s="100">
        <v>16.399999999999999</v>
      </c>
      <c r="R27" s="100">
        <v>15.7</v>
      </c>
      <c r="S27" s="100">
        <v>15.1</v>
      </c>
      <c r="T27" s="100">
        <v>14.5</v>
      </c>
      <c r="U27" s="100">
        <v>14</v>
      </c>
    </row>
    <row r="28" spans="1:21" x14ac:dyDescent="0.25">
      <c r="A28" s="99">
        <v>17</v>
      </c>
      <c r="B28" s="100">
        <v>204.8</v>
      </c>
      <c r="C28" s="100">
        <v>104.3</v>
      </c>
      <c r="D28" s="100">
        <v>70.8</v>
      </c>
      <c r="E28" s="100">
        <v>54.1</v>
      </c>
      <c r="F28" s="100">
        <v>44.1</v>
      </c>
      <c r="G28" s="100">
        <v>37.4</v>
      </c>
      <c r="H28" s="100">
        <v>32.6</v>
      </c>
      <c r="I28" s="100">
        <v>29</v>
      </c>
      <c r="J28" s="100">
        <v>26.3</v>
      </c>
      <c r="K28" s="100">
        <v>24.1</v>
      </c>
      <c r="L28" s="100">
        <v>22.3</v>
      </c>
      <c r="M28" s="100">
        <v>20.8</v>
      </c>
      <c r="N28" s="100">
        <v>19.5</v>
      </c>
      <c r="O28" s="100">
        <v>18.399999999999999</v>
      </c>
      <c r="P28" s="100">
        <v>17.5</v>
      </c>
      <c r="Q28" s="100">
        <v>16.7</v>
      </c>
      <c r="R28" s="100">
        <v>16</v>
      </c>
      <c r="S28" s="100">
        <v>15.3</v>
      </c>
      <c r="T28" s="100">
        <v>14.8</v>
      </c>
      <c r="U28" s="100">
        <v>14.3</v>
      </c>
    </row>
    <row r="29" spans="1:21" x14ac:dyDescent="0.25">
      <c r="A29" s="99">
        <v>18</v>
      </c>
      <c r="B29" s="100">
        <v>208.3</v>
      </c>
      <c r="C29" s="100">
        <v>106.1</v>
      </c>
      <c r="D29" s="100">
        <v>72</v>
      </c>
      <c r="E29" s="100">
        <v>55</v>
      </c>
      <c r="F29" s="100">
        <v>44.8</v>
      </c>
      <c r="G29" s="100">
        <v>38</v>
      </c>
      <c r="H29" s="100">
        <v>33.200000000000003</v>
      </c>
      <c r="I29" s="100">
        <v>29.5</v>
      </c>
      <c r="J29" s="100">
        <v>26.7</v>
      </c>
      <c r="K29" s="100">
        <v>24.5</v>
      </c>
      <c r="L29" s="100">
        <v>22.6</v>
      </c>
      <c r="M29" s="100">
        <v>21.1</v>
      </c>
      <c r="N29" s="100">
        <v>19.8</v>
      </c>
      <c r="O29" s="100">
        <v>18.7</v>
      </c>
      <c r="P29" s="100">
        <v>17.8</v>
      </c>
      <c r="Q29" s="100">
        <v>17</v>
      </c>
      <c r="R29" s="100">
        <v>16.2</v>
      </c>
      <c r="S29" s="100">
        <v>15.6</v>
      </c>
      <c r="T29" s="100">
        <v>15</v>
      </c>
      <c r="U29" s="100">
        <v>14.5</v>
      </c>
    </row>
    <row r="30" spans="1:21" x14ac:dyDescent="0.25">
      <c r="A30" s="99">
        <v>19</v>
      </c>
      <c r="B30" s="100">
        <v>211.7</v>
      </c>
      <c r="C30" s="100">
        <v>107.8</v>
      </c>
      <c r="D30" s="100">
        <v>73.2</v>
      </c>
      <c r="E30" s="100">
        <v>55.9</v>
      </c>
      <c r="F30" s="100">
        <v>45.5</v>
      </c>
      <c r="G30" s="100">
        <v>38.6</v>
      </c>
      <c r="H30" s="100">
        <v>33.700000000000003</v>
      </c>
      <c r="I30" s="100">
        <v>30</v>
      </c>
      <c r="J30" s="100">
        <v>27.2</v>
      </c>
      <c r="K30" s="100">
        <v>24.9</v>
      </c>
      <c r="L30" s="100">
        <v>23</v>
      </c>
      <c r="M30" s="100">
        <v>21.5</v>
      </c>
      <c r="N30" s="100">
        <v>20.2</v>
      </c>
      <c r="O30" s="100">
        <v>19</v>
      </c>
      <c r="P30" s="100">
        <v>18.100000000000001</v>
      </c>
      <c r="Q30" s="100">
        <v>17.2</v>
      </c>
      <c r="R30" s="100">
        <v>16.5</v>
      </c>
      <c r="S30" s="100">
        <v>15.8</v>
      </c>
      <c r="T30" s="100">
        <v>15.3</v>
      </c>
      <c r="U30" s="100">
        <v>14.7</v>
      </c>
    </row>
    <row r="31" spans="1:21" x14ac:dyDescent="0.25">
      <c r="A31" s="99">
        <v>20</v>
      </c>
      <c r="B31" s="100">
        <v>214.7</v>
      </c>
      <c r="C31" s="100">
        <v>109.3</v>
      </c>
      <c r="D31" s="100">
        <v>74.2</v>
      </c>
      <c r="E31" s="100">
        <v>56.7</v>
      </c>
      <c r="F31" s="100">
        <v>46.2</v>
      </c>
      <c r="G31" s="100">
        <v>39.200000000000003</v>
      </c>
      <c r="H31" s="100">
        <v>34.200000000000003</v>
      </c>
      <c r="I31" s="100">
        <v>30.4</v>
      </c>
      <c r="J31" s="100">
        <v>27.5</v>
      </c>
      <c r="K31" s="100">
        <v>25.2</v>
      </c>
      <c r="L31" s="100">
        <v>23.3</v>
      </c>
      <c r="M31" s="100">
        <v>21.8</v>
      </c>
      <c r="N31" s="100">
        <v>20.399999999999999</v>
      </c>
      <c r="O31" s="100">
        <v>19.3</v>
      </c>
      <c r="P31" s="100">
        <v>18.3</v>
      </c>
      <c r="Q31" s="100">
        <v>17.5</v>
      </c>
      <c r="R31" s="100">
        <v>16.7</v>
      </c>
      <c r="S31" s="100">
        <v>16.100000000000001</v>
      </c>
      <c r="T31" s="100">
        <v>15.5</v>
      </c>
      <c r="U31" s="100">
        <v>14.9</v>
      </c>
    </row>
    <row r="32" spans="1:21" x14ac:dyDescent="0.25">
      <c r="A32" s="99">
        <v>21</v>
      </c>
      <c r="B32" s="100">
        <v>217.7</v>
      </c>
      <c r="C32" s="100">
        <v>110.9</v>
      </c>
      <c r="D32" s="100">
        <v>75.3</v>
      </c>
      <c r="E32" s="100">
        <v>57.5</v>
      </c>
      <c r="F32" s="100">
        <v>46.8</v>
      </c>
      <c r="G32" s="100">
        <v>39.700000000000003</v>
      </c>
      <c r="H32" s="100">
        <v>34.700000000000003</v>
      </c>
      <c r="I32" s="100">
        <v>30.9</v>
      </c>
      <c r="J32" s="100">
        <v>27.9</v>
      </c>
      <c r="K32" s="100">
        <v>25.6</v>
      </c>
      <c r="L32" s="100">
        <v>23.7</v>
      </c>
      <c r="M32" s="100">
        <v>22.1</v>
      </c>
      <c r="N32" s="100">
        <v>20.7</v>
      </c>
      <c r="O32" s="100">
        <v>19.600000000000001</v>
      </c>
      <c r="P32" s="100">
        <v>18.600000000000001</v>
      </c>
      <c r="Q32" s="100">
        <v>17.7</v>
      </c>
      <c r="R32" s="100">
        <v>17</v>
      </c>
      <c r="S32" s="100">
        <v>16.3</v>
      </c>
      <c r="T32" s="100">
        <v>15.7</v>
      </c>
      <c r="U32" s="100">
        <v>15.2</v>
      </c>
    </row>
    <row r="33" spans="1:21" x14ac:dyDescent="0.25">
      <c r="A33" s="99">
        <v>22</v>
      </c>
      <c r="B33" s="100">
        <v>220.8</v>
      </c>
      <c r="C33" s="100">
        <v>112.4</v>
      </c>
      <c r="D33" s="100">
        <v>76.3</v>
      </c>
      <c r="E33" s="100">
        <v>58.3</v>
      </c>
      <c r="F33" s="100">
        <v>47.5</v>
      </c>
      <c r="G33" s="100">
        <v>40.299999999999997</v>
      </c>
      <c r="H33" s="100">
        <v>35.200000000000003</v>
      </c>
      <c r="I33" s="100">
        <v>31.3</v>
      </c>
      <c r="J33" s="100">
        <v>28.3</v>
      </c>
      <c r="K33" s="100">
        <v>26</v>
      </c>
      <c r="L33" s="100">
        <v>24</v>
      </c>
      <c r="M33" s="100">
        <v>22.4</v>
      </c>
      <c r="N33" s="100">
        <v>21</v>
      </c>
      <c r="O33" s="100">
        <v>19.899999999999999</v>
      </c>
      <c r="P33" s="100">
        <v>18.899999999999999</v>
      </c>
      <c r="Q33" s="100">
        <v>18</v>
      </c>
      <c r="R33" s="100">
        <v>17.2</v>
      </c>
      <c r="S33" s="100">
        <v>16.5</v>
      </c>
      <c r="T33" s="100">
        <v>15.9</v>
      </c>
      <c r="U33" s="100">
        <v>15.4</v>
      </c>
    </row>
    <row r="34" spans="1:21" x14ac:dyDescent="0.25">
      <c r="A34" s="99">
        <v>23</v>
      </c>
      <c r="B34" s="100">
        <v>223.9</v>
      </c>
      <c r="C34" s="100">
        <v>114</v>
      </c>
      <c r="D34" s="100">
        <v>77.400000000000006</v>
      </c>
      <c r="E34" s="100">
        <v>59.1</v>
      </c>
      <c r="F34" s="100">
        <v>48.2</v>
      </c>
      <c r="G34" s="100">
        <v>40.9</v>
      </c>
      <c r="H34" s="100">
        <v>35.700000000000003</v>
      </c>
      <c r="I34" s="100">
        <v>31.8</v>
      </c>
      <c r="J34" s="100">
        <v>28.7</v>
      </c>
      <c r="K34" s="100">
        <v>26.3</v>
      </c>
      <c r="L34" s="100">
        <v>24.3</v>
      </c>
      <c r="M34" s="100">
        <v>22.7</v>
      </c>
      <c r="N34" s="100">
        <v>21.3</v>
      </c>
      <c r="O34" s="100">
        <v>20.100000000000001</v>
      </c>
      <c r="P34" s="100">
        <v>19.100000000000001</v>
      </c>
      <c r="Q34" s="100">
        <v>18.2</v>
      </c>
      <c r="R34" s="100">
        <v>17.5</v>
      </c>
      <c r="S34" s="100">
        <v>16.8</v>
      </c>
      <c r="T34" s="100">
        <v>16.2</v>
      </c>
      <c r="U34" s="100">
        <v>15.6</v>
      </c>
    </row>
    <row r="35" spans="1:21" x14ac:dyDescent="0.25">
      <c r="A35" s="99">
        <v>24</v>
      </c>
      <c r="B35" s="100">
        <v>227</v>
      </c>
      <c r="C35" s="100">
        <v>115.6</v>
      </c>
      <c r="D35" s="100">
        <v>78.5</v>
      </c>
      <c r="E35" s="100">
        <v>60</v>
      </c>
      <c r="F35" s="100">
        <v>48.8</v>
      </c>
      <c r="G35" s="100">
        <v>41.4</v>
      </c>
      <c r="H35" s="100">
        <v>36.200000000000003</v>
      </c>
      <c r="I35" s="100">
        <v>32.200000000000003</v>
      </c>
      <c r="J35" s="100">
        <v>29.1</v>
      </c>
      <c r="K35" s="100">
        <v>26.7</v>
      </c>
      <c r="L35" s="100">
        <v>24.7</v>
      </c>
      <c r="M35" s="100">
        <v>23</v>
      </c>
      <c r="N35" s="100">
        <v>21.6</v>
      </c>
      <c r="O35" s="100">
        <v>20.399999999999999</v>
      </c>
      <c r="P35" s="100">
        <v>19.399999999999999</v>
      </c>
      <c r="Q35" s="100">
        <v>18.5</v>
      </c>
      <c r="R35" s="100">
        <v>17.7</v>
      </c>
      <c r="S35" s="100">
        <v>17</v>
      </c>
      <c r="T35" s="100">
        <v>16.399999999999999</v>
      </c>
      <c r="U35" s="100">
        <v>15.8</v>
      </c>
    </row>
    <row r="36" spans="1:21" x14ac:dyDescent="0.25">
      <c r="A36" s="99">
        <v>25</v>
      </c>
      <c r="B36" s="100">
        <v>230.1</v>
      </c>
      <c r="C36" s="100">
        <v>117.2</v>
      </c>
      <c r="D36" s="100">
        <v>79.599999999999994</v>
      </c>
      <c r="E36" s="100">
        <v>60.8</v>
      </c>
      <c r="F36" s="100">
        <v>49.5</v>
      </c>
      <c r="G36" s="100">
        <v>42</v>
      </c>
      <c r="H36" s="100">
        <v>36.700000000000003</v>
      </c>
      <c r="I36" s="100">
        <v>32.700000000000003</v>
      </c>
      <c r="J36" s="100">
        <v>29.5</v>
      </c>
      <c r="K36" s="100">
        <v>27.1</v>
      </c>
      <c r="L36" s="100">
        <v>25</v>
      </c>
      <c r="M36" s="100">
        <v>23.4</v>
      </c>
      <c r="N36" s="100">
        <v>21.9</v>
      </c>
      <c r="O36" s="100">
        <v>20.7</v>
      </c>
      <c r="P36" s="100">
        <v>19.7</v>
      </c>
      <c r="Q36" s="100">
        <v>18.8</v>
      </c>
      <c r="R36" s="100">
        <v>18</v>
      </c>
      <c r="S36" s="100">
        <v>17.3</v>
      </c>
      <c r="T36" s="100">
        <v>16.600000000000001</v>
      </c>
      <c r="U36" s="100">
        <v>16.100000000000001</v>
      </c>
    </row>
    <row r="37" spans="1:21" x14ac:dyDescent="0.25">
      <c r="A37" s="99">
        <v>26</v>
      </c>
      <c r="B37" s="100">
        <v>233.4</v>
      </c>
      <c r="C37" s="100">
        <v>118.8</v>
      </c>
      <c r="D37" s="100">
        <v>80.7</v>
      </c>
      <c r="E37" s="100">
        <v>61.6</v>
      </c>
      <c r="F37" s="100">
        <v>50.2</v>
      </c>
      <c r="G37" s="100">
        <v>42.6</v>
      </c>
      <c r="H37" s="100">
        <v>37.200000000000003</v>
      </c>
      <c r="I37" s="100">
        <v>33.1</v>
      </c>
      <c r="J37" s="100">
        <v>30</v>
      </c>
      <c r="K37" s="100">
        <v>27.4</v>
      </c>
      <c r="L37" s="100">
        <v>25.4</v>
      </c>
      <c r="M37" s="100">
        <v>23.7</v>
      </c>
      <c r="N37" s="100">
        <v>22.2</v>
      </c>
      <c r="O37" s="100">
        <v>21</v>
      </c>
      <c r="P37" s="100">
        <v>20</v>
      </c>
      <c r="Q37" s="100">
        <v>19</v>
      </c>
      <c r="R37" s="100">
        <v>18.2</v>
      </c>
      <c r="S37" s="100">
        <v>17.5</v>
      </c>
      <c r="T37" s="100">
        <v>16.899999999999999</v>
      </c>
      <c r="U37" s="100">
        <v>16.3</v>
      </c>
    </row>
    <row r="38" spans="1:21" x14ac:dyDescent="0.25">
      <c r="A38" s="99">
        <v>27</v>
      </c>
      <c r="B38" s="100">
        <v>236.6</v>
      </c>
      <c r="C38" s="100">
        <v>120.5</v>
      </c>
      <c r="D38" s="100">
        <v>81.8</v>
      </c>
      <c r="E38" s="100">
        <v>62.5</v>
      </c>
      <c r="F38" s="100">
        <v>50.9</v>
      </c>
      <c r="G38" s="100">
        <v>43.2</v>
      </c>
      <c r="H38" s="100">
        <v>37.700000000000003</v>
      </c>
      <c r="I38" s="100">
        <v>33.6</v>
      </c>
      <c r="J38" s="100">
        <v>30.4</v>
      </c>
      <c r="K38" s="100">
        <v>27.8</v>
      </c>
      <c r="L38" s="100">
        <v>25.8</v>
      </c>
      <c r="M38" s="100">
        <v>24</v>
      </c>
      <c r="N38" s="100">
        <v>22.6</v>
      </c>
      <c r="O38" s="100">
        <v>21.3</v>
      </c>
      <c r="P38" s="100">
        <v>20.2</v>
      </c>
      <c r="Q38" s="100">
        <v>19.3</v>
      </c>
      <c r="R38" s="100">
        <v>18.5</v>
      </c>
      <c r="S38" s="100">
        <v>17.8</v>
      </c>
      <c r="T38" s="100">
        <v>17.100000000000001</v>
      </c>
      <c r="U38" s="100">
        <v>16.5</v>
      </c>
    </row>
    <row r="39" spans="1:21" x14ac:dyDescent="0.25">
      <c r="A39" s="99">
        <v>28</v>
      </c>
      <c r="B39" s="100">
        <v>239.9</v>
      </c>
      <c r="C39" s="100">
        <v>122.2</v>
      </c>
      <c r="D39" s="100">
        <v>83</v>
      </c>
      <c r="E39" s="100">
        <v>63.4</v>
      </c>
      <c r="F39" s="100">
        <v>51.6</v>
      </c>
      <c r="G39" s="100">
        <v>43.8</v>
      </c>
      <c r="H39" s="100">
        <v>38.200000000000003</v>
      </c>
      <c r="I39" s="100">
        <v>34.1</v>
      </c>
      <c r="J39" s="100">
        <v>30.8</v>
      </c>
      <c r="K39" s="100">
        <v>28.2</v>
      </c>
      <c r="L39" s="100">
        <v>26.1</v>
      </c>
      <c r="M39" s="100">
        <v>24.4</v>
      </c>
      <c r="N39" s="100">
        <v>22.9</v>
      </c>
      <c r="O39" s="100">
        <v>21.6</v>
      </c>
      <c r="P39" s="100">
        <v>20.5</v>
      </c>
      <c r="Q39" s="100">
        <v>19.600000000000001</v>
      </c>
      <c r="R39" s="100">
        <v>18.8</v>
      </c>
      <c r="S39" s="100">
        <v>18</v>
      </c>
      <c r="T39" s="100">
        <v>17.399999999999999</v>
      </c>
      <c r="U39" s="100">
        <v>16.8</v>
      </c>
    </row>
    <row r="40" spans="1:21" x14ac:dyDescent="0.25">
      <c r="A40" s="99">
        <v>29</v>
      </c>
      <c r="B40" s="100">
        <v>243.2</v>
      </c>
      <c r="C40" s="100">
        <v>123.9</v>
      </c>
      <c r="D40" s="100">
        <v>84.1</v>
      </c>
      <c r="E40" s="100">
        <v>64.3</v>
      </c>
      <c r="F40" s="100">
        <v>52.3</v>
      </c>
      <c r="G40" s="100">
        <v>44.4</v>
      </c>
      <c r="H40" s="100">
        <v>38.799999999999997</v>
      </c>
      <c r="I40" s="100">
        <v>34.5</v>
      </c>
      <c r="J40" s="100">
        <v>31.3</v>
      </c>
      <c r="K40" s="100">
        <v>28.6</v>
      </c>
      <c r="L40" s="100">
        <v>26.5</v>
      </c>
      <c r="M40" s="100">
        <v>24.7</v>
      </c>
      <c r="N40" s="100">
        <v>23.2</v>
      </c>
      <c r="O40" s="100">
        <v>21.9</v>
      </c>
      <c r="P40" s="100">
        <v>20.8</v>
      </c>
      <c r="Q40" s="100">
        <v>19.899999999999999</v>
      </c>
      <c r="R40" s="100">
        <v>19</v>
      </c>
      <c r="S40" s="100">
        <v>18.3</v>
      </c>
      <c r="T40" s="100">
        <v>17.600000000000001</v>
      </c>
      <c r="U40" s="100">
        <v>17</v>
      </c>
    </row>
    <row r="41" spans="1:21" x14ac:dyDescent="0.25">
      <c r="A41" s="99">
        <v>30</v>
      </c>
      <c r="B41" s="100">
        <v>246.6</v>
      </c>
      <c r="C41" s="100">
        <v>125.6</v>
      </c>
      <c r="D41" s="100">
        <v>85.3</v>
      </c>
      <c r="E41" s="100">
        <v>65.099999999999994</v>
      </c>
      <c r="F41" s="100">
        <v>53.1</v>
      </c>
      <c r="G41" s="100">
        <v>45</v>
      </c>
      <c r="H41" s="100">
        <v>39.299999999999997</v>
      </c>
      <c r="I41" s="100">
        <v>35</v>
      </c>
      <c r="J41" s="100">
        <v>31.7</v>
      </c>
      <c r="K41" s="100">
        <v>29</v>
      </c>
      <c r="L41" s="100">
        <v>26.9</v>
      </c>
      <c r="M41" s="100">
        <v>25.1</v>
      </c>
      <c r="N41" s="100">
        <v>23.5</v>
      </c>
      <c r="O41" s="100">
        <v>22.3</v>
      </c>
      <c r="P41" s="100">
        <v>21.1</v>
      </c>
      <c r="Q41" s="100">
        <v>20.2</v>
      </c>
      <c r="R41" s="100">
        <v>19.3</v>
      </c>
      <c r="S41" s="100">
        <v>18.5</v>
      </c>
      <c r="T41" s="100">
        <v>17.899999999999999</v>
      </c>
      <c r="U41" s="100">
        <v>17.3</v>
      </c>
    </row>
    <row r="42" spans="1:21" x14ac:dyDescent="0.25">
      <c r="A42" s="99">
        <v>31</v>
      </c>
      <c r="B42" s="100">
        <v>250</v>
      </c>
      <c r="C42" s="100">
        <v>127.3</v>
      </c>
      <c r="D42" s="100">
        <v>86.5</v>
      </c>
      <c r="E42" s="100">
        <v>66.099999999999994</v>
      </c>
      <c r="F42" s="100">
        <v>53.8</v>
      </c>
      <c r="G42" s="100">
        <v>45.7</v>
      </c>
      <c r="H42" s="100">
        <v>39.9</v>
      </c>
      <c r="I42" s="100">
        <v>35.5</v>
      </c>
      <c r="J42" s="100">
        <v>32.1</v>
      </c>
      <c r="K42" s="100">
        <v>29.4</v>
      </c>
      <c r="L42" s="100">
        <v>27.3</v>
      </c>
      <c r="M42" s="100">
        <v>25.4</v>
      </c>
      <c r="N42" s="100">
        <v>23.9</v>
      </c>
      <c r="O42" s="100">
        <v>22.6</v>
      </c>
      <c r="P42" s="100">
        <v>21.4</v>
      </c>
      <c r="Q42" s="100">
        <v>20.5</v>
      </c>
      <c r="R42" s="100">
        <v>19.600000000000001</v>
      </c>
      <c r="S42" s="100">
        <v>18.8</v>
      </c>
      <c r="T42" s="100">
        <v>18.100000000000001</v>
      </c>
      <c r="U42" s="100">
        <v>17.5</v>
      </c>
    </row>
    <row r="43" spans="1:21" x14ac:dyDescent="0.25">
      <c r="A43" s="99">
        <v>32</v>
      </c>
      <c r="B43" s="100">
        <v>253.4</v>
      </c>
      <c r="C43" s="100">
        <v>129.1</v>
      </c>
      <c r="D43" s="100">
        <v>87.7</v>
      </c>
      <c r="E43" s="100">
        <v>67</v>
      </c>
      <c r="F43" s="100">
        <v>54.6</v>
      </c>
      <c r="G43" s="100">
        <v>46.3</v>
      </c>
      <c r="H43" s="100">
        <v>40.4</v>
      </c>
      <c r="I43" s="100">
        <v>36</v>
      </c>
      <c r="J43" s="100">
        <v>32.6</v>
      </c>
      <c r="K43" s="100">
        <v>29.9</v>
      </c>
      <c r="L43" s="100">
        <v>27.6</v>
      </c>
      <c r="M43" s="100">
        <v>25.8</v>
      </c>
      <c r="N43" s="100">
        <v>24.2</v>
      </c>
      <c r="O43" s="100">
        <v>22.9</v>
      </c>
      <c r="P43" s="100">
        <v>21.7</v>
      </c>
      <c r="Q43" s="100">
        <v>20.7</v>
      </c>
      <c r="R43" s="100">
        <v>19.899999999999999</v>
      </c>
      <c r="S43" s="100">
        <v>19.100000000000001</v>
      </c>
      <c r="T43" s="100">
        <v>18.399999999999999</v>
      </c>
      <c r="U43" s="100">
        <v>17.8</v>
      </c>
    </row>
    <row r="44" spans="1:21" x14ac:dyDescent="0.25">
      <c r="A44" s="99">
        <v>33</v>
      </c>
      <c r="B44" s="100">
        <v>256.89999999999998</v>
      </c>
      <c r="C44" s="100">
        <v>130.80000000000001</v>
      </c>
      <c r="D44" s="100">
        <v>88.9</v>
      </c>
      <c r="E44" s="100">
        <v>67.900000000000006</v>
      </c>
      <c r="F44" s="100">
        <v>55.3</v>
      </c>
      <c r="G44" s="100">
        <v>47</v>
      </c>
      <c r="H44" s="100">
        <v>41</v>
      </c>
      <c r="I44" s="100">
        <v>36.5</v>
      </c>
      <c r="J44" s="100">
        <v>33</v>
      </c>
      <c r="K44" s="100">
        <v>30.3</v>
      </c>
      <c r="L44" s="100">
        <v>28</v>
      </c>
      <c r="M44" s="100">
        <v>26.2</v>
      </c>
      <c r="N44" s="100">
        <v>24.6</v>
      </c>
      <c r="O44" s="100">
        <v>23.2</v>
      </c>
      <c r="P44" s="100">
        <v>22.1</v>
      </c>
      <c r="Q44" s="100">
        <v>21</v>
      </c>
      <c r="R44" s="100">
        <v>20.2</v>
      </c>
      <c r="S44" s="100">
        <v>19.399999999999999</v>
      </c>
      <c r="T44" s="100">
        <v>18.7</v>
      </c>
      <c r="U44" s="100">
        <v>18</v>
      </c>
    </row>
    <row r="45" spans="1:21" x14ac:dyDescent="0.25">
      <c r="A45" s="99">
        <v>34</v>
      </c>
      <c r="B45" s="100">
        <v>260.3</v>
      </c>
      <c r="C45" s="100">
        <v>132.6</v>
      </c>
      <c r="D45" s="100">
        <v>90.1</v>
      </c>
      <c r="E45" s="100">
        <v>68.8</v>
      </c>
      <c r="F45" s="100">
        <v>56.1</v>
      </c>
      <c r="G45" s="100">
        <v>47.6</v>
      </c>
      <c r="H45" s="100">
        <v>41.5</v>
      </c>
      <c r="I45" s="100">
        <v>37</v>
      </c>
      <c r="J45" s="100">
        <v>33.5</v>
      </c>
      <c r="K45" s="100">
        <v>30.7</v>
      </c>
      <c r="L45" s="100">
        <v>28.4</v>
      </c>
      <c r="M45" s="100">
        <v>26.5</v>
      </c>
      <c r="N45" s="100">
        <v>24.9</v>
      </c>
      <c r="O45" s="100">
        <v>23.6</v>
      </c>
      <c r="P45" s="100">
        <v>22.4</v>
      </c>
      <c r="Q45" s="100">
        <v>21.4</v>
      </c>
      <c r="R45" s="100">
        <v>20.5</v>
      </c>
      <c r="S45" s="100">
        <v>19.7</v>
      </c>
      <c r="T45" s="100">
        <v>18.899999999999999</v>
      </c>
      <c r="U45" s="100">
        <v>18.3</v>
      </c>
    </row>
    <row r="46" spans="1:21" x14ac:dyDescent="0.25">
      <c r="A46" s="99">
        <v>35</v>
      </c>
      <c r="B46" s="100">
        <v>263.8</v>
      </c>
      <c r="C46" s="100">
        <v>134.4</v>
      </c>
      <c r="D46" s="100">
        <v>91.3</v>
      </c>
      <c r="E46" s="100">
        <v>69.8</v>
      </c>
      <c r="F46" s="100">
        <v>56.8</v>
      </c>
      <c r="G46" s="100">
        <v>48.2</v>
      </c>
      <c r="H46" s="100">
        <v>42.1</v>
      </c>
      <c r="I46" s="100">
        <v>37.5</v>
      </c>
      <c r="J46" s="100">
        <v>34</v>
      </c>
      <c r="K46" s="100">
        <v>31.1</v>
      </c>
      <c r="L46" s="100">
        <v>28.8</v>
      </c>
      <c r="M46" s="100">
        <v>26.9</v>
      </c>
      <c r="N46" s="100">
        <v>25.3</v>
      </c>
      <c r="O46" s="100">
        <v>23.9</v>
      </c>
      <c r="P46" s="100">
        <v>22.7</v>
      </c>
      <c r="Q46" s="100">
        <v>21.7</v>
      </c>
      <c r="R46" s="100">
        <v>20.7</v>
      </c>
      <c r="S46" s="100">
        <v>19.899999999999999</v>
      </c>
      <c r="T46" s="100">
        <v>19.2</v>
      </c>
      <c r="U46" s="100">
        <v>18.600000000000001</v>
      </c>
    </row>
    <row r="47" spans="1:21" x14ac:dyDescent="0.25">
      <c r="A47" s="99">
        <v>36</v>
      </c>
      <c r="B47" s="100">
        <v>267.39999999999998</v>
      </c>
      <c r="C47" s="100">
        <v>136.19999999999999</v>
      </c>
      <c r="D47" s="100">
        <v>92.5</v>
      </c>
      <c r="E47" s="100">
        <v>70.7</v>
      </c>
      <c r="F47" s="100">
        <v>57.6</v>
      </c>
      <c r="G47" s="100">
        <v>48.9</v>
      </c>
      <c r="H47" s="100">
        <v>42.7</v>
      </c>
      <c r="I47" s="100">
        <v>38.1</v>
      </c>
      <c r="J47" s="100">
        <v>34.4</v>
      </c>
      <c r="K47" s="100">
        <v>31.6</v>
      </c>
      <c r="L47" s="100">
        <v>29.2</v>
      </c>
      <c r="M47" s="100">
        <v>27.3</v>
      </c>
      <c r="N47" s="100">
        <v>25.6</v>
      </c>
      <c r="O47" s="100">
        <v>24.2</v>
      </c>
      <c r="P47" s="100">
        <v>23</v>
      </c>
      <c r="Q47" s="100">
        <v>22</v>
      </c>
      <c r="R47" s="100">
        <v>21.1</v>
      </c>
      <c r="S47" s="100">
        <v>20.2</v>
      </c>
      <c r="T47" s="100">
        <v>19.5</v>
      </c>
      <c r="U47" s="100">
        <v>18.899999999999999</v>
      </c>
    </row>
    <row r="48" spans="1:21" x14ac:dyDescent="0.25">
      <c r="A48" s="99">
        <v>37</v>
      </c>
      <c r="B48" s="100">
        <v>271</v>
      </c>
      <c r="C48" s="100">
        <v>138.1</v>
      </c>
      <c r="D48" s="100">
        <v>93.8</v>
      </c>
      <c r="E48" s="100">
        <v>71.7</v>
      </c>
      <c r="F48" s="100">
        <v>58.4</v>
      </c>
      <c r="G48" s="100">
        <v>49.6</v>
      </c>
      <c r="H48" s="100">
        <v>43.3</v>
      </c>
      <c r="I48" s="100">
        <v>38.6</v>
      </c>
      <c r="J48" s="100">
        <v>34.9</v>
      </c>
      <c r="K48" s="100">
        <v>32</v>
      </c>
      <c r="L48" s="100">
        <v>29.6</v>
      </c>
      <c r="M48" s="100">
        <v>27.7</v>
      </c>
      <c r="N48" s="100">
        <v>26</v>
      </c>
      <c r="O48" s="100">
        <v>24.6</v>
      </c>
      <c r="P48" s="100">
        <v>23.4</v>
      </c>
      <c r="Q48" s="100">
        <v>22.3</v>
      </c>
      <c r="R48" s="100">
        <v>21.4</v>
      </c>
      <c r="S48" s="100">
        <v>20.5</v>
      </c>
      <c r="T48" s="100">
        <v>19.8</v>
      </c>
      <c r="U48" s="100">
        <v>19.2</v>
      </c>
    </row>
    <row r="49" spans="1:21" x14ac:dyDescent="0.25">
      <c r="A49" s="99">
        <v>38</v>
      </c>
      <c r="B49" s="100">
        <v>274.60000000000002</v>
      </c>
      <c r="C49" s="100">
        <v>139.9</v>
      </c>
      <c r="D49" s="100">
        <v>95</v>
      </c>
      <c r="E49" s="100">
        <v>72.599999999999994</v>
      </c>
      <c r="F49" s="100">
        <v>59.2</v>
      </c>
      <c r="G49" s="100">
        <v>50.3</v>
      </c>
      <c r="H49" s="100">
        <v>43.9</v>
      </c>
      <c r="I49" s="100">
        <v>39.1</v>
      </c>
      <c r="J49" s="100">
        <v>35.4</v>
      </c>
      <c r="K49" s="100">
        <v>32.5</v>
      </c>
      <c r="L49" s="100">
        <v>30.1</v>
      </c>
      <c r="M49" s="100">
        <v>28.1</v>
      </c>
      <c r="N49" s="100">
        <v>26.4</v>
      </c>
      <c r="O49" s="100">
        <v>24.9</v>
      </c>
      <c r="P49" s="100">
        <v>23.7</v>
      </c>
      <c r="Q49" s="100">
        <v>22.6</v>
      </c>
      <c r="R49" s="100">
        <v>21.7</v>
      </c>
      <c r="S49" s="100">
        <v>20.9</v>
      </c>
      <c r="T49" s="100">
        <v>20.100000000000001</v>
      </c>
      <c r="U49" s="100">
        <v>19.5</v>
      </c>
    </row>
    <row r="50" spans="1:21" x14ac:dyDescent="0.25">
      <c r="A50" s="99">
        <v>39</v>
      </c>
      <c r="B50" s="100">
        <v>278.2</v>
      </c>
      <c r="C50" s="100">
        <v>141.80000000000001</v>
      </c>
      <c r="D50" s="100">
        <v>96.3</v>
      </c>
      <c r="E50" s="100">
        <v>73.599999999999994</v>
      </c>
      <c r="F50" s="100">
        <v>60</v>
      </c>
      <c r="G50" s="100">
        <v>50.9</v>
      </c>
      <c r="H50" s="100">
        <v>44.5</v>
      </c>
      <c r="I50" s="100">
        <v>39.700000000000003</v>
      </c>
      <c r="J50" s="100">
        <v>35.9</v>
      </c>
      <c r="K50" s="100">
        <v>32.9</v>
      </c>
      <c r="L50" s="100">
        <v>30.5</v>
      </c>
      <c r="M50" s="100">
        <v>28.5</v>
      </c>
      <c r="N50" s="100">
        <v>26.8</v>
      </c>
      <c r="O50" s="100">
        <v>25.3</v>
      </c>
      <c r="P50" s="100">
        <v>24.1</v>
      </c>
      <c r="Q50" s="100">
        <v>23</v>
      </c>
      <c r="R50" s="100">
        <v>22</v>
      </c>
      <c r="S50" s="100">
        <v>21.2</v>
      </c>
      <c r="T50" s="100">
        <v>20.399999999999999</v>
      </c>
      <c r="U50" s="100">
        <v>19.8</v>
      </c>
    </row>
    <row r="51" spans="1:21" x14ac:dyDescent="0.25">
      <c r="A51" s="99">
        <v>40</v>
      </c>
      <c r="B51" s="100">
        <v>281.89999999999998</v>
      </c>
      <c r="C51" s="100">
        <v>143.69999999999999</v>
      </c>
      <c r="D51" s="100">
        <v>97.6</v>
      </c>
      <c r="E51" s="100">
        <v>74.599999999999994</v>
      </c>
      <c r="F51" s="100">
        <v>60.8</v>
      </c>
      <c r="G51" s="100">
        <v>51.6</v>
      </c>
      <c r="H51" s="100">
        <v>45.1</v>
      </c>
      <c r="I51" s="100">
        <v>40.200000000000003</v>
      </c>
      <c r="J51" s="100">
        <v>36.4</v>
      </c>
      <c r="K51" s="100">
        <v>33.4</v>
      </c>
      <c r="L51" s="100">
        <v>30.9</v>
      </c>
      <c r="M51" s="100">
        <v>28.9</v>
      </c>
      <c r="N51" s="100">
        <v>27.1</v>
      </c>
      <c r="O51" s="100">
        <v>25.7</v>
      </c>
      <c r="P51" s="100">
        <v>24.4</v>
      </c>
      <c r="Q51" s="100">
        <v>23.3</v>
      </c>
      <c r="R51" s="100">
        <v>22.4</v>
      </c>
      <c r="S51" s="100">
        <v>21.5</v>
      </c>
      <c r="T51" s="100">
        <v>20.8</v>
      </c>
      <c r="U51" s="100">
        <v>20.100000000000001</v>
      </c>
    </row>
    <row r="52" spans="1:21" x14ac:dyDescent="0.25">
      <c r="A52" s="99">
        <v>41</v>
      </c>
      <c r="B52" s="100">
        <v>285.60000000000002</v>
      </c>
      <c r="C52" s="100">
        <v>145.6</v>
      </c>
      <c r="D52" s="100">
        <v>98.9</v>
      </c>
      <c r="E52" s="100">
        <v>75.599999999999994</v>
      </c>
      <c r="F52" s="100">
        <v>61.6</v>
      </c>
      <c r="G52" s="100">
        <v>52.4</v>
      </c>
      <c r="H52" s="100">
        <v>45.7</v>
      </c>
      <c r="I52" s="100">
        <v>40.799999999999997</v>
      </c>
      <c r="J52" s="100">
        <v>36.9</v>
      </c>
      <c r="K52" s="100">
        <v>33.9</v>
      </c>
      <c r="L52" s="100">
        <v>31.4</v>
      </c>
      <c r="M52" s="100">
        <v>29.3</v>
      </c>
      <c r="N52" s="100">
        <v>27.5</v>
      </c>
      <c r="O52" s="100">
        <v>26.1</v>
      </c>
      <c r="P52" s="100">
        <v>24.8</v>
      </c>
      <c r="Q52" s="100">
        <v>23.7</v>
      </c>
      <c r="R52" s="100">
        <v>22.7</v>
      </c>
      <c r="S52" s="100">
        <v>21.9</v>
      </c>
      <c r="T52" s="100">
        <v>21.1</v>
      </c>
      <c r="U52" s="100">
        <v>20.399999999999999</v>
      </c>
    </row>
    <row r="53" spans="1:21" x14ac:dyDescent="0.25">
      <c r="A53" s="99">
        <v>42</v>
      </c>
      <c r="B53" s="100">
        <v>289.39999999999998</v>
      </c>
      <c r="C53" s="100">
        <v>147.5</v>
      </c>
      <c r="D53" s="100">
        <v>100.2</v>
      </c>
      <c r="E53" s="100">
        <v>76.599999999999994</v>
      </c>
      <c r="F53" s="100">
        <v>62.5</v>
      </c>
      <c r="G53" s="100">
        <v>53.1</v>
      </c>
      <c r="H53" s="100">
        <v>46.4</v>
      </c>
      <c r="I53" s="100">
        <v>41.3</v>
      </c>
      <c r="J53" s="100">
        <v>37.4</v>
      </c>
      <c r="K53" s="100">
        <v>34.299999999999997</v>
      </c>
      <c r="L53" s="100">
        <v>31.8</v>
      </c>
      <c r="M53" s="100">
        <v>29.7</v>
      </c>
      <c r="N53" s="100">
        <v>28</v>
      </c>
      <c r="O53" s="100">
        <v>26.5</v>
      </c>
      <c r="P53" s="100">
        <v>25.2</v>
      </c>
      <c r="Q53" s="100">
        <v>24.1</v>
      </c>
      <c r="R53" s="100">
        <v>23.1</v>
      </c>
      <c r="S53" s="100">
        <v>22.2</v>
      </c>
      <c r="T53" s="100">
        <v>21.5</v>
      </c>
      <c r="U53" s="100">
        <v>20.8</v>
      </c>
    </row>
    <row r="54" spans="1:21" x14ac:dyDescent="0.25">
      <c r="A54" s="99">
        <v>43</v>
      </c>
      <c r="B54" s="100">
        <v>293.2</v>
      </c>
      <c r="C54" s="100">
        <v>149.4</v>
      </c>
      <c r="D54" s="100">
        <v>101.6</v>
      </c>
      <c r="E54" s="100">
        <v>77.7</v>
      </c>
      <c r="F54" s="100">
        <v>63.3</v>
      </c>
      <c r="G54" s="100">
        <v>53.8</v>
      </c>
      <c r="H54" s="100">
        <v>47</v>
      </c>
      <c r="I54" s="100">
        <v>41.9</v>
      </c>
      <c r="J54" s="100">
        <v>38</v>
      </c>
      <c r="K54" s="100">
        <v>34.799999999999997</v>
      </c>
      <c r="L54" s="100">
        <v>32.299999999999997</v>
      </c>
      <c r="M54" s="100">
        <v>30.2</v>
      </c>
      <c r="N54" s="100">
        <v>28.4</v>
      </c>
      <c r="O54" s="100">
        <v>26.9</v>
      </c>
      <c r="P54" s="100">
        <v>25.6</v>
      </c>
      <c r="Q54" s="100">
        <v>24.4</v>
      </c>
      <c r="R54" s="100">
        <v>23.5</v>
      </c>
      <c r="S54" s="100">
        <v>22.6</v>
      </c>
      <c r="T54" s="100">
        <v>21.8</v>
      </c>
      <c r="U54" s="100">
        <v>21.2</v>
      </c>
    </row>
    <row r="55" spans="1:21" x14ac:dyDescent="0.25">
      <c r="A55" s="99">
        <v>44</v>
      </c>
      <c r="B55" s="100">
        <v>297</v>
      </c>
      <c r="C55" s="100">
        <v>151.4</v>
      </c>
      <c r="D55" s="100">
        <v>102.9</v>
      </c>
      <c r="E55" s="100">
        <v>78.7</v>
      </c>
      <c r="F55" s="100">
        <v>64.2</v>
      </c>
      <c r="G55" s="100">
        <v>54.5</v>
      </c>
      <c r="H55" s="100">
        <v>47.6</v>
      </c>
      <c r="I55" s="100">
        <v>42.5</v>
      </c>
      <c r="J55" s="100">
        <v>38.5</v>
      </c>
      <c r="K55" s="100">
        <v>35.299999999999997</v>
      </c>
      <c r="L55" s="100">
        <v>32.700000000000003</v>
      </c>
      <c r="M55" s="100">
        <v>30.6</v>
      </c>
      <c r="N55" s="100">
        <v>28.8</v>
      </c>
      <c r="O55" s="100">
        <v>27.3</v>
      </c>
      <c r="P55" s="100">
        <v>26</v>
      </c>
      <c r="Q55" s="100">
        <v>24.8</v>
      </c>
      <c r="R55" s="100">
        <v>23.8</v>
      </c>
      <c r="S55" s="100">
        <v>23</v>
      </c>
      <c r="T55" s="100">
        <v>22.2</v>
      </c>
      <c r="U55" s="100">
        <v>21.5</v>
      </c>
    </row>
    <row r="56" spans="1:21" x14ac:dyDescent="0.25">
      <c r="A56" s="99">
        <v>45</v>
      </c>
      <c r="B56" s="100">
        <v>300.8</v>
      </c>
      <c r="C56" s="100">
        <v>153.4</v>
      </c>
      <c r="D56" s="100">
        <v>104.3</v>
      </c>
      <c r="E56" s="100">
        <v>79.7</v>
      </c>
      <c r="F56" s="100">
        <v>65</v>
      </c>
      <c r="G56" s="100">
        <v>55.2</v>
      </c>
      <c r="H56" s="100">
        <v>48.3</v>
      </c>
      <c r="I56" s="100">
        <v>43.1</v>
      </c>
      <c r="J56" s="100">
        <v>39</v>
      </c>
      <c r="K56" s="100">
        <v>35.799999999999997</v>
      </c>
      <c r="L56" s="100">
        <v>33.200000000000003</v>
      </c>
      <c r="M56" s="100">
        <v>31.1</v>
      </c>
      <c r="N56" s="100">
        <v>29.3</v>
      </c>
      <c r="O56" s="100">
        <v>27.7</v>
      </c>
      <c r="P56" s="100">
        <v>26.4</v>
      </c>
      <c r="Q56" s="100">
        <v>25.3</v>
      </c>
      <c r="R56" s="100">
        <v>24.3</v>
      </c>
      <c r="S56" s="100">
        <v>23.4</v>
      </c>
      <c r="T56" s="100">
        <v>22.6</v>
      </c>
      <c r="U56" s="100">
        <v>21.9</v>
      </c>
    </row>
    <row r="57" spans="1:21" x14ac:dyDescent="0.25">
      <c r="A57" s="99">
        <v>46</v>
      </c>
      <c r="B57" s="100">
        <v>304.7</v>
      </c>
      <c r="C57" s="100">
        <v>155.4</v>
      </c>
      <c r="D57" s="100">
        <v>105.6</v>
      </c>
      <c r="E57" s="100">
        <v>80.8</v>
      </c>
      <c r="F57" s="100">
        <v>65.900000000000006</v>
      </c>
      <c r="G57" s="100">
        <v>56</v>
      </c>
      <c r="H57" s="100">
        <v>49</v>
      </c>
      <c r="I57" s="100">
        <v>43.7</v>
      </c>
      <c r="J57" s="100">
        <v>39.6</v>
      </c>
      <c r="K57" s="100">
        <v>36.4</v>
      </c>
      <c r="L57" s="100">
        <v>33.700000000000003</v>
      </c>
      <c r="M57" s="100">
        <v>31.6</v>
      </c>
      <c r="N57" s="100">
        <v>29.7</v>
      </c>
      <c r="O57" s="100">
        <v>28.2</v>
      </c>
      <c r="P57" s="100">
        <v>26.8</v>
      </c>
      <c r="Q57" s="100">
        <v>25.7</v>
      </c>
      <c r="R57" s="100">
        <v>24.7</v>
      </c>
      <c r="S57" s="100">
        <v>23.8</v>
      </c>
      <c r="T57" s="100">
        <v>23</v>
      </c>
      <c r="U57" s="100">
        <v>22.3</v>
      </c>
    </row>
    <row r="58" spans="1:21" x14ac:dyDescent="0.25">
      <c r="A58" s="99">
        <v>47</v>
      </c>
      <c r="B58" s="100">
        <v>308.60000000000002</v>
      </c>
      <c r="C58" s="100">
        <v>157.4</v>
      </c>
      <c r="D58" s="100">
        <v>107</v>
      </c>
      <c r="E58" s="100">
        <v>81.900000000000006</v>
      </c>
      <c r="F58" s="100">
        <v>66.8</v>
      </c>
      <c r="G58" s="100">
        <v>56.8</v>
      </c>
      <c r="H58" s="100">
        <v>49.7</v>
      </c>
      <c r="I58" s="100">
        <v>44.3</v>
      </c>
      <c r="J58" s="100">
        <v>40.200000000000003</v>
      </c>
      <c r="K58" s="100">
        <v>36.9</v>
      </c>
      <c r="L58" s="100">
        <v>34.299999999999997</v>
      </c>
      <c r="M58" s="100">
        <v>32.1</v>
      </c>
      <c r="N58" s="100">
        <v>30.2</v>
      </c>
      <c r="O58" s="100">
        <v>28.7</v>
      </c>
      <c r="P58" s="100">
        <v>27.3</v>
      </c>
      <c r="Q58" s="100">
        <v>26.2</v>
      </c>
      <c r="R58" s="100">
        <v>25.1</v>
      </c>
      <c r="S58" s="100">
        <v>24.2</v>
      </c>
      <c r="T58" s="100">
        <v>23.5</v>
      </c>
      <c r="U58" s="100">
        <v>22.7</v>
      </c>
    </row>
    <row r="59" spans="1:21" x14ac:dyDescent="0.25">
      <c r="A59" s="99">
        <v>48</v>
      </c>
      <c r="B59" s="100">
        <v>312.60000000000002</v>
      </c>
      <c r="C59" s="100">
        <v>159.4</v>
      </c>
      <c r="D59" s="100">
        <v>108.4</v>
      </c>
      <c r="E59" s="100">
        <v>83</v>
      </c>
      <c r="F59" s="100">
        <v>67.7</v>
      </c>
      <c r="G59" s="100">
        <v>57.6</v>
      </c>
      <c r="H59" s="100">
        <v>50.4</v>
      </c>
      <c r="I59" s="100">
        <v>45</v>
      </c>
      <c r="J59" s="100">
        <v>40.799999999999997</v>
      </c>
      <c r="K59" s="100">
        <v>37.5</v>
      </c>
      <c r="L59" s="100">
        <v>34.799999999999997</v>
      </c>
      <c r="M59" s="100">
        <v>32.6</v>
      </c>
      <c r="N59" s="100">
        <v>30.7</v>
      </c>
      <c r="O59" s="100">
        <v>29.2</v>
      </c>
      <c r="P59" s="100">
        <v>27.8</v>
      </c>
      <c r="Q59" s="100">
        <v>26.6</v>
      </c>
      <c r="R59" s="100">
        <v>25.6</v>
      </c>
      <c r="S59" s="100">
        <v>24.7</v>
      </c>
      <c r="T59" s="100">
        <v>23.9</v>
      </c>
      <c r="U59" s="100"/>
    </row>
    <row r="60" spans="1:21" x14ac:dyDescent="0.25">
      <c r="A60" s="99">
        <v>49</v>
      </c>
      <c r="B60" s="100">
        <v>316.7</v>
      </c>
      <c r="C60" s="100">
        <v>161.6</v>
      </c>
      <c r="D60" s="100">
        <v>109.9</v>
      </c>
      <c r="E60" s="100">
        <v>84.1</v>
      </c>
      <c r="F60" s="100">
        <v>68.7</v>
      </c>
      <c r="G60" s="100">
        <v>58.5</v>
      </c>
      <c r="H60" s="100">
        <v>51.2</v>
      </c>
      <c r="I60" s="100">
        <v>45.7</v>
      </c>
      <c r="J60" s="100">
        <v>41.5</v>
      </c>
      <c r="K60" s="100">
        <v>38.200000000000003</v>
      </c>
      <c r="L60" s="100">
        <v>35.4</v>
      </c>
      <c r="M60" s="100">
        <v>33.200000000000003</v>
      </c>
      <c r="N60" s="100">
        <v>31.3</v>
      </c>
      <c r="O60" s="100">
        <v>29.7</v>
      </c>
      <c r="P60" s="100">
        <v>28.3</v>
      </c>
      <c r="Q60" s="100">
        <v>27.2</v>
      </c>
      <c r="R60" s="100">
        <v>26.1</v>
      </c>
      <c r="S60" s="100">
        <v>25.2</v>
      </c>
      <c r="T60" s="100"/>
      <c r="U60" s="100"/>
    </row>
    <row r="61" spans="1:21" x14ac:dyDescent="0.25">
      <c r="A61" s="99">
        <v>50</v>
      </c>
      <c r="B61" s="100">
        <v>320.8</v>
      </c>
      <c r="C61" s="100">
        <v>163.69999999999999</v>
      </c>
      <c r="D61" s="100">
        <v>111.5</v>
      </c>
      <c r="E61" s="100">
        <v>85.4</v>
      </c>
      <c r="F61" s="100">
        <v>69.7</v>
      </c>
      <c r="G61" s="100">
        <v>59.4</v>
      </c>
      <c r="H61" s="100">
        <v>52</v>
      </c>
      <c r="I61" s="100">
        <v>46.5</v>
      </c>
      <c r="J61" s="100">
        <v>42.2</v>
      </c>
      <c r="K61" s="100">
        <v>38.799999999999997</v>
      </c>
      <c r="L61" s="100">
        <v>36.1</v>
      </c>
      <c r="M61" s="100">
        <v>33.799999999999997</v>
      </c>
      <c r="N61" s="100">
        <v>31.9</v>
      </c>
      <c r="O61" s="100">
        <v>30.3</v>
      </c>
      <c r="P61" s="100">
        <v>28.9</v>
      </c>
      <c r="Q61" s="100">
        <v>27.7</v>
      </c>
      <c r="R61" s="100">
        <v>26.6</v>
      </c>
      <c r="S61" s="100"/>
      <c r="T61" s="100"/>
      <c r="U61" s="100"/>
    </row>
    <row r="62" spans="1:21" x14ac:dyDescent="0.25">
      <c r="A62" s="99">
        <v>51</v>
      </c>
      <c r="B62" s="100">
        <v>325.10000000000002</v>
      </c>
      <c r="C62" s="100">
        <v>166</v>
      </c>
      <c r="D62" s="100">
        <v>113</v>
      </c>
      <c r="E62" s="100">
        <v>86.6</v>
      </c>
      <c r="F62" s="100">
        <v>70.8</v>
      </c>
      <c r="G62" s="100">
        <v>60.3</v>
      </c>
      <c r="H62" s="100">
        <v>52.8</v>
      </c>
      <c r="I62" s="100">
        <v>47.2</v>
      </c>
      <c r="J62" s="100">
        <v>42.9</v>
      </c>
      <c r="K62" s="100">
        <v>39.5</v>
      </c>
      <c r="L62" s="100">
        <v>36.700000000000003</v>
      </c>
      <c r="M62" s="100">
        <v>34.4</v>
      </c>
      <c r="N62" s="100">
        <v>32.5</v>
      </c>
      <c r="O62" s="100">
        <v>30.9</v>
      </c>
      <c r="P62" s="100">
        <v>29.5</v>
      </c>
      <c r="Q62" s="100">
        <v>28.2</v>
      </c>
      <c r="R62" s="100"/>
      <c r="S62" s="100"/>
      <c r="T62" s="100"/>
      <c r="U62" s="100"/>
    </row>
    <row r="63" spans="1:21" x14ac:dyDescent="0.25">
      <c r="A63" s="99">
        <v>52</v>
      </c>
      <c r="B63" s="100">
        <v>329.3</v>
      </c>
      <c r="C63" s="100">
        <v>168.2</v>
      </c>
      <c r="D63" s="100">
        <v>114.6</v>
      </c>
      <c r="E63" s="100">
        <v>87.8</v>
      </c>
      <c r="F63" s="100">
        <v>71.8</v>
      </c>
      <c r="G63" s="100">
        <v>61.2</v>
      </c>
      <c r="H63" s="100">
        <v>53.6</v>
      </c>
      <c r="I63" s="100">
        <v>48</v>
      </c>
      <c r="J63" s="100">
        <v>43.6</v>
      </c>
      <c r="K63" s="100">
        <v>40.200000000000003</v>
      </c>
      <c r="L63" s="100">
        <v>37.4</v>
      </c>
      <c r="M63" s="100">
        <v>35</v>
      </c>
      <c r="N63" s="100">
        <v>33.1</v>
      </c>
      <c r="O63" s="100">
        <v>31.4</v>
      </c>
      <c r="P63" s="100">
        <v>30</v>
      </c>
      <c r="Q63" s="100"/>
      <c r="R63" s="100"/>
      <c r="S63" s="100"/>
      <c r="T63" s="100"/>
      <c r="U63" s="100"/>
    </row>
    <row r="64" spans="1:21" x14ac:dyDescent="0.25">
      <c r="A64" s="99">
        <v>53</v>
      </c>
      <c r="B64" s="100">
        <v>333.4</v>
      </c>
      <c r="C64" s="100">
        <v>170.4</v>
      </c>
      <c r="D64" s="100">
        <v>116.2</v>
      </c>
      <c r="E64" s="100">
        <v>89.1</v>
      </c>
      <c r="F64" s="100">
        <v>72.900000000000006</v>
      </c>
      <c r="G64" s="100">
        <v>62.1</v>
      </c>
      <c r="H64" s="100">
        <v>54.5</v>
      </c>
      <c r="I64" s="100">
        <v>48.8</v>
      </c>
      <c r="J64" s="100">
        <v>44.4</v>
      </c>
      <c r="K64" s="100">
        <v>40.9</v>
      </c>
      <c r="L64" s="100">
        <v>38</v>
      </c>
      <c r="M64" s="100">
        <v>35.700000000000003</v>
      </c>
      <c r="N64" s="100">
        <v>33.700000000000003</v>
      </c>
      <c r="O64" s="100">
        <v>32</v>
      </c>
      <c r="P64" s="100"/>
      <c r="Q64" s="100"/>
      <c r="R64" s="100"/>
      <c r="S64" s="100"/>
      <c r="T64" s="100"/>
      <c r="U64" s="100"/>
    </row>
    <row r="65" spans="1:21" x14ac:dyDescent="0.25">
      <c r="A65" s="99">
        <v>54</v>
      </c>
      <c r="B65" s="100">
        <v>337.6</v>
      </c>
      <c r="C65" s="100">
        <v>172.7</v>
      </c>
      <c r="D65" s="100">
        <v>117.7</v>
      </c>
      <c r="E65" s="100">
        <v>90.3</v>
      </c>
      <c r="F65" s="100">
        <v>74</v>
      </c>
      <c r="G65" s="100">
        <v>63.1</v>
      </c>
      <c r="H65" s="100">
        <v>55.3</v>
      </c>
      <c r="I65" s="100">
        <v>49.6</v>
      </c>
      <c r="J65" s="100">
        <v>45.1</v>
      </c>
      <c r="K65" s="100">
        <v>41.6</v>
      </c>
      <c r="L65" s="100">
        <v>38.700000000000003</v>
      </c>
      <c r="M65" s="100">
        <v>36.299999999999997</v>
      </c>
      <c r="N65" s="100">
        <v>34.299999999999997</v>
      </c>
      <c r="O65" s="100"/>
      <c r="P65" s="100"/>
      <c r="Q65" s="100"/>
      <c r="R65" s="100"/>
      <c r="S65" s="100"/>
      <c r="T65" s="100"/>
      <c r="U65" s="100"/>
    </row>
    <row r="66" spans="1:21" x14ac:dyDescent="0.25">
      <c r="A66" s="99">
        <v>55</v>
      </c>
      <c r="B66" s="100">
        <v>341.9</v>
      </c>
      <c r="C66" s="100">
        <v>174.9</v>
      </c>
      <c r="D66" s="100">
        <v>119.4</v>
      </c>
      <c r="E66" s="100">
        <v>91.6</v>
      </c>
      <c r="F66" s="100">
        <v>75.099999999999994</v>
      </c>
      <c r="G66" s="100">
        <v>64</v>
      </c>
      <c r="H66" s="100">
        <v>56.2</v>
      </c>
      <c r="I66" s="100">
        <v>50.4</v>
      </c>
      <c r="J66" s="100">
        <v>45.9</v>
      </c>
      <c r="K66" s="100">
        <v>42.3</v>
      </c>
      <c r="L66" s="100">
        <v>39.4</v>
      </c>
      <c r="M66" s="100">
        <v>37</v>
      </c>
      <c r="N66" s="100"/>
      <c r="O66" s="100"/>
      <c r="P66" s="100"/>
      <c r="Q66" s="100"/>
      <c r="R66" s="100"/>
      <c r="S66" s="100"/>
      <c r="T66" s="100"/>
      <c r="U66" s="100"/>
    </row>
    <row r="67" spans="1:21" x14ac:dyDescent="0.25">
      <c r="A67" s="99">
        <v>56</v>
      </c>
      <c r="B67" s="100">
        <v>346.2</v>
      </c>
      <c r="C67" s="100">
        <v>177.2</v>
      </c>
      <c r="D67" s="100">
        <v>121</v>
      </c>
      <c r="E67" s="100">
        <v>92.9</v>
      </c>
      <c r="F67" s="100">
        <v>76.2</v>
      </c>
      <c r="G67" s="100">
        <v>65</v>
      </c>
      <c r="H67" s="100">
        <v>57.1</v>
      </c>
      <c r="I67" s="100">
        <v>51.2</v>
      </c>
      <c r="J67" s="100">
        <v>46.7</v>
      </c>
      <c r="K67" s="100">
        <v>43</v>
      </c>
      <c r="L67" s="100">
        <v>40.1</v>
      </c>
      <c r="M67" s="100"/>
      <c r="N67" s="100"/>
      <c r="O67" s="100"/>
      <c r="P67" s="100"/>
      <c r="Q67" s="100"/>
      <c r="R67" s="100"/>
      <c r="S67" s="100"/>
      <c r="T67" s="100"/>
      <c r="U67" s="100"/>
    </row>
    <row r="68" spans="1:21" x14ac:dyDescent="0.25">
      <c r="A68" s="99">
        <v>57</v>
      </c>
      <c r="B68" s="100">
        <v>350.6</v>
      </c>
      <c r="C68" s="100">
        <v>179.6</v>
      </c>
      <c r="D68" s="100">
        <v>122.7</v>
      </c>
      <c r="E68" s="100">
        <v>94.3</v>
      </c>
      <c r="F68" s="100">
        <v>77.3</v>
      </c>
      <c r="G68" s="100">
        <v>66</v>
      </c>
      <c r="H68" s="100">
        <v>58</v>
      </c>
      <c r="I68" s="100">
        <v>52.1</v>
      </c>
      <c r="J68" s="100">
        <v>47.5</v>
      </c>
      <c r="K68" s="100">
        <v>43.8</v>
      </c>
      <c r="L68" s="100"/>
      <c r="M68" s="100"/>
      <c r="N68" s="100"/>
      <c r="O68" s="100"/>
      <c r="P68" s="100"/>
      <c r="Q68" s="100"/>
      <c r="R68" s="100"/>
      <c r="S68" s="100"/>
      <c r="T68" s="100"/>
      <c r="U68" s="100"/>
    </row>
    <row r="69" spans="1:21" x14ac:dyDescent="0.25">
      <c r="A69" s="99">
        <v>58</v>
      </c>
      <c r="B69" s="100">
        <v>355.2</v>
      </c>
      <c r="C69" s="100">
        <v>182</v>
      </c>
      <c r="D69" s="100">
        <v>124.4</v>
      </c>
      <c r="E69" s="100">
        <v>95.7</v>
      </c>
      <c r="F69" s="100">
        <v>78.5</v>
      </c>
      <c r="G69" s="100">
        <v>67.099999999999994</v>
      </c>
      <c r="H69" s="100">
        <v>59</v>
      </c>
      <c r="I69" s="100">
        <v>52.9</v>
      </c>
      <c r="J69" s="100">
        <v>48.3</v>
      </c>
      <c r="K69" s="100"/>
      <c r="L69" s="100"/>
      <c r="M69" s="100"/>
      <c r="N69" s="100"/>
      <c r="O69" s="100"/>
      <c r="P69" s="100"/>
      <c r="Q69" s="100"/>
      <c r="R69" s="100"/>
      <c r="S69" s="100"/>
      <c r="T69" s="100"/>
      <c r="U69" s="100"/>
    </row>
    <row r="70" spans="1:21" x14ac:dyDescent="0.25">
      <c r="A70" s="99">
        <v>59</v>
      </c>
      <c r="B70" s="100">
        <v>359.9</v>
      </c>
      <c r="C70" s="100">
        <v>184.6</v>
      </c>
      <c r="D70" s="100">
        <v>126.2</v>
      </c>
      <c r="E70" s="100">
        <v>97.1</v>
      </c>
      <c r="F70" s="100">
        <v>79.7</v>
      </c>
      <c r="G70" s="100">
        <v>68.2</v>
      </c>
      <c r="H70" s="100">
        <v>60</v>
      </c>
      <c r="I70" s="100">
        <v>53.9</v>
      </c>
      <c r="J70" s="100"/>
      <c r="K70" s="100"/>
      <c r="L70" s="100"/>
      <c r="M70" s="100"/>
      <c r="N70" s="100"/>
      <c r="O70" s="100"/>
      <c r="P70" s="100"/>
      <c r="Q70" s="100"/>
      <c r="R70" s="100"/>
      <c r="S70" s="100"/>
      <c r="T70" s="100"/>
      <c r="U70" s="100"/>
    </row>
    <row r="71" spans="1:21" x14ac:dyDescent="0.25">
      <c r="A71" s="99">
        <v>60</v>
      </c>
      <c r="B71" s="100">
        <v>364.8</v>
      </c>
      <c r="C71" s="100">
        <v>187.2</v>
      </c>
      <c r="D71" s="100">
        <v>128.1</v>
      </c>
      <c r="E71" s="100">
        <v>98.6</v>
      </c>
      <c r="F71" s="100">
        <v>81</v>
      </c>
      <c r="G71" s="100">
        <v>69.3</v>
      </c>
      <c r="H71" s="100">
        <v>61</v>
      </c>
      <c r="I71" s="100"/>
      <c r="J71" s="100"/>
      <c r="K71" s="100"/>
      <c r="L71" s="100"/>
      <c r="M71" s="100"/>
      <c r="N71" s="100"/>
      <c r="O71" s="100"/>
      <c r="P71" s="100"/>
      <c r="Q71" s="100"/>
      <c r="R71" s="100"/>
      <c r="S71" s="100"/>
      <c r="T71" s="100"/>
      <c r="U71" s="100"/>
    </row>
    <row r="72" spans="1:21" x14ac:dyDescent="0.25">
      <c r="A72" s="99">
        <v>61</v>
      </c>
      <c r="B72" s="100">
        <v>370</v>
      </c>
      <c r="C72" s="100">
        <v>189.9</v>
      </c>
      <c r="D72" s="100">
        <v>130</v>
      </c>
      <c r="E72" s="100">
        <v>100.2</v>
      </c>
      <c r="F72" s="100">
        <v>82.3</v>
      </c>
      <c r="G72" s="100">
        <v>70.5</v>
      </c>
      <c r="H72" s="100"/>
      <c r="I72" s="100"/>
      <c r="J72" s="100"/>
      <c r="K72" s="100"/>
      <c r="L72" s="100"/>
      <c r="M72" s="100"/>
      <c r="N72" s="100"/>
      <c r="O72" s="100"/>
      <c r="P72" s="100"/>
      <c r="Q72" s="100"/>
      <c r="R72" s="100"/>
      <c r="S72" s="100"/>
      <c r="T72" s="100"/>
      <c r="U72" s="100"/>
    </row>
    <row r="73" spans="1:21" x14ac:dyDescent="0.25">
      <c r="A73" s="99">
        <v>62</v>
      </c>
      <c r="B73" s="100">
        <v>375.5</v>
      </c>
      <c r="C73" s="100">
        <v>192.9</v>
      </c>
      <c r="D73" s="100">
        <v>132.1</v>
      </c>
      <c r="E73" s="100">
        <v>101.8</v>
      </c>
      <c r="F73" s="100">
        <v>83.8</v>
      </c>
      <c r="G73" s="100"/>
      <c r="H73" s="100"/>
      <c r="I73" s="100"/>
      <c r="J73" s="100"/>
      <c r="K73" s="100"/>
      <c r="L73" s="100"/>
      <c r="M73" s="100"/>
      <c r="N73" s="100"/>
      <c r="O73" s="100"/>
      <c r="P73" s="100"/>
      <c r="Q73" s="100"/>
      <c r="R73" s="100"/>
      <c r="S73" s="100"/>
      <c r="T73" s="100"/>
      <c r="U73" s="100"/>
    </row>
    <row r="74" spans="1:21" x14ac:dyDescent="0.25">
      <c r="A74" s="99">
        <v>63</v>
      </c>
      <c r="B74" s="100">
        <v>381.3</v>
      </c>
      <c r="C74" s="100">
        <v>196</v>
      </c>
      <c r="D74" s="100">
        <v>134.30000000000001</v>
      </c>
      <c r="E74" s="100">
        <v>103.6</v>
      </c>
      <c r="F74" s="100"/>
      <c r="G74" s="100"/>
      <c r="H74" s="100"/>
      <c r="I74" s="100"/>
      <c r="J74" s="100"/>
      <c r="K74" s="100"/>
      <c r="L74" s="100"/>
      <c r="M74" s="100"/>
      <c r="N74" s="100"/>
      <c r="O74" s="100"/>
      <c r="P74" s="100"/>
      <c r="Q74" s="100"/>
      <c r="R74" s="100"/>
      <c r="S74" s="100"/>
      <c r="T74" s="100"/>
      <c r="U74" s="100"/>
    </row>
    <row r="75" spans="1:21" x14ac:dyDescent="0.25">
      <c r="A75" s="99">
        <v>64</v>
      </c>
      <c r="B75" s="100">
        <v>387.6</v>
      </c>
      <c r="C75" s="100">
        <v>199.3</v>
      </c>
      <c r="D75" s="100">
        <v>136.69999999999999</v>
      </c>
      <c r="E75" s="100"/>
      <c r="F75" s="100"/>
      <c r="G75" s="100"/>
      <c r="H75" s="100"/>
      <c r="I75" s="100"/>
      <c r="J75" s="100"/>
      <c r="K75" s="100"/>
      <c r="L75" s="100"/>
      <c r="M75" s="100"/>
      <c r="N75" s="100"/>
      <c r="O75" s="100"/>
      <c r="P75" s="100"/>
      <c r="Q75" s="100"/>
      <c r="R75" s="100"/>
      <c r="S75" s="100"/>
      <c r="T75" s="100"/>
      <c r="U75" s="100"/>
    </row>
    <row r="76" spans="1:21" x14ac:dyDescent="0.25">
      <c r="A76" s="99">
        <v>65</v>
      </c>
      <c r="B76" s="100">
        <v>394.4</v>
      </c>
      <c r="C76" s="100">
        <v>202.9</v>
      </c>
      <c r="D76" s="100"/>
      <c r="E76" s="100"/>
      <c r="F76" s="100"/>
      <c r="G76" s="100"/>
      <c r="H76" s="100"/>
      <c r="I76" s="100"/>
      <c r="J76" s="100"/>
      <c r="K76" s="100"/>
      <c r="L76" s="100"/>
      <c r="M76" s="100"/>
      <c r="N76" s="100"/>
      <c r="O76" s="100"/>
      <c r="P76" s="100"/>
      <c r="Q76" s="100"/>
      <c r="R76" s="100"/>
      <c r="S76" s="100"/>
      <c r="T76" s="100"/>
      <c r="U76" s="100"/>
    </row>
    <row r="77" spans="1:21" x14ac:dyDescent="0.25">
      <c r="A77" s="99">
        <v>66</v>
      </c>
      <c r="B77" s="100">
        <v>401.5</v>
      </c>
      <c r="C77" s="100"/>
      <c r="D77" s="100"/>
      <c r="E77" s="100"/>
      <c r="F77" s="100"/>
      <c r="G77" s="100"/>
      <c r="H77" s="100"/>
      <c r="I77" s="100"/>
      <c r="J77" s="100"/>
      <c r="K77" s="100"/>
      <c r="L77" s="100"/>
      <c r="M77" s="100"/>
      <c r="N77" s="100"/>
      <c r="O77" s="100"/>
      <c r="P77" s="100"/>
      <c r="Q77" s="100"/>
      <c r="R77" s="100"/>
      <c r="S77" s="100"/>
      <c r="T77" s="100"/>
      <c r="U77" s="100"/>
    </row>
  </sheetData>
  <sheetProtection algorithmName="SHA-512" hashValue="GM5tNUaJP4JG9Awf9nzMmiUog3hlQfLnVzNHMM4P1k0ZXhaL8WyyiijOQzqBPkvME4cBbWkE2wbUQw1zaFToVw==" saltValue="GNxjiDJuxp2klbC2PK9K0A==" spinCount="100000" sheet="1" objects="1" scenarios="1"/>
  <conditionalFormatting sqref="A6:A21">
    <cfRule type="expression" dxfId="327" priority="17" stopIfTrue="1">
      <formula>MOD(ROW(),2)=0</formula>
    </cfRule>
    <cfRule type="expression" dxfId="326" priority="18" stopIfTrue="1">
      <formula>MOD(ROW(),2)&lt;&gt;0</formula>
    </cfRule>
  </conditionalFormatting>
  <conditionalFormatting sqref="A26:A77">
    <cfRule type="expression" dxfId="325" priority="3" stopIfTrue="1">
      <formula>MOD(ROW(),2)=0</formula>
    </cfRule>
    <cfRule type="expression" dxfId="324" priority="4" stopIfTrue="1">
      <formula>MOD(ROW(),2)&lt;&gt;0</formula>
    </cfRule>
  </conditionalFormatting>
  <conditionalFormatting sqref="B17:B21">
    <cfRule type="expression" dxfId="323" priority="1" stopIfTrue="1">
      <formula>MOD(ROW(),2)=0</formula>
    </cfRule>
    <cfRule type="expression" dxfId="322" priority="2" stopIfTrue="1">
      <formula>MOD(ROW(),2)&lt;&gt;0</formula>
    </cfRule>
  </conditionalFormatting>
  <conditionalFormatting sqref="B6:U21">
    <cfRule type="expression" dxfId="321" priority="27" stopIfTrue="1">
      <formula>MOD(ROW(),2)=0</formula>
    </cfRule>
    <cfRule type="expression" dxfId="320" priority="28" stopIfTrue="1">
      <formula>MOD(ROW(),2)&lt;&gt;0</formula>
    </cfRule>
  </conditionalFormatting>
  <conditionalFormatting sqref="B26:U77">
    <cfRule type="expression" dxfId="319" priority="5" stopIfTrue="1">
      <formula>MOD(ROW(),2)=0</formula>
    </cfRule>
    <cfRule type="expression" dxfId="318" priority="6" stopIfTrue="1">
      <formula>MOD(ROW(),2)&lt;&gt;0</formula>
    </cfRule>
  </conditionalFormatting>
  <hyperlinks>
    <hyperlink ref="B24" location="Assumptions!A1" display="Assumptions" xr:uid="{97C5112A-371E-4D62-A1F3-B1C1C0D9922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105"/>
  <dimension ref="A1:U78"/>
  <sheetViews>
    <sheetView showGridLines="0" zoomScale="85" zoomScaleNormal="85" workbookViewId="0">
      <selection activeCell="A4" sqref="A4"/>
    </sheetView>
  </sheetViews>
  <sheetFormatPr defaultColWidth="10" defaultRowHeight="12.5" x14ac:dyDescent="0.25"/>
  <cols>
    <col min="1" max="1" width="31.90625" style="25" customWidth="1"/>
    <col min="2" max="21" width="22.90625" style="25" customWidth="1"/>
    <col min="22" max="16384" width="10" style="25"/>
  </cols>
  <sheetData>
    <row r="1" spans="1:21" ht="20" x14ac:dyDescent="0.4">
      <c r="A1" s="36" t="s">
        <v>0</v>
      </c>
      <c r="B1" s="37"/>
      <c r="C1" s="37"/>
      <c r="D1" s="37"/>
      <c r="E1" s="37"/>
      <c r="F1" s="37"/>
      <c r="G1" s="37"/>
      <c r="H1" s="37"/>
      <c r="I1" s="37"/>
    </row>
    <row r="2" spans="1:21" ht="15.5" x14ac:dyDescent="0.35">
      <c r="A2" s="38" t="str">
        <f>IF(title="&gt; Enter workbook title here","Enter workbook title in Cover sheet",title)</f>
        <v>NHSPS_NI - Consolidated Factor Spreadsheet</v>
      </c>
      <c r="B2" s="39"/>
      <c r="C2" s="39"/>
      <c r="D2" s="39"/>
      <c r="E2" s="39"/>
      <c r="F2" s="39"/>
      <c r="G2" s="39"/>
      <c r="H2" s="39"/>
      <c r="I2" s="39"/>
    </row>
    <row r="3" spans="1:21" ht="15.5" x14ac:dyDescent="0.35">
      <c r="A3" s="40" t="str">
        <f>TABLE_FACTOR_TYPE_1&amp;" - x-"&amp;TABLE_SERIES_NUMBER_1</f>
        <v>Added pension - x-719</v>
      </c>
      <c r="B3" s="39"/>
      <c r="C3" s="39"/>
      <c r="D3" s="39"/>
      <c r="E3" s="39"/>
      <c r="F3" s="39"/>
      <c r="G3" s="39"/>
      <c r="H3" s="39"/>
      <c r="I3" s="39"/>
    </row>
    <row r="4" spans="1:21" x14ac:dyDescent="0.25">
      <c r="A4" s="41"/>
    </row>
    <row r="6" spans="1:21" ht="13" x14ac:dyDescent="0.3">
      <c r="A6" s="163" t="s">
        <v>276</v>
      </c>
      <c r="B6" s="107" t="s">
        <v>277</v>
      </c>
      <c r="C6" s="107"/>
      <c r="D6" s="107"/>
      <c r="E6" s="107"/>
      <c r="F6" s="107"/>
      <c r="G6" s="107"/>
      <c r="H6" s="107"/>
      <c r="I6" s="107"/>
      <c r="J6" s="107"/>
      <c r="K6" s="107"/>
      <c r="L6" s="107"/>
      <c r="M6" s="107"/>
      <c r="N6" s="107"/>
      <c r="O6" s="107"/>
      <c r="P6" s="107"/>
      <c r="Q6" s="107"/>
      <c r="R6" s="107"/>
      <c r="S6" s="107"/>
      <c r="T6" s="107"/>
      <c r="U6" s="107"/>
    </row>
    <row r="7" spans="1:21" x14ac:dyDescent="0.25">
      <c r="A7" s="69" t="s">
        <v>278</v>
      </c>
      <c r="B7" s="107" t="s">
        <v>310</v>
      </c>
      <c r="C7" s="107"/>
      <c r="D7" s="107"/>
      <c r="E7" s="107"/>
      <c r="F7" s="107"/>
      <c r="G7" s="107"/>
      <c r="H7" s="107"/>
      <c r="I7" s="107"/>
      <c r="J7" s="107"/>
      <c r="K7" s="107"/>
      <c r="L7" s="107"/>
      <c r="M7" s="107"/>
      <c r="N7" s="107"/>
      <c r="O7" s="107"/>
      <c r="P7" s="107"/>
      <c r="Q7" s="107"/>
      <c r="R7" s="107"/>
      <c r="S7" s="107"/>
      <c r="T7" s="107"/>
      <c r="U7" s="107"/>
    </row>
    <row r="8" spans="1:21" x14ac:dyDescent="0.25">
      <c r="A8" s="69" t="s">
        <v>280</v>
      </c>
      <c r="B8" s="107" t="s">
        <v>513</v>
      </c>
      <c r="C8" s="107"/>
      <c r="D8" s="107"/>
      <c r="E8" s="107"/>
      <c r="F8" s="107"/>
      <c r="G8" s="107"/>
      <c r="H8" s="107"/>
      <c r="I8" s="107"/>
      <c r="J8" s="107"/>
      <c r="K8" s="107"/>
      <c r="L8" s="107"/>
      <c r="M8" s="107"/>
      <c r="N8" s="107"/>
      <c r="O8" s="107"/>
      <c r="P8" s="107"/>
      <c r="Q8" s="107"/>
      <c r="R8" s="107"/>
      <c r="S8" s="107"/>
      <c r="T8" s="107"/>
      <c r="U8" s="107"/>
    </row>
    <row r="9" spans="1:21" x14ac:dyDescent="0.25">
      <c r="A9" s="69" t="s">
        <v>282</v>
      </c>
      <c r="B9" s="107" t="s">
        <v>514</v>
      </c>
      <c r="C9" s="107"/>
      <c r="D9" s="107"/>
      <c r="E9" s="107"/>
      <c r="F9" s="107"/>
      <c r="G9" s="107"/>
      <c r="H9" s="107"/>
      <c r="I9" s="107"/>
      <c r="J9" s="107"/>
      <c r="K9" s="107"/>
      <c r="L9" s="107"/>
      <c r="M9" s="107"/>
      <c r="N9" s="107"/>
      <c r="O9" s="107"/>
      <c r="P9" s="107"/>
      <c r="Q9" s="107"/>
      <c r="R9" s="107"/>
      <c r="S9" s="107"/>
      <c r="T9" s="107"/>
      <c r="U9" s="107"/>
    </row>
    <row r="10" spans="1:21" x14ac:dyDescent="0.25">
      <c r="A10" s="69" t="s">
        <v>6</v>
      </c>
      <c r="B10" s="107" t="s">
        <v>565</v>
      </c>
      <c r="C10" s="107"/>
      <c r="D10" s="107"/>
      <c r="E10" s="107"/>
      <c r="F10" s="107"/>
      <c r="G10" s="107"/>
      <c r="H10" s="107"/>
      <c r="I10" s="107"/>
      <c r="J10" s="107"/>
      <c r="K10" s="107"/>
      <c r="L10" s="107"/>
      <c r="M10" s="107"/>
      <c r="N10" s="107"/>
      <c r="O10" s="107"/>
      <c r="P10" s="107"/>
      <c r="Q10" s="107"/>
      <c r="R10" s="107"/>
      <c r="S10" s="107"/>
      <c r="T10" s="107"/>
      <c r="U10" s="107"/>
    </row>
    <row r="11" spans="1:21" x14ac:dyDescent="0.25">
      <c r="A11" s="69" t="s">
        <v>285</v>
      </c>
      <c r="B11" s="107" t="s">
        <v>359</v>
      </c>
      <c r="C11" s="107"/>
      <c r="D11" s="107"/>
      <c r="E11" s="107"/>
      <c r="F11" s="107"/>
      <c r="G11" s="107"/>
      <c r="H11" s="107"/>
      <c r="I11" s="107"/>
      <c r="J11" s="107"/>
      <c r="K11" s="107"/>
      <c r="L11" s="107"/>
      <c r="M11" s="107"/>
      <c r="N11" s="107"/>
      <c r="O11" s="107"/>
      <c r="P11" s="107"/>
      <c r="Q11" s="107"/>
      <c r="R11" s="107"/>
      <c r="S11" s="107"/>
      <c r="T11" s="107"/>
      <c r="U11" s="107"/>
    </row>
    <row r="12" spans="1:21" x14ac:dyDescent="0.25">
      <c r="A12" s="69" t="s">
        <v>287</v>
      </c>
      <c r="B12" s="107" t="s">
        <v>520</v>
      </c>
      <c r="C12" s="107"/>
      <c r="D12" s="107"/>
      <c r="E12" s="107"/>
      <c r="F12" s="107"/>
      <c r="G12" s="107"/>
      <c r="H12" s="107"/>
      <c r="I12" s="107"/>
      <c r="J12" s="107"/>
      <c r="K12" s="107"/>
      <c r="L12" s="107"/>
      <c r="M12" s="107"/>
      <c r="N12" s="107"/>
      <c r="O12" s="107"/>
      <c r="P12" s="107"/>
      <c r="Q12" s="107"/>
      <c r="R12" s="107"/>
      <c r="S12" s="107"/>
      <c r="T12" s="107"/>
      <c r="U12" s="107"/>
    </row>
    <row r="13" spans="1:21" x14ac:dyDescent="0.25">
      <c r="A13" s="69" t="s">
        <v>289</v>
      </c>
      <c r="B13" s="107">
        <v>0</v>
      </c>
      <c r="C13" s="107"/>
      <c r="D13" s="107"/>
      <c r="E13" s="107"/>
      <c r="F13" s="107"/>
      <c r="G13" s="107"/>
      <c r="H13" s="107"/>
      <c r="I13" s="107"/>
      <c r="J13" s="107"/>
      <c r="K13" s="107"/>
      <c r="L13" s="107"/>
      <c r="M13" s="107"/>
      <c r="N13" s="107"/>
      <c r="O13" s="107"/>
      <c r="P13" s="107"/>
      <c r="Q13" s="107"/>
      <c r="R13" s="107"/>
      <c r="S13" s="107"/>
      <c r="T13" s="107"/>
      <c r="U13" s="107"/>
    </row>
    <row r="14" spans="1:21" x14ac:dyDescent="0.25">
      <c r="A14" s="69" t="s">
        <v>291</v>
      </c>
      <c r="B14" s="107">
        <v>719</v>
      </c>
      <c r="C14" s="107"/>
      <c r="D14" s="107"/>
      <c r="E14" s="107"/>
      <c r="F14" s="107"/>
      <c r="G14" s="107"/>
      <c r="H14" s="107"/>
      <c r="I14" s="107"/>
      <c r="J14" s="107"/>
      <c r="K14" s="107"/>
      <c r="L14" s="107"/>
      <c r="M14" s="107"/>
      <c r="N14" s="107"/>
      <c r="O14" s="107"/>
      <c r="P14" s="107"/>
      <c r="Q14" s="107"/>
      <c r="R14" s="107"/>
      <c r="S14" s="107"/>
      <c r="T14" s="107"/>
      <c r="U14" s="107"/>
    </row>
    <row r="15" spans="1:21" x14ac:dyDescent="0.25">
      <c r="A15" s="69" t="s">
        <v>293</v>
      </c>
      <c r="B15" s="107" t="s">
        <v>566</v>
      </c>
      <c r="C15" s="107"/>
      <c r="D15" s="107"/>
      <c r="E15" s="107"/>
      <c r="F15" s="107"/>
      <c r="G15" s="107"/>
      <c r="H15" s="107"/>
      <c r="I15" s="107"/>
      <c r="J15" s="107"/>
      <c r="K15" s="107"/>
      <c r="L15" s="107"/>
      <c r="M15" s="107"/>
      <c r="N15" s="107"/>
      <c r="O15" s="107"/>
      <c r="P15" s="107"/>
      <c r="Q15" s="107"/>
      <c r="R15" s="107"/>
      <c r="S15" s="107"/>
      <c r="T15" s="107"/>
      <c r="U15" s="107"/>
    </row>
    <row r="16" spans="1:21" x14ac:dyDescent="0.25">
      <c r="A16" s="69" t="s">
        <v>295</v>
      </c>
      <c r="B16" s="107" t="s">
        <v>567</v>
      </c>
      <c r="C16" s="107"/>
      <c r="D16" s="107"/>
      <c r="E16" s="107"/>
      <c r="F16" s="107"/>
      <c r="G16" s="107"/>
      <c r="H16" s="107"/>
      <c r="I16" s="107"/>
      <c r="J16" s="107"/>
      <c r="K16" s="107"/>
      <c r="L16" s="107"/>
      <c r="M16" s="107"/>
      <c r="N16" s="107"/>
      <c r="O16" s="107"/>
      <c r="P16" s="107"/>
      <c r="Q16" s="107"/>
      <c r="R16" s="107"/>
      <c r="S16" s="107"/>
      <c r="T16" s="107"/>
      <c r="U16" s="107"/>
    </row>
    <row r="17" spans="1:21" x14ac:dyDescent="0.25">
      <c r="A17" s="69" t="s">
        <v>725</v>
      </c>
      <c r="B17" s="107"/>
      <c r="C17" s="107"/>
      <c r="D17" s="107"/>
      <c r="E17" s="107"/>
      <c r="F17" s="107"/>
      <c r="G17" s="107"/>
      <c r="H17" s="107"/>
      <c r="I17" s="107"/>
      <c r="J17" s="107"/>
      <c r="K17" s="107"/>
      <c r="L17" s="107"/>
      <c r="M17" s="107"/>
      <c r="N17" s="107"/>
      <c r="O17" s="107"/>
      <c r="P17" s="107"/>
      <c r="Q17" s="107"/>
      <c r="R17" s="107"/>
      <c r="S17" s="107"/>
      <c r="T17" s="107"/>
      <c r="U17" s="107"/>
    </row>
    <row r="18" spans="1:21" x14ac:dyDescent="0.25">
      <c r="A18" s="85" t="s">
        <v>299</v>
      </c>
      <c r="B18" s="164">
        <v>45202</v>
      </c>
      <c r="C18" s="107"/>
      <c r="D18" s="107"/>
      <c r="E18" s="107"/>
      <c r="F18" s="107"/>
      <c r="G18" s="107"/>
      <c r="H18" s="107"/>
      <c r="I18" s="107"/>
      <c r="J18" s="107"/>
      <c r="K18" s="107"/>
      <c r="L18" s="107"/>
      <c r="M18" s="107"/>
      <c r="N18" s="107"/>
      <c r="O18" s="107"/>
      <c r="P18" s="107"/>
      <c r="Q18" s="107"/>
      <c r="R18" s="107"/>
      <c r="S18" s="107"/>
      <c r="T18" s="107"/>
      <c r="U18" s="107"/>
    </row>
    <row r="19" spans="1:21" x14ac:dyDescent="0.25">
      <c r="A19" s="85" t="s">
        <v>301</v>
      </c>
      <c r="B19" s="164">
        <v>45202</v>
      </c>
      <c r="C19" s="107"/>
      <c r="D19" s="107"/>
      <c r="E19" s="107"/>
      <c r="F19" s="107"/>
      <c r="G19" s="107"/>
      <c r="H19" s="107"/>
      <c r="I19" s="107"/>
      <c r="J19" s="107"/>
      <c r="K19" s="107"/>
      <c r="L19" s="107"/>
      <c r="M19" s="107"/>
      <c r="N19" s="107"/>
      <c r="O19" s="107"/>
      <c r="P19" s="107"/>
      <c r="Q19" s="107"/>
      <c r="R19" s="107"/>
      <c r="S19" s="107"/>
      <c r="T19" s="107"/>
      <c r="U19" s="107"/>
    </row>
    <row r="20" spans="1:21" x14ac:dyDescent="0.25">
      <c r="A20" s="85" t="s">
        <v>303</v>
      </c>
      <c r="B20" s="107" t="s">
        <v>317</v>
      </c>
      <c r="C20" s="107"/>
      <c r="D20" s="107"/>
      <c r="E20" s="107"/>
      <c r="F20" s="107"/>
      <c r="G20" s="107"/>
      <c r="H20" s="107"/>
      <c r="I20" s="107"/>
      <c r="J20" s="107"/>
      <c r="K20" s="107"/>
      <c r="L20" s="107"/>
      <c r="M20" s="107"/>
      <c r="N20" s="107"/>
      <c r="O20" s="107"/>
      <c r="P20" s="107"/>
      <c r="Q20" s="107"/>
      <c r="R20" s="107"/>
      <c r="S20" s="107"/>
      <c r="T20" s="107"/>
      <c r="U20" s="107"/>
    </row>
    <row r="21" spans="1:21" x14ac:dyDescent="0.25">
      <c r="A21" s="85" t="s">
        <v>309</v>
      </c>
      <c r="B21" s="107" t="s">
        <v>318</v>
      </c>
      <c r="C21" s="107"/>
      <c r="D21" s="107"/>
      <c r="E21" s="107"/>
      <c r="F21" s="107"/>
      <c r="G21" s="107"/>
      <c r="H21" s="107"/>
      <c r="I21" s="107"/>
      <c r="J21" s="107"/>
      <c r="K21" s="107"/>
      <c r="L21" s="107"/>
      <c r="M21" s="107"/>
      <c r="N21" s="107"/>
      <c r="O21" s="107"/>
      <c r="P21" s="107"/>
      <c r="Q21" s="107"/>
      <c r="R21" s="107"/>
      <c r="S21" s="107"/>
      <c r="T21" s="107"/>
      <c r="U21" s="107"/>
    </row>
    <row r="23" spans="1:21" x14ac:dyDescent="0.25">
      <c r="B23" s="103" t="str">
        <f>HYPERLINK("#'Factor List'!A1","Back to Factor List")</f>
        <v>Back to Factor List</v>
      </c>
    </row>
    <row r="24" spans="1:21" x14ac:dyDescent="0.25">
      <c r="B24" s="103" t="s">
        <v>15</v>
      </c>
    </row>
    <row r="26" spans="1:21" ht="13" x14ac:dyDescent="0.25">
      <c r="A26" s="98" t="s">
        <v>408</v>
      </c>
      <c r="B26" s="98" t="s">
        <v>778</v>
      </c>
      <c r="C26" s="98" t="s">
        <v>779</v>
      </c>
      <c r="D26" s="98" t="s">
        <v>780</v>
      </c>
      <c r="E26" s="98" t="s">
        <v>781</v>
      </c>
      <c r="F26" s="98" t="s">
        <v>782</v>
      </c>
      <c r="G26" s="98" t="s">
        <v>783</v>
      </c>
      <c r="H26" s="98" t="s">
        <v>784</v>
      </c>
      <c r="I26" s="98" t="s">
        <v>785</v>
      </c>
      <c r="J26" s="98" t="s">
        <v>786</v>
      </c>
      <c r="K26" s="98" t="s">
        <v>787</v>
      </c>
      <c r="L26" s="98" t="s">
        <v>788</v>
      </c>
      <c r="M26" s="98" t="s">
        <v>789</v>
      </c>
      <c r="N26" s="98" t="s">
        <v>790</v>
      </c>
      <c r="O26" s="98" t="s">
        <v>791</v>
      </c>
      <c r="P26" s="98" t="s">
        <v>792</v>
      </c>
      <c r="Q26" s="98" t="s">
        <v>793</v>
      </c>
      <c r="R26" s="98" t="s">
        <v>794</v>
      </c>
      <c r="S26" s="98" t="s">
        <v>795</v>
      </c>
      <c r="T26" s="98" t="s">
        <v>796</v>
      </c>
      <c r="U26" s="98" t="s">
        <v>797</v>
      </c>
    </row>
    <row r="27" spans="1:21" x14ac:dyDescent="0.25">
      <c r="A27" s="99">
        <v>16</v>
      </c>
      <c r="B27" s="100">
        <v>194.5</v>
      </c>
      <c r="C27" s="100">
        <v>99</v>
      </c>
      <c r="D27" s="100">
        <v>67.2</v>
      </c>
      <c r="E27" s="100">
        <v>51.4</v>
      </c>
      <c r="F27" s="100">
        <v>41.8</v>
      </c>
      <c r="G27" s="100">
        <v>35.5</v>
      </c>
      <c r="H27" s="100">
        <v>31</v>
      </c>
      <c r="I27" s="100">
        <v>27.6</v>
      </c>
      <c r="J27" s="100">
        <v>24.9</v>
      </c>
      <c r="K27" s="100">
        <v>22.8</v>
      </c>
      <c r="L27" s="100">
        <v>21.1</v>
      </c>
      <c r="M27" s="100">
        <v>19.7</v>
      </c>
      <c r="N27" s="100">
        <v>18.5</v>
      </c>
      <c r="O27" s="100">
        <v>17.5</v>
      </c>
      <c r="P27" s="100">
        <v>16.600000000000001</v>
      </c>
      <c r="Q27" s="100">
        <v>15.8</v>
      </c>
      <c r="R27" s="100">
        <v>15.1</v>
      </c>
      <c r="S27" s="100">
        <v>14.5</v>
      </c>
      <c r="T27" s="100">
        <v>14</v>
      </c>
      <c r="U27" s="100">
        <v>13.5</v>
      </c>
    </row>
    <row r="28" spans="1:21" x14ac:dyDescent="0.25">
      <c r="A28" s="99">
        <v>17</v>
      </c>
      <c r="B28" s="100">
        <v>197.5</v>
      </c>
      <c r="C28" s="100">
        <v>100.6</v>
      </c>
      <c r="D28" s="100">
        <v>68.3</v>
      </c>
      <c r="E28" s="100">
        <v>52.2</v>
      </c>
      <c r="F28" s="100">
        <v>42.5</v>
      </c>
      <c r="G28" s="100">
        <v>36</v>
      </c>
      <c r="H28" s="100">
        <v>31.4</v>
      </c>
      <c r="I28" s="100">
        <v>28</v>
      </c>
      <c r="J28" s="100">
        <v>25.3</v>
      </c>
      <c r="K28" s="100">
        <v>23.2</v>
      </c>
      <c r="L28" s="100">
        <v>21.5</v>
      </c>
      <c r="M28" s="100">
        <v>20</v>
      </c>
      <c r="N28" s="100">
        <v>18.8</v>
      </c>
      <c r="O28" s="100">
        <v>17.8</v>
      </c>
      <c r="P28" s="100">
        <v>16.899999999999999</v>
      </c>
      <c r="Q28" s="100">
        <v>16.100000000000001</v>
      </c>
      <c r="R28" s="100">
        <v>15.4</v>
      </c>
      <c r="S28" s="100">
        <v>14.8</v>
      </c>
      <c r="T28" s="100">
        <v>14.2</v>
      </c>
      <c r="U28" s="100">
        <v>13.7</v>
      </c>
    </row>
    <row r="29" spans="1:21" x14ac:dyDescent="0.25">
      <c r="A29" s="99">
        <v>18</v>
      </c>
      <c r="B29" s="100">
        <v>200.9</v>
      </c>
      <c r="C29" s="100">
        <v>102.3</v>
      </c>
      <c r="D29" s="100">
        <v>69.5</v>
      </c>
      <c r="E29" s="100">
        <v>53</v>
      </c>
      <c r="F29" s="100">
        <v>43.2</v>
      </c>
      <c r="G29" s="100">
        <v>36.700000000000003</v>
      </c>
      <c r="H29" s="100">
        <v>32</v>
      </c>
      <c r="I29" s="100">
        <v>28.5</v>
      </c>
      <c r="J29" s="100">
        <v>25.8</v>
      </c>
      <c r="K29" s="100">
        <v>23.6</v>
      </c>
      <c r="L29" s="100">
        <v>21.8</v>
      </c>
      <c r="M29" s="100">
        <v>20.399999999999999</v>
      </c>
      <c r="N29" s="100">
        <v>19.100000000000001</v>
      </c>
      <c r="O29" s="100">
        <v>18.100000000000001</v>
      </c>
      <c r="P29" s="100">
        <v>17.100000000000001</v>
      </c>
      <c r="Q29" s="100">
        <v>16.3</v>
      </c>
      <c r="R29" s="100">
        <v>15.6</v>
      </c>
      <c r="S29" s="100">
        <v>15</v>
      </c>
      <c r="T29" s="100">
        <v>14.5</v>
      </c>
      <c r="U29" s="100">
        <v>14</v>
      </c>
    </row>
    <row r="30" spans="1:21" x14ac:dyDescent="0.25">
      <c r="A30" s="99">
        <v>19</v>
      </c>
      <c r="B30" s="100">
        <v>204.1</v>
      </c>
      <c r="C30" s="100">
        <v>104</v>
      </c>
      <c r="D30" s="100">
        <v>70.599999999999994</v>
      </c>
      <c r="E30" s="100">
        <v>53.9</v>
      </c>
      <c r="F30" s="100">
        <v>43.9</v>
      </c>
      <c r="G30" s="100">
        <v>37.299999999999997</v>
      </c>
      <c r="H30" s="100">
        <v>32.5</v>
      </c>
      <c r="I30" s="100">
        <v>28.9</v>
      </c>
      <c r="J30" s="100">
        <v>26.2</v>
      </c>
      <c r="K30" s="100">
        <v>24</v>
      </c>
      <c r="L30" s="100">
        <v>22.2</v>
      </c>
      <c r="M30" s="100">
        <v>20.7</v>
      </c>
      <c r="N30" s="100">
        <v>19.399999999999999</v>
      </c>
      <c r="O30" s="100">
        <v>18.399999999999999</v>
      </c>
      <c r="P30" s="100">
        <v>17.399999999999999</v>
      </c>
      <c r="Q30" s="100">
        <v>16.600000000000001</v>
      </c>
      <c r="R30" s="100">
        <v>15.9</v>
      </c>
      <c r="S30" s="100">
        <v>15.3</v>
      </c>
      <c r="T30" s="100">
        <v>14.7</v>
      </c>
      <c r="U30" s="100">
        <v>14.2</v>
      </c>
    </row>
    <row r="31" spans="1:21" x14ac:dyDescent="0.25">
      <c r="A31" s="99">
        <v>20</v>
      </c>
      <c r="B31" s="100">
        <v>207</v>
      </c>
      <c r="C31" s="100">
        <v>105.4</v>
      </c>
      <c r="D31" s="100">
        <v>71.599999999999994</v>
      </c>
      <c r="E31" s="100">
        <v>54.7</v>
      </c>
      <c r="F31" s="100">
        <v>44.5</v>
      </c>
      <c r="G31" s="100">
        <v>37.799999999999997</v>
      </c>
      <c r="H31" s="100">
        <v>33</v>
      </c>
      <c r="I31" s="100">
        <v>29.4</v>
      </c>
      <c r="J31" s="100">
        <v>26.6</v>
      </c>
      <c r="K31" s="100">
        <v>24.3</v>
      </c>
      <c r="L31" s="100">
        <v>22.5</v>
      </c>
      <c r="M31" s="100">
        <v>21</v>
      </c>
      <c r="N31" s="100">
        <v>19.7</v>
      </c>
      <c r="O31" s="100">
        <v>18.600000000000001</v>
      </c>
      <c r="P31" s="100">
        <v>17.7</v>
      </c>
      <c r="Q31" s="100">
        <v>16.899999999999999</v>
      </c>
      <c r="R31" s="100">
        <v>16.100000000000001</v>
      </c>
      <c r="S31" s="100">
        <v>15.5</v>
      </c>
      <c r="T31" s="100">
        <v>14.9</v>
      </c>
      <c r="U31" s="100">
        <v>14.4</v>
      </c>
    </row>
    <row r="32" spans="1:21" x14ac:dyDescent="0.25">
      <c r="A32" s="99">
        <v>21</v>
      </c>
      <c r="B32" s="100">
        <v>209.9</v>
      </c>
      <c r="C32" s="100">
        <v>106.9</v>
      </c>
      <c r="D32" s="100">
        <v>72.599999999999994</v>
      </c>
      <c r="E32" s="100">
        <v>55.4</v>
      </c>
      <c r="F32" s="100">
        <v>45.2</v>
      </c>
      <c r="G32" s="100">
        <v>38.299999999999997</v>
      </c>
      <c r="H32" s="100">
        <v>33.4</v>
      </c>
      <c r="I32" s="100">
        <v>29.8</v>
      </c>
      <c r="J32" s="100">
        <v>26.9</v>
      </c>
      <c r="K32" s="100">
        <v>24.7</v>
      </c>
      <c r="L32" s="100">
        <v>22.8</v>
      </c>
      <c r="M32" s="100">
        <v>21.3</v>
      </c>
      <c r="N32" s="100">
        <v>20</v>
      </c>
      <c r="O32" s="100">
        <v>18.899999999999999</v>
      </c>
      <c r="P32" s="100">
        <v>17.899999999999999</v>
      </c>
      <c r="Q32" s="100">
        <v>17.100000000000001</v>
      </c>
      <c r="R32" s="100">
        <v>16.399999999999999</v>
      </c>
      <c r="S32" s="100">
        <v>15.7</v>
      </c>
      <c r="T32" s="100">
        <v>15.1</v>
      </c>
      <c r="U32" s="100">
        <v>14.6</v>
      </c>
    </row>
    <row r="33" spans="1:21" x14ac:dyDescent="0.25">
      <c r="A33" s="99">
        <v>22</v>
      </c>
      <c r="B33" s="100">
        <v>212.8</v>
      </c>
      <c r="C33" s="100">
        <v>108.4</v>
      </c>
      <c r="D33" s="100">
        <v>73.599999999999994</v>
      </c>
      <c r="E33" s="100">
        <v>56.2</v>
      </c>
      <c r="F33" s="100">
        <v>45.8</v>
      </c>
      <c r="G33" s="100">
        <v>38.799999999999997</v>
      </c>
      <c r="H33" s="100">
        <v>33.9</v>
      </c>
      <c r="I33" s="100">
        <v>30.2</v>
      </c>
      <c r="J33" s="100">
        <v>27.3</v>
      </c>
      <c r="K33" s="100">
        <v>25</v>
      </c>
      <c r="L33" s="100">
        <v>23.1</v>
      </c>
      <c r="M33" s="100">
        <v>21.6</v>
      </c>
      <c r="N33" s="100">
        <v>20.3</v>
      </c>
      <c r="O33" s="100">
        <v>19.100000000000001</v>
      </c>
      <c r="P33" s="100">
        <v>18.2</v>
      </c>
      <c r="Q33" s="100">
        <v>17.3</v>
      </c>
      <c r="R33" s="100">
        <v>16.600000000000001</v>
      </c>
      <c r="S33" s="100">
        <v>15.9</v>
      </c>
      <c r="T33" s="100">
        <v>15.4</v>
      </c>
      <c r="U33" s="100">
        <v>14.8</v>
      </c>
    </row>
    <row r="34" spans="1:21" x14ac:dyDescent="0.25">
      <c r="A34" s="99">
        <v>23</v>
      </c>
      <c r="B34" s="100">
        <v>215.8</v>
      </c>
      <c r="C34" s="100">
        <v>109.9</v>
      </c>
      <c r="D34" s="100">
        <v>74.599999999999994</v>
      </c>
      <c r="E34" s="100">
        <v>57</v>
      </c>
      <c r="F34" s="100">
        <v>46.4</v>
      </c>
      <c r="G34" s="100">
        <v>39.4</v>
      </c>
      <c r="H34" s="100">
        <v>34.4</v>
      </c>
      <c r="I34" s="100">
        <v>30.6</v>
      </c>
      <c r="J34" s="100">
        <v>27.7</v>
      </c>
      <c r="K34" s="100">
        <v>25.4</v>
      </c>
      <c r="L34" s="100">
        <v>23.5</v>
      </c>
      <c r="M34" s="100">
        <v>21.9</v>
      </c>
      <c r="N34" s="100">
        <v>20.6</v>
      </c>
      <c r="O34" s="100">
        <v>19.399999999999999</v>
      </c>
      <c r="P34" s="100">
        <v>18.399999999999999</v>
      </c>
      <c r="Q34" s="100">
        <v>17.600000000000001</v>
      </c>
      <c r="R34" s="100">
        <v>16.8</v>
      </c>
      <c r="S34" s="100">
        <v>16.2</v>
      </c>
      <c r="T34" s="100">
        <v>15.6</v>
      </c>
      <c r="U34" s="100">
        <v>15</v>
      </c>
    </row>
    <row r="35" spans="1:21" x14ac:dyDescent="0.25">
      <c r="A35" s="99">
        <v>24</v>
      </c>
      <c r="B35" s="100">
        <v>218.8</v>
      </c>
      <c r="C35" s="100">
        <v>111.4</v>
      </c>
      <c r="D35" s="100">
        <v>75.7</v>
      </c>
      <c r="E35" s="100">
        <v>57.8</v>
      </c>
      <c r="F35" s="100">
        <v>47.1</v>
      </c>
      <c r="G35" s="100">
        <v>39.9</v>
      </c>
      <c r="H35" s="100">
        <v>34.799999999999997</v>
      </c>
      <c r="I35" s="100">
        <v>31</v>
      </c>
      <c r="J35" s="100">
        <v>28.1</v>
      </c>
      <c r="K35" s="100">
        <v>25.7</v>
      </c>
      <c r="L35" s="100">
        <v>23.8</v>
      </c>
      <c r="M35" s="100">
        <v>22.2</v>
      </c>
      <c r="N35" s="100">
        <v>20.8</v>
      </c>
      <c r="O35" s="100">
        <v>19.7</v>
      </c>
      <c r="P35" s="100">
        <v>18.7</v>
      </c>
      <c r="Q35" s="100">
        <v>17.8</v>
      </c>
      <c r="R35" s="100">
        <v>17.100000000000001</v>
      </c>
      <c r="S35" s="100">
        <v>16.399999999999999</v>
      </c>
      <c r="T35" s="100">
        <v>15.8</v>
      </c>
      <c r="U35" s="100">
        <v>15.3</v>
      </c>
    </row>
    <row r="36" spans="1:21" x14ac:dyDescent="0.25">
      <c r="A36" s="99">
        <v>25</v>
      </c>
      <c r="B36" s="100">
        <v>221.8</v>
      </c>
      <c r="C36" s="100">
        <v>113</v>
      </c>
      <c r="D36" s="100">
        <v>76.7</v>
      </c>
      <c r="E36" s="100">
        <v>58.6</v>
      </c>
      <c r="F36" s="100">
        <v>47.7</v>
      </c>
      <c r="G36" s="100">
        <v>40.5</v>
      </c>
      <c r="H36" s="100">
        <v>35.299999999999997</v>
      </c>
      <c r="I36" s="100">
        <v>31.5</v>
      </c>
      <c r="J36" s="100">
        <v>28.5</v>
      </c>
      <c r="K36" s="100">
        <v>26.1</v>
      </c>
      <c r="L36" s="100">
        <v>24.1</v>
      </c>
      <c r="M36" s="100">
        <v>22.5</v>
      </c>
      <c r="N36" s="100">
        <v>21.1</v>
      </c>
      <c r="O36" s="100">
        <v>20</v>
      </c>
      <c r="P36" s="100">
        <v>19</v>
      </c>
      <c r="Q36" s="100">
        <v>18.100000000000001</v>
      </c>
      <c r="R36" s="100">
        <v>17.3</v>
      </c>
      <c r="S36" s="100">
        <v>16.600000000000001</v>
      </c>
      <c r="T36" s="100">
        <v>16</v>
      </c>
      <c r="U36" s="100">
        <v>15.5</v>
      </c>
    </row>
    <row r="37" spans="1:21" x14ac:dyDescent="0.25">
      <c r="A37" s="99">
        <v>26</v>
      </c>
      <c r="B37" s="100">
        <v>224.9</v>
      </c>
      <c r="C37" s="100">
        <v>114.5</v>
      </c>
      <c r="D37" s="100">
        <v>77.8</v>
      </c>
      <c r="E37" s="100">
        <v>59.4</v>
      </c>
      <c r="F37" s="100">
        <v>48.4</v>
      </c>
      <c r="G37" s="100">
        <v>41.1</v>
      </c>
      <c r="H37" s="100">
        <v>35.799999999999997</v>
      </c>
      <c r="I37" s="100">
        <v>31.9</v>
      </c>
      <c r="J37" s="100">
        <v>28.9</v>
      </c>
      <c r="K37" s="100">
        <v>26.4</v>
      </c>
      <c r="L37" s="100">
        <v>24.5</v>
      </c>
      <c r="M37" s="100">
        <v>22.8</v>
      </c>
      <c r="N37" s="100">
        <v>21.4</v>
      </c>
      <c r="O37" s="100">
        <v>20.3</v>
      </c>
      <c r="P37" s="100">
        <v>19.2</v>
      </c>
      <c r="Q37" s="100">
        <v>18.3</v>
      </c>
      <c r="R37" s="100">
        <v>17.600000000000001</v>
      </c>
      <c r="S37" s="100">
        <v>16.899999999999999</v>
      </c>
      <c r="T37" s="100">
        <v>16.3</v>
      </c>
      <c r="U37" s="100">
        <v>15.7</v>
      </c>
    </row>
    <row r="38" spans="1:21" x14ac:dyDescent="0.25">
      <c r="A38" s="99">
        <v>27</v>
      </c>
      <c r="B38" s="100">
        <v>228</v>
      </c>
      <c r="C38" s="100">
        <v>116.1</v>
      </c>
      <c r="D38" s="100">
        <v>78.8</v>
      </c>
      <c r="E38" s="100">
        <v>60.2</v>
      </c>
      <c r="F38" s="100">
        <v>49.1</v>
      </c>
      <c r="G38" s="100">
        <v>41.6</v>
      </c>
      <c r="H38" s="100">
        <v>36.299999999999997</v>
      </c>
      <c r="I38" s="100">
        <v>32.4</v>
      </c>
      <c r="J38" s="100">
        <v>29.3</v>
      </c>
      <c r="K38" s="100">
        <v>26.8</v>
      </c>
      <c r="L38" s="100">
        <v>24.8</v>
      </c>
      <c r="M38" s="100">
        <v>23.1</v>
      </c>
      <c r="N38" s="100">
        <v>21.7</v>
      </c>
      <c r="O38" s="100">
        <v>20.5</v>
      </c>
      <c r="P38" s="100">
        <v>19.5</v>
      </c>
      <c r="Q38" s="100">
        <v>18.600000000000001</v>
      </c>
      <c r="R38" s="100">
        <v>17.8</v>
      </c>
      <c r="S38" s="100">
        <v>17.100000000000001</v>
      </c>
      <c r="T38" s="100">
        <v>16.5</v>
      </c>
      <c r="U38" s="100">
        <v>15.9</v>
      </c>
    </row>
    <row r="39" spans="1:21" x14ac:dyDescent="0.25">
      <c r="A39" s="99">
        <v>28</v>
      </c>
      <c r="B39" s="100">
        <v>231.1</v>
      </c>
      <c r="C39" s="100">
        <v>117.7</v>
      </c>
      <c r="D39" s="100">
        <v>79.900000000000006</v>
      </c>
      <c r="E39" s="100">
        <v>61</v>
      </c>
      <c r="F39" s="100">
        <v>49.7</v>
      </c>
      <c r="G39" s="100">
        <v>42.2</v>
      </c>
      <c r="H39" s="100">
        <v>36.799999999999997</v>
      </c>
      <c r="I39" s="100">
        <v>32.799999999999997</v>
      </c>
      <c r="J39" s="100">
        <v>29.7</v>
      </c>
      <c r="K39" s="100">
        <v>27.2</v>
      </c>
      <c r="L39" s="100">
        <v>25.2</v>
      </c>
      <c r="M39" s="100">
        <v>23.5</v>
      </c>
      <c r="N39" s="100">
        <v>22.1</v>
      </c>
      <c r="O39" s="100">
        <v>20.8</v>
      </c>
      <c r="P39" s="100">
        <v>19.8</v>
      </c>
      <c r="Q39" s="100">
        <v>18.899999999999999</v>
      </c>
      <c r="R39" s="100">
        <v>18.100000000000001</v>
      </c>
      <c r="S39" s="100">
        <v>17.399999999999999</v>
      </c>
      <c r="T39" s="100">
        <v>16.7</v>
      </c>
      <c r="U39" s="100">
        <v>16.2</v>
      </c>
    </row>
    <row r="40" spans="1:21" x14ac:dyDescent="0.25">
      <c r="A40" s="99">
        <v>29</v>
      </c>
      <c r="B40" s="100">
        <v>234.3</v>
      </c>
      <c r="C40" s="100">
        <v>119.3</v>
      </c>
      <c r="D40" s="100">
        <v>81</v>
      </c>
      <c r="E40" s="100">
        <v>61.9</v>
      </c>
      <c r="F40" s="100">
        <v>50.4</v>
      </c>
      <c r="G40" s="100">
        <v>42.8</v>
      </c>
      <c r="H40" s="100">
        <v>37.299999999999997</v>
      </c>
      <c r="I40" s="100">
        <v>33.299999999999997</v>
      </c>
      <c r="J40" s="100">
        <v>30.1</v>
      </c>
      <c r="K40" s="100">
        <v>27.6</v>
      </c>
      <c r="L40" s="100">
        <v>25.5</v>
      </c>
      <c r="M40" s="100">
        <v>23.8</v>
      </c>
      <c r="N40" s="100">
        <v>22.4</v>
      </c>
      <c r="O40" s="100">
        <v>21.1</v>
      </c>
      <c r="P40" s="100">
        <v>20.100000000000001</v>
      </c>
      <c r="Q40" s="100">
        <v>19.100000000000001</v>
      </c>
      <c r="R40" s="100">
        <v>18.3</v>
      </c>
      <c r="S40" s="100">
        <v>17.600000000000001</v>
      </c>
      <c r="T40" s="100">
        <v>17</v>
      </c>
      <c r="U40" s="100">
        <v>16.399999999999999</v>
      </c>
    </row>
    <row r="41" spans="1:21" x14ac:dyDescent="0.25">
      <c r="A41" s="99">
        <v>30</v>
      </c>
      <c r="B41" s="100">
        <v>237.5</v>
      </c>
      <c r="C41" s="100">
        <v>121</v>
      </c>
      <c r="D41" s="100">
        <v>82.1</v>
      </c>
      <c r="E41" s="100">
        <v>62.7</v>
      </c>
      <c r="F41" s="100">
        <v>51.1</v>
      </c>
      <c r="G41" s="100">
        <v>43.4</v>
      </c>
      <c r="H41" s="100">
        <v>37.9</v>
      </c>
      <c r="I41" s="100">
        <v>33.700000000000003</v>
      </c>
      <c r="J41" s="100">
        <v>30.5</v>
      </c>
      <c r="K41" s="100">
        <v>28</v>
      </c>
      <c r="L41" s="100">
        <v>25.9</v>
      </c>
      <c r="M41" s="100">
        <v>24.1</v>
      </c>
      <c r="N41" s="100">
        <v>22.7</v>
      </c>
      <c r="O41" s="100">
        <v>21.4</v>
      </c>
      <c r="P41" s="100">
        <v>20.399999999999999</v>
      </c>
      <c r="Q41" s="100">
        <v>19.399999999999999</v>
      </c>
      <c r="R41" s="100">
        <v>18.600000000000001</v>
      </c>
      <c r="S41" s="100">
        <v>17.899999999999999</v>
      </c>
      <c r="T41" s="100">
        <v>17.2</v>
      </c>
      <c r="U41" s="100">
        <v>16.600000000000001</v>
      </c>
    </row>
    <row r="42" spans="1:21" x14ac:dyDescent="0.25">
      <c r="A42" s="99">
        <v>31</v>
      </c>
      <c r="B42" s="100">
        <v>240.7</v>
      </c>
      <c r="C42" s="100">
        <v>122.6</v>
      </c>
      <c r="D42" s="100">
        <v>83.3</v>
      </c>
      <c r="E42" s="100">
        <v>63.6</v>
      </c>
      <c r="F42" s="100">
        <v>51.8</v>
      </c>
      <c r="G42" s="100">
        <v>44</v>
      </c>
      <c r="H42" s="100">
        <v>38.4</v>
      </c>
      <c r="I42" s="100">
        <v>34.200000000000003</v>
      </c>
      <c r="J42" s="100">
        <v>31</v>
      </c>
      <c r="K42" s="100">
        <v>28.4</v>
      </c>
      <c r="L42" s="100">
        <v>26.2</v>
      </c>
      <c r="M42" s="100">
        <v>24.5</v>
      </c>
      <c r="N42" s="100">
        <v>23</v>
      </c>
      <c r="O42" s="100">
        <v>21.7</v>
      </c>
      <c r="P42" s="100">
        <v>20.6</v>
      </c>
      <c r="Q42" s="100">
        <v>19.7</v>
      </c>
      <c r="R42" s="100">
        <v>18.899999999999999</v>
      </c>
      <c r="S42" s="100">
        <v>18.100000000000001</v>
      </c>
      <c r="T42" s="100">
        <v>17.5</v>
      </c>
      <c r="U42" s="100">
        <v>16.899999999999999</v>
      </c>
    </row>
    <row r="43" spans="1:21" x14ac:dyDescent="0.25">
      <c r="A43" s="99">
        <v>32</v>
      </c>
      <c r="B43" s="100">
        <v>244</v>
      </c>
      <c r="C43" s="100">
        <v>124.3</v>
      </c>
      <c r="D43" s="100">
        <v>84.4</v>
      </c>
      <c r="E43" s="100">
        <v>64.5</v>
      </c>
      <c r="F43" s="100">
        <v>52.5</v>
      </c>
      <c r="G43" s="100">
        <v>44.6</v>
      </c>
      <c r="H43" s="100">
        <v>38.9</v>
      </c>
      <c r="I43" s="100">
        <v>34.700000000000003</v>
      </c>
      <c r="J43" s="100">
        <v>31.4</v>
      </c>
      <c r="K43" s="100">
        <v>28.8</v>
      </c>
      <c r="L43" s="100">
        <v>26.6</v>
      </c>
      <c r="M43" s="100">
        <v>24.8</v>
      </c>
      <c r="N43" s="100">
        <v>23.3</v>
      </c>
      <c r="O43" s="100">
        <v>22</v>
      </c>
      <c r="P43" s="100">
        <v>20.9</v>
      </c>
      <c r="Q43" s="100">
        <v>20</v>
      </c>
      <c r="R43" s="100">
        <v>19.100000000000001</v>
      </c>
      <c r="S43" s="100">
        <v>18.399999999999999</v>
      </c>
      <c r="T43" s="100">
        <v>17.7</v>
      </c>
      <c r="U43" s="100">
        <v>17.100000000000001</v>
      </c>
    </row>
    <row r="44" spans="1:21" x14ac:dyDescent="0.25">
      <c r="A44" s="99">
        <v>33</v>
      </c>
      <c r="B44" s="100">
        <v>247.3</v>
      </c>
      <c r="C44" s="100">
        <v>126</v>
      </c>
      <c r="D44" s="100">
        <v>85.6</v>
      </c>
      <c r="E44" s="100">
        <v>65.400000000000006</v>
      </c>
      <c r="F44" s="100">
        <v>53.3</v>
      </c>
      <c r="G44" s="100">
        <v>45.2</v>
      </c>
      <c r="H44" s="100">
        <v>39.5</v>
      </c>
      <c r="I44" s="100">
        <v>35.200000000000003</v>
      </c>
      <c r="J44" s="100">
        <v>31.8</v>
      </c>
      <c r="K44" s="100">
        <v>29.2</v>
      </c>
      <c r="L44" s="100">
        <v>27</v>
      </c>
      <c r="M44" s="100">
        <v>25.2</v>
      </c>
      <c r="N44" s="100">
        <v>23.7</v>
      </c>
      <c r="O44" s="100">
        <v>22.4</v>
      </c>
      <c r="P44" s="100">
        <v>21.2</v>
      </c>
      <c r="Q44" s="100">
        <v>20.3</v>
      </c>
      <c r="R44" s="100">
        <v>19.399999999999999</v>
      </c>
      <c r="S44" s="100">
        <v>18.7</v>
      </c>
      <c r="T44" s="100">
        <v>18</v>
      </c>
      <c r="U44" s="100">
        <v>17.399999999999999</v>
      </c>
    </row>
    <row r="45" spans="1:21" x14ac:dyDescent="0.25">
      <c r="A45" s="99">
        <v>34</v>
      </c>
      <c r="B45" s="100">
        <v>250.6</v>
      </c>
      <c r="C45" s="100">
        <v>127.7</v>
      </c>
      <c r="D45" s="100">
        <v>86.7</v>
      </c>
      <c r="E45" s="100">
        <v>66.2</v>
      </c>
      <c r="F45" s="100">
        <v>54</v>
      </c>
      <c r="G45" s="100">
        <v>45.8</v>
      </c>
      <c r="H45" s="100">
        <v>40</v>
      </c>
      <c r="I45" s="100">
        <v>35.6</v>
      </c>
      <c r="J45" s="100">
        <v>32.299999999999997</v>
      </c>
      <c r="K45" s="100">
        <v>29.6</v>
      </c>
      <c r="L45" s="100">
        <v>27.4</v>
      </c>
      <c r="M45" s="100">
        <v>25.5</v>
      </c>
      <c r="N45" s="100">
        <v>24</v>
      </c>
      <c r="O45" s="100">
        <v>22.7</v>
      </c>
      <c r="P45" s="100">
        <v>21.5</v>
      </c>
      <c r="Q45" s="100">
        <v>20.6</v>
      </c>
      <c r="R45" s="100">
        <v>19.7</v>
      </c>
      <c r="S45" s="100">
        <v>18.899999999999999</v>
      </c>
      <c r="T45" s="100">
        <v>18.2</v>
      </c>
      <c r="U45" s="100">
        <v>17.600000000000001</v>
      </c>
    </row>
    <row r="46" spans="1:21" x14ac:dyDescent="0.25">
      <c r="A46" s="99">
        <v>35</v>
      </c>
      <c r="B46" s="100">
        <v>253.9</v>
      </c>
      <c r="C46" s="100">
        <v>129.4</v>
      </c>
      <c r="D46" s="100">
        <v>87.9</v>
      </c>
      <c r="E46" s="100">
        <v>67.099999999999994</v>
      </c>
      <c r="F46" s="100">
        <v>54.7</v>
      </c>
      <c r="G46" s="100">
        <v>46.4</v>
      </c>
      <c r="H46" s="100">
        <v>40.5</v>
      </c>
      <c r="I46" s="100">
        <v>36.1</v>
      </c>
      <c r="J46" s="100">
        <v>32.700000000000003</v>
      </c>
      <c r="K46" s="100">
        <v>30</v>
      </c>
      <c r="L46" s="100">
        <v>27.7</v>
      </c>
      <c r="M46" s="100">
        <v>25.9</v>
      </c>
      <c r="N46" s="100">
        <v>24.3</v>
      </c>
      <c r="O46" s="100">
        <v>23</v>
      </c>
      <c r="P46" s="100">
        <v>21.8</v>
      </c>
      <c r="Q46" s="100">
        <v>20.8</v>
      </c>
      <c r="R46" s="100">
        <v>20</v>
      </c>
      <c r="S46" s="100">
        <v>19.2</v>
      </c>
      <c r="T46" s="100">
        <v>18.5</v>
      </c>
      <c r="U46" s="100">
        <v>17.899999999999999</v>
      </c>
    </row>
    <row r="47" spans="1:21" x14ac:dyDescent="0.25">
      <c r="A47" s="99">
        <v>36</v>
      </c>
      <c r="B47" s="100">
        <v>257.3</v>
      </c>
      <c r="C47" s="100">
        <v>131.1</v>
      </c>
      <c r="D47" s="100">
        <v>89</v>
      </c>
      <c r="E47" s="100">
        <v>68</v>
      </c>
      <c r="F47" s="100">
        <v>55.4</v>
      </c>
      <c r="G47" s="100">
        <v>47.1</v>
      </c>
      <c r="H47" s="100">
        <v>41.1</v>
      </c>
      <c r="I47" s="100">
        <v>36.6</v>
      </c>
      <c r="J47" s="100">
        <v>33.1</v>
      </c>
      <c r="K47" s="100">
        <v>30.4</v>
      </c>
      <c r="L47" s="100">
        <v>28.1</v>
      </c>
      <c r="M47" s="100">
        <v>26.2</v>
      </c>
      <c r="N47" s="100">
        <v>24.7</v>
      </c>
      <c r="O47" s="100">
        <v>23.3</v>
      </c>
      <c r="P47" s="100">
        <v>22.2</v>
      </c>
      <c r="Q47" s="100">
        <v>21.1</v>
      </c>
      <c r="R47" s="100">
        <v>20.3</v>
      </c>
      <c r="S47" s="100">
        <v>19.5</v>
      </c>
      <c r="T47" s="100">
        <v>18.8</v>
      </c>
      <c r="U47" s="100">
        <v>18.2</v>
      </c>
    </row>
    <row r="48" spans="1:21" x14ac:dyDescent="0.25">
      <c r="A48" s="99">
        <v>37</v>
      </c>
      <c r="B48" s="100">
        <v>260.7</v>
      </c>
      <c r="C48" s="100">
        <v>132.80000000000001</v>
      </c>
      <c r="D48" s="100">
        <v>90.2</v>
      </c>
      <c r="E48" s="100">
        <v>68.900000000000006</v>
      </c>
      <c r="F48" s="100">
        <v>56.2</v>
      </c>
      <c r="G48" s="100">
        <v>47.7</v>
      </c>
      <c r="H48" s="100">
        <v>41.6</v>
      </c>
      <c r="I48" s="100">
        <v>37.1</v>
      </c>
      <c r="J48" s="100">
        <v>33.6</v>
      </c>
      <c r="K48" s="100">
        <v>30.8</v>
      </c>
      <c r="L48" s="100">
        <v>28.5</v>
      </c>
      <c r="M48" s="100">
        <v>26.6</v>
      </c>
      <c r="N48" s="100">
        <v>25</v>
      </c>
      <c r="O48" s="100">
        <v>23.7</v>
      </c>
      <c r="P48" s="100">
        <v>22.5</v>
      </c>
      <c r="Q48" s="100">
        <v>21.5</v>
      </c>
      <c r="R48" s="100">
        <v>20.6</v>
      </c>
      <c r="S48" s="100">
        <v>19.8</v>
      </c>
      <c r="T48" s="100">
        <v>19.100000000000001</v>
      </c>
      <c r="U48" s="100">
        <v>18.399999999999999</v>
      </c>
    </row>
    <row r="49" spans="1:21" x14ac:dyDescent="0.25">
      <c r="A49" s="99">
        <v>38</v>
      </c>
      <c r="B49" s="100">
        <v>264.10000000000002</v>
      </c>
      <c r="C49" s="100">
        <v>134.6</v>
      </c>
      <c r="D49" s="100">
        <v>91.4</v>
      </c>
      <c r="E49" s="100">
        <v>69.900000000000006</v>
      </c>
      <c r="F49" s="100">
        <v>56.9</v>
      </c>
      <c r="G49" s="100">
        <v>48.3</v>
      </c>
      <c r="H49" s="100">
        <v>42.2</v>
      </c>
      <c r="I49" s="100">
        <v>37.6</v>
      </c>
      <c r="J49" s="100">
        <v>34.1</v>
      </c>
      <c r="K49" s="100">
        <v>31.2</v>
      </c>
      <c r="L49" s="100">
        <v>28.9</v>
      </c>
      <c r="M49" s="100">
        <v>27</v>
      </c>
      <c r="N49" s="100">
        <v>25.4</v>
      </c>
      <c r="O49" s="100">
        <v>24</v>
      </c>
      <c r="P49" s="100">
        <v>22.8</v>
      </c>
      <c r="Q49" s="100">
        <v>21.8</v>
      </c>
      <c r="R49" s="100">
        <v>20.9</v>
      </c>
      <c r="S49" s="100">
        <v>20.100000000000001</v>
      </c>
      <c r="T49" s="100">
        <v>19.399999999999999</v>
      </c>
      <c r="U49" s="100">
        <v>18.7</v>
      </c>
    </row>
    <row r="50" spans="1:21" x14ac:dyDescent="0.25">
      <c r="A50" s="99">
        <v>39</v>
      </c>
      <c r="B50" s="100">
        <v>267.60000000000002</v>
      </c>
      <c r="C50" s="100">
        <v>136.4</v>
      </c>
      <c r="D50" s="100">
        <v>92.6</v>
      </c>
      <c r="E50" s="100">
        <v>70.8</v>
      </c>
      <c r="F50" s="100">
        <v>57.7</v>
      </c>
      <c r="G50" s="100">
        <v>49</v>
      </c>
      <c r="H50" s="100">
        <v>42.8</v>
      </c>
      <c r="I50" s="100">
        <v>38.1</v>
      </c>
      <c r="J50" s="100">
        <v>34.5</v>
      </c>
      <c r="K50" s="100">
        <v>31.7</v>
      </c>
      <c r="L50" s="100">
        <v>29.3</v>
      </c>
      <c r="M50" s="100">
        <v>27.4</v>
      </c>
      <c r="N50" s="100">
        <v>25.7</v>
      </c>
      <c r="O50" s="100">
        <v>24.3</v>
      </c>
      <c r="P50" s="100">
        <v>23.1</v>
      </c>
      <c r="Q50" s="100">
        <v>22.1</v>
      </c>
      <c r="R50" s="100">
        <v>21.2</v>
      </c>
      <c r="S50" s="100">
        <v>20.399999999999999</v>
      </c>
      <c r="T50" s="100">
        <v>19.7</v>
      </c>
      <c r="U50" s="100">
        <v>19</v>
      </c>
    </row>
    <row r="51" spans="1:21" x14ac:dyDescent="0.25">
      <c r="A51" s="99">
        <v>40</v>
      </c>
      <c r="B51" s="100">
        <v>271.10000000000002</v>
      </c>
      <c r="C51" s="100">
        <v>138.19999999999999</v>
      </c>
      <c r="D51" s="100">
        <v>93.9</v>
      </c>
      <c r="E51" s="100">
        <v>71.7</v>
      </c>
      <c r="F51" s="100">
        <v>58.5</v>
      </c>
      <c r="G51" s="100">
        <v>49.7</v>
      </c>
      <c r="H51" s="100">
        <v>43.4</v>
      </c>
      <c r="I51" s="100">
        <v>38.700000000000003</v>
      </c>
      <c r="J51" s="100">
        <v>35</v>
      </c>
      <c r="K51" s="100">
        <v>32.1</v>
      </c>
      <c r="L51" s="100">
        <v>29.7</v>
      </c>
      <c r="M51" s="100">
        <v>27.8</v>
      </c>
      <c r="N51" s="100">
        <v>26.1</v>
      </c>
      <c r="O51" s="100">
        <v>24.7</v>
      </c>
      <c r="P51" s="100">
        <v>23.5</v>
      </c>
      <c r="Q51" s="100">
        <v>22.4</v>
      </c>
      <c r="R51" s="100">
        <v>21.5</v>
      </c>
      <c r="S51" s="100">
        <v>20.7</v>
      </c>
      <c r="T51" s="100">
        <v>20</v>
      </c>
      <c r="U51" s="100">
        <v>19.3</v>
      </c>
    </row>
    <row r="52" spans="1:21" x14ac:dyDescent="0.25">
      <c r="A52" s="99">
        <v>41</v>
      </c>
      <c r="B52" s="100">
        <v>274.60000000000002</v>
      </c>
      <c r="C52" s="100">
        <v>140</v>
      </c>
      <c r="D52" s="100">
        <v>95.1</v>
      </c>
      <c r="E52" s="100">
        <v>72.7</v>
      </c>
      <c r="F52" s="100">
        <v>59.3</v>
      </c>
      <c r="G52" s="100">
        <v>50.3</v>
      </c>
      <c r="H52" s="100">
        <v>44</v>
      </c>
      <c r="I52" s="100">
        <v>39.200000000000003</v>
      </c>
      <c r="J52" s="100">
        <v>35.5</v>
      </c>
      <c r="K52" s="100">
        <v>32.6</v>
      </c>
      <c r="L52" s="100">
        <v>30.1</v>
      </c>
      <c r="M52" s="100">
        <v>28.2</v>
      </c>
      <c r="N52" s="100">
        <v>26.5</v>
      </c>
      <c r="O52" s="100">
        <v>25.1</v>
      </c>
      <c r="P52" s="100">
        <v>23.8</v>
      </c>
      <c r="Q52" s="100">
        <v>22.8</v>
      </c>
      <c r="R52" s="100">
        <v>21.8</v>
      </c>
      <c r="S52" s="100">
        <v>21</v>
      </c>
      <c r="T52" s="100">
        <v>20.3</v>
      </c>
      <c r="U52" s="100">
        <v>19.7</v>
      </c>
    </row>
    <row r="53" spans="1:21" x14ac:dyDescent="0.25">
      <c r="A53" s="99">
        <v>42</v>
      </c>
      <c r="B53" s="100">
        <v>278.2</v>
      </c>
      <c r="C53" s="100">
        <v>141.80000000000001</v>
      </c>
      <c r="D53" s="100">
        <v>96.4</v>
      </c>
      <c r="E53" s="100">
        <v>73.7</v>
      </c>
      <c r="F53" s="100">
        <v>60.1</v>
      </c>
      <c r="G53" s="100">
        <v>51</v>
      </c>
      <c r="H53" s="100">
        <v>44.6</v>
      </c>
      <c r="I53" s="100">
        <v>39.700000000000003</v>
      </c>
      <c r="J53" s="100">
        <v>36</v>
      </c>
      <c r="K53" s="100">
        <v>33</v>
      </c>
      <c r="L53" s="100">
        <v>30.6</v>
      </c>
      <c r="M53" s="100">
        <v>28.6</v>
      </c>
      <c r="N53" s="100">
        <v>26.9</v>
      </c>
      <c r="O53" s="100">
        <v>25.4</v>
      </c>
      <c r="P53" s="100">
        <v>24.2</v>
      </c>
      <c r="Q53" s="100">
        <v>23.1</v>
      </c>
      <c r="R53" s="100">
        <v>22.2</v>
      </c>
      <c r="S53" s="100">
        <v>21.4</v>
      </c>
      <c r="T53" s="100">
        <v>20.6</v>
      </c>
      <c r="U53" s="100">
        <v>20</v>
      </c>
    </row>
    <row r="54" spans="1:21" x14ac:dyDescent="0.25">
      <c r="A54" s="99">
        <v>43</v>
      </c>
      <c r="B54" s="100">
        <v>281.8</v>
      </c>
      <c r="C54" s="100">
        <v>143.6</v>
      </c>
      <c r="D54" s="100">
        <v>97.6</v>
      </c>
      <c r="E54" s="100">
        <v>74.599999999999994</v>
      </c>
      <c r="F54" s="100">
        <v>60.9</v>
      </c>
      <c r="G54" s="100">
        <v>51.7</v>
      </c>
      <c r="H54" s="100">
        <v>45.2</v>
      </c>
      <c r="I54" s="100">
        <v>40.299999999999997</v>
      </c>
      <c r="J54" s="100">
        <v>36.5</v>
      </c>
      <c r="K54" s="100">
        <v>33.5</v>
      </c>
      <c r="L54" s="100">
        <v>31</v>
      </c>
      <c r="M54" s="100">
        <v>29</v>
      </c>
      <c r="N54" s="100">
        <v>27.3</v>
      </c>
      <c r="O54" s="100">
        <v>25.8</v>
      </c>
      <c r="P54" s="100">
        <v>24.6</v>
      </c>
      <c r="Q54" s="100">
        <v>23.5</v>
      </c>
      <c r="R54" s="100">
        <v>22.5</v>
      </c>
      <c r="S54" s="100">
        <v>21.7</v>
      </c>
      <c r="T54" s="100">
        <v>21</v>
      </c>
      <c r="U54" s="100">
        <v>20.3</v>
      </c>
    </row>
    <row r="55" spans="1:21" x14ac:dyDescent="0.25">
      <c r="A55" s="99">
        <v>44</v>
      </c>
      <c r="B55" s="100">
        <v>285.39999999999998</v>
      </c>
      <c r="C55" s="100">
        <v>145.5</v>
      </c>
      <c r="D55" s="100">
        <v>98.9</v>
      </c>
      <c r="E55" s="100">
        <v>75.599999999999994</v>
      </c>
      <c r="F55" s="100">
        <v>61.7</v>
      </c>
      <c r="G55" s="100">
        <v>52.4</v>
      </c>
      <c r="H55" s="100">
        <v>45.8</v>
      </c>
      <c r="I55" s="100">
        <v>40.799999999999997</v>
      </c>
      <c r="J55" s="100">
        <v>37</v>
      </c>
      <c r="K55" s="100">
        <v>33.9</v>
      </c>
      <c r="L55" s="100">
        <v>31.5</v>
      </c>
      <c r="M55" s="100">
        <v>29.4</v>
      </c>
      <c r="N55" s="100">
        <v>27.7</v>
      </c>
      <c r="O55" s="100">
        <v>26.2</v>
      </c>
      <c r="P55" s="100">
        <v>25</v>
      </c>
      <c r="Q55" s="100">
        <v>23.9</v>
      </c>
      <c r="R55" s="100">
        <v>22.9</v>
      </c>
      <c r="S55" s="100">
        <v>22.1</v>
      </c>
      <c r="T55" s="100">
        <v>21.3</v>
      </c>
      <c r="U55" s="100">
        <v>20.7</v>
      </c>
    </row>
    <row r="56" spans="1:21" x14ac:dyDescent="0.25">
      <c r="A56" s="99">
        <v>45</v>
      </c>
      <c r="B56" s="100">
        <v>289</v>
      </c>
      <c r="C56" s="100">
        <v>147.30000000000001</v>
      </c>
      <c r="D56" s="100">
        <v>100.2</v>
      </c>
      <c r="E56" s="100">
        <v>76.599999999999994</v>
      </c>
      <c r="F56" s="100">
        <v>62.5</v>
      </c>
      <c r="G56" s="100">
        <v>53.1</v>
      </c>
      <c r="H56" s="100">
        <v>46.4</v>
      </c>
      <c r="I56" s="100">
        <v>41.4</v>
      </c>
      <c r="J56" s="100">
        <v>37.5</v>
      </c>
      <c r="K56" s="100">
        <v>34.4</v>
      </c>
      <c r="L56" s="100">
        <v>31.9</v>
      </c>
      <c r="M56" s="100">
        <v>29.8</v>
      </c>
      <c r="N56" s="100">
        <v>28.1</v>
      </c>
      <c r="O56" s="100">
        <v>26.6</v>
      </c>
      <c r="P56" s="100">
        <v>25.4</v>
      </c>
      <c r="Q56" s="100">
        <v>24.3</v>
      </c>
      <c r="R56" s="100">
        <v>23.3</v>
      </c>
      <c r="S56" s="100">
        <v>22.5</v>
      </c>
      <c r="T56" s="100">
        <v>21.7</v>
      </c>
      <c r="U56" s="100">
        <v>21.1</v>
      </c>
    </row>
    <row r="57" spans="1:21" x14ac:dyDescent="0.25">
      <c r="A57" s="99">
        <v>46</v>
      </c>
      <c r="B57" s="100">
        <v>292.60000000000002</v>
      </c>
      <c r="C57" s="100">
        <v>149.19999999999999</v>
      </c>
      <c r="D57" s="100">
        <v>101.4</v>
      </c>
      <c r="E57" s="100">
        <v>77.599999999999994</v>
      </c>
      <c r="F57" s="100">
        <v>63.3</v>
      </c>
      <c r="G57" s="100">
        <v>53.8</v>
      </c>
      <c r="H57" s="100">
        <v>47</v>
      </c>
      <c r="I57" s="100">
        <v>42</v>
      </c>
      <c r="J57" s="100">
        <v>38</v>
      </c>
      <c r="K57" s="100">
        <v>34.9</v>
      </c>
      <c r="L57" s="100">
        <v>32.4</v>
      </c>
      <c r="M57" s="100">
        <v>30.3</v>
      </c>
      <c r="N57" s="100">
        <v>28.6</v>
      </c>
      <c r="O57" s="100">
        <v>27.1</v>
      </c>
      <c r="P57" s="100">
        <v>25.8</v>
      </c>
      <c r="Q57" s="100">
        <v>24.7</v>
      </c>
      <c r="R57" s="100">
        <v>23.7</v>
      </c>
      <c r="S57" s="100">
        <v>22.9</v>
      </c>
      <c r="T57" s="100">
        <v>22.1</v>
      </c>
      <c r="U57" s="100">
        <v>21.5</v>
      </c>
    </row>
    <row r="58" spans="1:21" x14ac:dyDescent="0.25">
      <c r="A58" s="99">
        <v>47</v>
      </c>
      <c r="B58" s="100">
        <v>296.3</v>
      </c>
      <c r="C58" s="100">
        <v>151.1</v>
      </c>
      <c r="D58" s="100">
        <v>102.8</v>
      </c>
      <c r="E58" s="100">
        <v>78.599999999999994</v>
      </c>
      <c r="F58" s="100">
        <v>64.099999999999994</v>
      </c>
      <c r="G58" s="100">
        <v>54.5</v>
      </c>
      <c r="H58" s="100">
        <v>47.7</v>
      </c>
      <c r="I58" s="100">
        <v>42.6</v>
      </c>
      <c r="J58" s="100">
        <v>38.6</v>
      </c>
      <c r="K58" s="100">
        <v>35.5</v>
      </c>
      <c r="L58" s="100">
        <v>32.9</v>
      </c>
      <c r="M58" s="100">
        <v>30.8</v>
      </c>
      <c r="N58" s="100">
        <v>29</v>
      </c>
      <c r="O58" s="100">
        <v>27.5</v>
      </c>
      <c r="P58" s="100">
        <v>26.2</v>
      </c>
      <c r="Q58" s="100">
        <v>25.1</v>
      </c>
      <c r="R58" s="100">
        <v>24.1</v>
      </c>
      <c r="S58" s="100">
        <v>23.3</v>
      </c>
      <c r="T58" s="100">
        <v>22.5</v>
      </c>
      <c r="U58" s="100">
        <v>21.9</v>
      </c>
    </row>
    <row r="59" spans="1:21" x14ac:dyDescent="0.25">
      <c r="A59" s="99">
        <v>48</v>
      </c>
      <c r="B59" s="100">
        <v>300.10000000000002</v>
      </c>
      <c r="C59" s="100">
        <v>153.1</v>
      </c>
      <c r="D59" s="100">
        <v>104.1</v>
      </c>
      <c r="E59" s="100">
        <v>79.599999999999994</v>
      </c>
      <c r="F59" s="100">
        <v>65</v>
      </c>
      <c r="G59" s="100">
        <v>55.3</v>
      </c>
      <c r="H59" s="100">
        <v>48.4</v>
      </c>
      <c r="I59" s="100">
        <v>43.2</v>
      </c>
      <c r="J59" s="100">
        <v>39.200000000000003</v>
      </c>
      <c r="K59" s="100">
        <v>36</v>
      </c>
      <c r="L59" s="100">
        <v>33.4</v>
      </c>
      <c r="M59" s="100">
        <v>31.3</v>
      </c>
      <c r="N59" s="100">
        <v>29.5</v>
      </c>
      <c r="O59" s="100">
        <v>28</v>
      </c>
      <c r="P59" s="100">
        <v>26.7</v>
      </c>
      <c r="Q59" s="100">
        <v>25.6</v>
      </c>
      <c r="R59" s="100">
        <v>24.6</v>
      </c>
      <c r="S59" s="100">
        <v>23.7</v>
      </c>
      <c r="T59" s="100">
        <v>23</v>
      </c>
      <c r="U59" s="100">
        <v>22.3</v>
      </c>
    </row>
    <row r="60" spans="1:21" x14ac:dyDescent="0.25">
      <c r="A60" s="99">
        <v>49</v>
      </c>
      <c r="B60" s="100">
        <v>303.89999999999998</v>
      </c>
      <c r="C60" s="100">
        <v>155</v>
      </c>
      <c r="D60" s="100">
        <v>105.5</v>
      </c>
      <c r="E60" s="100">
        <v>80.7</v>
      </c>
      <c r="F60" s="100">
        <v>65.900000000000006</v>
      </c>
      <c r="G60" s="100">
        <v>56.1</v>
      </c>
      <c r="H60" s="100">
        <v>49.1</v>
      </c>
      <c r="I60" s="100">
        <v>43.9</v>
      </c>
      <c r="J60" s="100">
        <v>39.799999999999997</v>
      </c>
      <c r="K60" s="100">
        <v>36.6</v>
      </c>
      <c r="L60" s="100">
        <v>34</v>
      </c>
      <c r="M60" s="100">
        <v>31.8</v>
      </c>
      <c r="N60" s="100">
        <v>30</v>
      </c>
      <c r="O60" s="100">
        <v>28.5</v>
      </c>
      <c r="P60" s="100">
        <v>27.2</v>
      </c>
      <c r="Q60" s="100">
        <v>26.1</v>
      </c>
      <c r="R60" s="100">
        <v>25.1</v>
      </c>
      <c r="S60" s="100">
        <v>24.2</v>
      </c>
      <c r="T60" s="100">
        <v>23.4</v>
      </c>
      <c r="U60" s="100"/>
    </row>
    <row r="61" spans="1:21" x14ac:dyDescent="0.25">
      <c r="A61" s="99">
        <v>50</v>
      </c>
      <c r="B61" s="100">
        <v>307.8</v>
      </c>
      <c r="C61" s="100">
        <v>157.1</v>
      </c>
      <c r="D61" s="100">
        <v>106.9</v>
      </c>
      <c r="E61" s="100">
        <v>81.900000000000006</v>
      </c>
      <c r="F61" s="100">
        <v>66.900000000000006</v>
      </c>
      <c r="G61" s="100">
        <v>56.9</v>
      </c>
      <c r="H61" s="100">
        <v>49.9</v>
      </c>
      <c r="I61" s="100">
        <v>44.6</v>
      </c>
      <c r="J61" s="100">
        <v>40.5</v>
      </c>
      <c r="K61" s="100">
        <v>37.200000000000003</v>
      </c>
      <c r="L61" s="100">
        <v>34.6</v>
      </c>
      <c r="M61" s="100">
        <v>32.4</v>
      </c>
      <c r="N61" s="100">
        <v>30.6</v>
      </c>
      <c r="O61" s="100">
        <v>29</v>
      </c>
      <c r="P61" s="100">
        <v>27.7</v>
      </c>
      <c r="Q61" s="100">
        <v>26.6</v>
      </c>
      <c r="R61" s="100">
        <v>25.6</v>
      </c>
      <c r="S61" s="100">
        <v>24.6</v>
      </c>
      <c r="T61" s="100"/>
      <c r="U61" s="100"/>
    </row>
    <row r="62" spans="1:21" x14ac:dyDescent="0.25">
      <c r="A62" s="99">
        <v>51</v>
      </c>
      <c r="B62" s="100">
        <v>311.8</v>
      </c>
      <c r="C62" s="100">
        <v>159.19999999999999</v>
      </c>
      <c r="D62" s="100">
        <v>108.4</v>
      </c>
      <c r="E62" s="100">
        <v>83.1</v>
      </c>
      <c r="F62" s="100">
        <v>67.900000000000006</v>
      </c>
      <c r="G62" s="100">
        <v>57.8</v>
      </c>
      <c r="H62" s="100">
        <v>50.6</v>
      </c>
      <c r="I62" s="100">
        <v>45.3</v>
      </c>
      <c r="J62" s="100">
        <v>41.2</v>
      </c>
      <c r="K62" s="100">
        <v>37.9</v>
      </c>
      <c r="L62" s="100">
        <v>35.200000000000003</v>
      </c>
      <c r="M62" s="100">
        <v>33</v>
      </c>
      <c r="N62" s="100">
        <v>31.2</v>
      </c>
      <c r="O62" s="100">
        <v>29.6</v>
      </c>
      <c r="P62" s="100">
        <v>28.3</v>
      </c>
      <c r="Q62" s="100">
        <v>27.1</v>
      </c>
      <c r="R62" s="100">
        <v>26</v>
      </c>
      <c r="S62" s="100"/>
      <c r="T62" s="100"/>
      <c r="U62" s="100"/>
    </row>
    <row r="63" spans="1:21" x14ac:dyDescent="0.25">
      <c r="A63" s="99">
        <v>52</v>
      </c>
      <c r="B63" s="100">
        <v>315.7</v>
      </c>
      <c r="C63" s="100">
        <v>161.30000000000001</v>
      </c>
      <c r="D63" s="100">
        <v>109.9</v>
      </c>
      <c r="E63" s="100">
        <v>84.2</v>
      </c>
      <c r="F63" s="100">
        <v>68.900000000000006</v>
      </c>
      <c r="G63" s="100">
        <v>58.7</v>
      </c>
      <c r="H63" s="100">
        <v>51.4</v>
      </c>
      <c r="I63" s="100">
        <v>46</v>
      </c>
      <c r="J63" s="100">
        <v>41.8</v>
      </c>
      <c r="K63" s="100">
        <v>38.5</v>
      </c>
      <c r="L63" s="100">
        <v>35.799999999999997</v>
      </c>
      <c r="M63" s="100">
        <v>33.6</v>
      </c>
      <c r="N63" s="100">
        <v>31.7</v>
      </c>
      <c r="O63" s="100">
        <v>30.1</v>
      </c>
      <c r="P63" s="100">
        <v>28.8</v>
      </c>
      <c r="Q63" s="100">
        <v>27.6</v>
      </c>
      <c r="R63" s="100"/>
      <c r="S63" s="100"/>
      <c r="T63" s="100"/>
      <c r="U63" s="100"/>
    </row>
    <row r="64" spans="1:21" x14ac:dyDescent="0.25">
      <c r="A64" s="99">
        <v>53</v>
      </c>
      <c r="B64" s="100">
        <v>319.5</v>
      </c>
      <c r="C64" s="100">
        <v>163.30000000000001</v>
      </c>
      <c r="D64" s="100">
        <v>111.3</v>
      </c>
      <c r="E64" s="100">
        <v>85.4</v>
      </c>
      <c r="F64" s="100">
        <v>69.8</v>
      </c>
      <c r="G64" s="100">
        <v>59.5</v>
      </c>
      <c r="H64" s="100">
        <v>52.2</v>
      </c>
      <c r="I64" s="100">
        <v>46.7</v>
      </c>
      <c r="J64" s="100">
        <v>42.5</v>
      </c>
      <c r="K64" s="100">
        <v>39.200000000000003</v>
      </c>
      <c r="L64" s="100">
        <v>36.4</v>
      </c>
      <c r="M64" s="100">
        <v>34.200000000000003</v>
      </c>
      <c r="N64" s="100">
        <v>32.299999999999997</v>
      </c>
      <c r="O64" s="100">
        <v>30.7</v>
      </c>
      <c r="P64" s="100">
        <v>29.3</v>
      </c>
      <c r="Q64" s="100"/>
      <c r="R64" s="100"/>
      <c r="S64" s="100"/>
      <c r="T64" s="100"/>
      <c r="U64" s="100"/>
    </row>
    <row r="65" spans="1:21" x14ac:dyDescent="0.25">
      <c r="A65" s="99">
        <v>54</v>
      </c>
      <c r="B65" s="100">
        <v>323.39999999999998</v>
      </c>
      <c r="C65" s="100">
        <v>165.4</v>
      </c>
      <c r="D65" s="100">
        <v>112.8</v>
      </c>
      <c r="E65" s="100">
        <v>86.5</v>
      </c>
      <c r="F65" s="100">
        <v>70.8</v>
      </c>
      <c r="G65" s="100">
        <v>60.4</v>
      </c>
      <c r="H65" s="100">
        <v>53</v>
      </c>
      <c r="I65" s="100">
        <v>47.5</v>
      </c>
      <c r="J65" s="100">
        <v>43.2</v>
      </c>
      <c r="K65" s="100">
        <v>39.799999999999997</v>
      </c>
      <c r="L65" s="100">
        <v>37.1</v>
      </c>
      <c r="M65" s="100">
        <v>34.799999999999997</v>
      </c>
      <c r="N65" s="100">
        <v>32.9</v>
      </c>
      <c r="O65" s="100">
        <v>31.3</v>
      </c>
      <c r="P65" s="100"/>
      <c r="Q65" s="100"/>
      <c r="R65" s="100"/>
      <c r="S65" s="100"/>
      <c r="T65" s="100"/>
      <c r="U65" s="100"/>
    </row>
    <row r="66" spans="1:21" x14ac:dyDescent="0.25">
      <c r="A66" s="99">
        <v>55</v>
      </c>
      <c r="B66" s="100">
        <v>327.3</v>
      </c>
      <c r="C66" s="100">
        <v>167.5</v>
      </c>
      <c r="D66" s="100">
        <v>114.3</v>
      </c>
      <c r="E66" s="100">
        <v>87.7</v>
      </c>
      <c r="F66" s="100">
        <v>71.900000000000006</v>
      </c>
      <c r="G66" s="100">
        <v>61.3</v>
      </c>
      <c r="H66" s="100">
        <v>53.8</v>
      </c>
      <c r="I66" s="100">
        <v>48.2</v>
      </c>
      <c r="J66" s="100">
        <v>43.9</v>
      </c>
      <c r="K66" s="100">
        <v>40.5</v>
      </c>
      <c r="L66" s="100">
        <v>37.700000000000003</v>
      </c>
      <c r="M66" s="100">
        <v>35.4</v>
      </c>
      <c r="N66" s="100">
        <v>33.5</v>
      </c>
      <c r="O66" s="100"/>
      <c r="P66" s="100"/>
      <c r="Q66" s="100"/>
      <c r="R66" s="100"/>
      <c r="S66" s="100"/>
      <c r="T66" s="100"/>
      <c r="U66" s="100"/>
    </row>
    <row r="67" spans="1:21" x14ac:dyDescent="0.25">
      <c r="A67" s="99">
        <v>56</v>
      </c>
      <c r="B67" s="100">
        <v>331.3</v>
      </c>
      <c r="C67" s="100">
        <v>169.6</v>
      </c>
      <c r="D67" s="100">
        <v>115.8</v>
      </c>
      <c r="E67" s="100">
        <v>88.9</v>
      </c>
      <c r="F67" s="100">
        <v>72.900000000000006</v>
      </c>
      <c r="G67" s="100">
        <v>62.2</v>
      </c>
      <c r="H67" s="100">
        <v>54.6</v>
      </c>
      <c r="I67" s="100">
        <v>49</v>
      </c>
      <c r="J67" s="100">
        <v>44.6</v>
      </c>
      <c r="K67" s="100">
        <v>41.2</v>
      </c>
      <c r="L67" s="100">
        <v>38.4</v>
      </c>
      <c r="M67" s="100">
        <v>36.1</v>
      </c>
      <c r="N67" s="100"/>
      <c r="O67" s="100"/>
      <c r="P67" s="100"/>
      <c r="Q67" s="100"/>
      <c r="R67" s="100"/>
      <c r="S67" s="100"/>
      <c r="T67" s="100"/>
      <c r="U67" s="100"/>
    </row>
    <row r="68" spans="1:21" x14ac:dyDescent="0.25">
      <c r="A68" s="99">
        <v>57</v>
      </c>
      <c r="B68" s="100">
        <v>335.3</v>
      </c>
      <c r="C68" s="100">
        <v>171.7</v>
      </c>
      <c r="D68" s="100">
        <v>117.3</v>
      </c>
      <c r="E68" s="100">
        <v>90.2</v>
      </c>
      <c r="F68" s="100">
        <v>73.900000000000006</v>
      </c>
      <c r="G68" s="100">
        <v>63.2</v>
      </c>
      <c r="H68" s="100">
        <v>55.5</v>
      </c>
      <c r="I68" s="100">
        <v>49.8</v>
      </c>
      <c r="J68" s="100">
        <v>45.4</v>
      </c>
      <c r="K68" s="100">
        <v>41.9</v>
      </c>
      <c r="L68" s="100">
        <v>39.1</v>
      </c>
      <c r="M68" s="100"/>
      <c r="N68" s="100"/>
      <c r="O68" s="100"/>
      <c r="P68" s="100"/>
      <c r="Q68" s="100"/>
      <c r="R68" s="100"/>
      <c r="S68" s="100"/>
      <c r="T68" s="100"/>
      <c r="U68" s="100"/>
    </row>
    <row r="69" spans="1:21" x14ac:dyDescent="0.25">
      <c r="A69" s="99">
        <v>58</v>
      </c>
      <c r="B69" s="100">
        <v>339.4</v>
      </c>
      <c r="C69" s="100">
        <v>173.9</v>
      </c>
      <c r="D69" s="100">
        <v>118.9</v>
      </c>
      <c r="E69" s="100">
        <v>91.4</v>
      </c>
      <c r="F69" s="100">
        <v>75</v>
      </c>
      <c r="G69" s="100">
        <v>64.099999999999994</v>
      </c>
      <c r="H69" s="100">
        <v>56.4</v>
      </c>
      <c r="I69" s="100">
        <v>50.6</v>
      </c>
      <c r="J69" s="100">
        <v>46.1</v>
      </c>
      <c r="K69" s="100">
        <v>42.6</v>
      </c>
      <c r="L69" s="100"/>
      <c r="M69" s="100"/>
      <c r="N69" s="100"/>
      <c r="O69" s="100"/>
      <c r="P69" s="100"/>
      <c r="Q69" s="100"/>
      <c r="R69" s="100"/>
      <c r="S69" s="100"/>
      <c r="T69" s="100"/>
      <c r="U69" s="100"/>
    </row>
    <row r="70" spans="1:21" x14ac:dyDescent="0.25">
      <c r="A70" s="99">
        <v>59</v>
      </c>
      <c r="B70" s="100">
        <v>343.6</v>
      </c>
      <c r="C70" s="100">
        <v>176.2</v>
      </c>
      <c r="D70" s="100">
        <v>120.5</v>
      </c>
      <c r="E70" s="100">
        <v>92.7</v>
      </c>
      <c r="F70" s="100">
        <v>76.099999999999994</v>
      </c>
      <c r="G70" s="100">
        <v>65.099999999999994</v>
      </c>
      <c r="H70" s="100">
        <v>57.2</v>
      </c>
      <c r="I70" s="100">
        <v>51.4</v>
      </c>
      <c r="J70" s="100">
        <v>47</v>
      </c>
      <c r="K70" s="100"/>
      <c r="L70" s="100"/>
      <c r="M70" s="100"/>
      <c r="N70" s="100"/>
      <c r="O70" s="100"/>
      <c r="P70" s="100"/>
      <c r="Q70" s="100"/>
      <c r="R70" s="100"/>
      <c r="S70" s="100"/>
      <c r="T70" s="100"/>
      <c r="U70" s="100"/>
    </row>
    <row r="71" spans="1:21" x14ac:dyDescent="0.25">
      <c r="A71" s="99">
        <v>60</v>
      </c>
      <c r="B71" s="100">
        <v>348</v>
      </c>
      <c r="C71" s="100">
        <v>178.6</v>
      </c>
      <c r="D71" s="100">
        <v>122.2</v>
      </c>
      <c r="E71" s="100">
        <v>94.1</v>
      </c>
      <c r="F71" s="100">
        <v>77.3</v>
      </c>
      <c r="G71" s="100">
        <v>66.099999999999994</v>
      </c>
      <c r="H71" s="100">
        <v>58.2</v>
      </c>
      <c r="I71" s="100">
        <v>52.3</v>
      </c>
      <c r="J71" s="100"/>
      <c r="K71" s="100"/>
      <c r="L71" s="100"/>
      <c r="M71" s="100"/>
      <c r="N71" s="100"/>
      <c r="O71" s="100"/>
      <c r="P71" s="100"/>
      <c r="Q71" s="100"/>
      <c r="R71" s="100"/>
      <c r="S71" s="100"/>
      <c r="T71" s="100"/>
      <c r="U71" s="100"/>
    </row>
    <row r="72" spans="1:21" x14ac:dyDescent="0.25">
      <c r="A72" s="99">
        <v>61</v>
      </c>
      <c r="B72" s="100">
        <v>352.7</v>
      </c>
      <c r="C72" s="100">
        <v>181.1</v>
      </c>
      <c r="D72" s="100">
        <v>124</v>
      </c>
      <c r="E72" s="100">
        <v>95.5</v>
      </c>
      <c r="F72" s="100">
        <v>78.400000000000006</v>
      </c>
      <c r="G72" s="100">
        <v>67.099999999999994</v>
      </c>
      <c r="H72" s="100">
        <v>59.2</v>
      </c>
      <c r="I72" s="100"/>
      <c r="J72" s="100"/>
      <c r="K72" s="100"/>
      <c r="L72" s="100"/>
      <c r="M72" s="100"/>
      <c r="N72" s="100"/>
      <c r="O72" s="100"/>
      <c r="P72" s="100"/>
      <c r="Q72" s="100"/>
      <c r="R72" s="100"/>
      <c r="S72" s="100"/>
      <c r="T72" s="100"/>
      <c r="U72" s="100"/>
    </row>
    <row r="73" spans="1:21" x14ac:dyDescent="0.25">
      <c r="A73" s="99">
        <v>62</v>
      </c>
      <c r="B73" s="100">
        <v>357.6</v>
      </c>
      <c r="C73" s="100">
        <v>183.7</v>
      </c>
      <c r="D73" s="100">
        <v>125.8</v>
      </c>
      <c r="E73" s="100">
        <v>97</v>
      </c>
      <c r="F73" s="100">
        <v>79.7</v>
      </c>
      <c r="G73" s="100">
        <v>68.400000000000006</v>
      </c>
      <c r="H73" s="100"/>
      <c r="I73" s="100"/>
      <c r="J73" s="100"/>
      <c r="K73" s="100"/>
      <c r="L73" s="100"/>
      <c r="M73" s="100"/>
      <c r="N73" s="100"/>
      <c r="O73" s="100"/>
      <c r="P73" s="100"/>
      <c r="Q73" s="100"/>
      <c r="R73" s="100"/>
      <c r="S73" s="100"/>
      <c r="T73" s="100"/>
      <c r="U73" s="100"/>
    </row>
    <row r="74" spans="1:21" x14ac:dyDescent="0.25">
      <c r="A74" s="99">
        <v>63</v>
      </c>
      <c r="B74" s="100">
        <v>362.8</v>
      </c>
      <c r="C74" s="100">
        <v>186.5</v>
      </c>
      <c r="D74" s="100">
        <v>127.8</v>
      </c>
      <c r="E74" s="100">
        <v>98.5</v>
      </c>
      <c r="F74" s="100">
        <v>81.2</v>
      </c>
      <c r="G74" s="100"/>
      <c r="H74" s="100"/>
      <c r="I74" s="100"/>
      <c r="J74" s="100"/>
      <c r="K74" s="100"/>
      <c r="L74" s="100"/>
      <c r="M74" s="100"/>
      <c r="N74" s="100"/>
      <c r="O74" s="100"/>
      <c r="P74" s="100"/>
      <c r="Q74" s="100"/>
      <c r="R74" s="100"/>
      <c r="S74" s="100"/>
      <c r="T74" s="100"/>
      <c r="U74" s="100"/>
    </row>
    <row r="75" spans="1:21" x14ac:dyDescent="0.25">
      <c r="A75" s="99">
        <v>64</v>
      </c>
      <c r="B75" s="100">
        <v>368.5</v>
      </c>
      <c r="C75" s="100">
        <v>189.5</v>
      </c>
      <c r="D75" s="100">
        <v>129.9</v>
      </c>
      <c r="E75" s="100">
        <v>100.3</v>
      </c>
      <c r="F75" s="100"/>
      <c r="G75" s="100"/>
      <c r="H75" s="100"/>
      <c r="I75" s="100"/>
      <c r="J75" s="100"/>
      <c r="K75" s="100"/>
      <c r="L75" s="100"/>
      <c r="M75" s="100"/>
      <c r="N75" s="100"/>
      <c r="O75" s="100"/>
      <c r="P75" s="100"/>
      <c r="Q75" s="100"/>
      <c r="R75" s="100"/>
      <c r="S75" s="100"/>
      <c r="T75" s="100"/>
      <c r="U75" s="100"/>
    </row>
    <row r="76" spans="1:21" x14ac:dyDescent="0.25">
      <c r="A76" s="99">
        <v>65</v>
      </c>
      <c r="B76" s="100">
        <v>374.6</v>
      </c>
      <c r="C76" s="100">
        <v>192.7</v>
      </c>
      <c r="D76" s="100">
        <v>132.30000000000001</v>
      </c>
      <c r="E76" s="100"/>
      <c r="F76" s="100"/>
      <c r="G76" s="100"/>
      <c r="H76" s="100"/>
      <c r="I76" s="100"/>
      <c r="J76" s="100"/>
      <c r="K76" s="100"/>
      <c r="L76" s="100"/>
      <c r="M76" s="100"/>
      <c r="N76" s="100"/>
      <c r="O76" s="100"/>
      <c r="P76" s="100"/>
      <c r="Q76" s="100"/>
      <c r="R76" s="100"/>
      <c r="S76" s="100"/>
      <c r="T76" s="100"/>
      <c r="U76" s="100"/>
    </row>
    <row r="77" spans="1:21" x14ac:dyDescent="0.25">
      <c r="A77" s="99">
        <v>66</v>
      </c>
      <c r="B77" s="100">
        <v>381.1</v>
      </c>
      <c r="C77" s="100">
        <v>196.3</v>
      </c>
      <c r="D77" s="100"/>
      <c r="E77" s="100"/>
      <c r="F77" s="100"/>
      <c r="G77" s="100"/>
      <c r="H77" s="100"/>
      <c r="I77" s="100"/>
      <c r="J77" s="100"/>
      <c r="K77" s="100"/>
      <c r="L77" s="100"/>
      <c r="M77" s="100"/>
      <c r="N77" s="100"/>
      <c r="O77" s="100"/>
      <c r="P77" s="100"/>
      <c r="Q77" s="100"/>
      <c r="R77" s="100"/>
      <c r="S77" s="100"/>
      <c r="T77" s="100"/>
      <c r="U77" s="100"/>
    </row>
    <row r="78" spans="1:21" x14ac:dyDescent="0.25">
      <c r="A78" s="99">
        <v>67</v>
      </c>
      <c r="B78" s="100">
        <v>388.1</v>
      </c>
      <c r="C78" s="100"/>
      <c r="D78" s="100"/>
      <c r="E78" s="100"/>
      <c r="F78" s="100"/>
      <c r="G78" s="100"/>
      <c r="H78" s="100"/>
      <c r="I78" s="100"/>
      <c r="J78" s="100"/>
      <c r="K78" s="100"/>
      <c r="L78" s="100"/>
      <c r="M78" s="100"/>
      <c r="N78" s="100"/>
      <c r="O78" s="100"/>
      <c r="P78" s="100"/>
      <c r="Q78" s="100"/>
      <c r="R78" s="100"/>
      <c r="S78" s="100"/>
      <c r="T78" s="100"/>
      <c r="U78" s="100"/>
    </row>
  </sheetData>
  <sheetProtection algorithmName="SHA-512" hashValue="hFaUQTmWGAZJeJmGroKVy5HQ+bFY7DK3MqFgQguW/5psohNT6EhK+2RUFKYRmozZJ7hK1q6gkZ+tNrToFvLYbA==" saltValue="zn6GoZwkPe1d/QT7/mbCag==" spinCount="100000" sheet="1" objects="1" scenarios="1"/>
  <conditionalFormatting sqref="A6:A21">
    <cfRule type="expression" dxfId="317" priority="17" stopIfTrue="1">
      <formula>MOD(ROW(),2)=0</formula>
    </cfRule>
    <cfRule type="expression" dxfId="316" priority="18" stopIfTrue="1">
      <formula>MOD(ROW(),2)&lt;&gt;0</formula>
    </cfRule>
  </conditionalFormatting>
  <conditionalFormatting sqref="A26:A78">
    <cfRule type="expression" dxfId="315" priority="3" stopIfTrue="1">
      <formula>MOD(ROW(),2)=0</formula>
    </cfRule>
    <cfRule type="expression" dxfId="314" priority="4" stopIfTrue="1">
      <formula>MOD(ROW(),2)&lt;&gt;0</formula>
    </cfRule>
  </conditionalFormatting>
  <conditionalFormatting sqref="B17:B21">
    <cfRule type="expression" dxfId="313" priority="1" stopIfTrue="1">
      <formula>MOD(ROW(),2)=0</formula>
    </cfRule>
    <cfRule type="expression" dxfId="312" priority="2" stopIfTrue="1">
      <formula>MOD(ROW(),2)&lt;&gt;0</formula>
    </cfRule>
  </conditionalFormatting>
  <conditionalFormatting sqref="B6:U21">
    <cfRule type="expression" dxfId="311" priority="27" stopIfTrue="1">
      <formula>MOD(ROW(),2)=0</formula>
    </cfRule>
    <cfRule type="expression" dxfId="310" priority="28" stopIfTrue="1">
      <formula>MOD(ROW(),2)&lt;&gt;0</formula>
    </cfRule>
  </conditionalFormatting>
  <conditionalFormatting sqref="B26:U78">
    <cfRule type="expression" dxfId="309" priority="5" stopIfTrue="1">
      <formula>MOD(ROW(),2)=0</formula>
    </cfRule>
    <cfRule type="expression" dxfId="308" priority="6" stopIfTrue="1">
      <formula>MOD(ROW(),2)&lt;&gt;0</formula>
    </cfRule>
  </conditionalFormatting>
  <hyperlinks>
    <hyperlink ref="B24" location="Assumptions!A1" display="Assumptions" xr:uid="{272432CD-E1D9-4E2E-A96E-30639B7EE74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6"/>
  <dimension ref="A1:I78"/>
  <sheetViews>
    <sheetView showGridLines="0" zoomScale="85" zoomScaleNormal="85" workbookViewId="0">
      <selection activeCell="A4" sqref="A4"/>
    </sheetView>
  </sheetViews>
  <sheetFormatPr defaultColWidth="10" defaultRowHeight="12.5" x14ac:dyDescent="0.25"/>
  <cols>
    <col min="1" max="1" width="31.90625" style="25" customWidth="1"/>
    <col min="2" max="4" width="22.90625" style="25" customWidth="1"/>
    <col min="5" max="16384" width="10" style="25"/>
  </cols>
  <sheetData>
    <row r="1" spans="1:9" ht="20" x14ac:dyDescent="0.4">
      <c r="A1" s="36" t="s">
        <v>0</v>
      </c>
      <c r="B1" s="37"/>
      <c r="C1" s="37"/>
      <c r="D1" s="37"/>
      <c r="E1" s="37"/>
      <c r="F1" s="37"/>
      <c r="G1" s="37"/>
      <c r="H1" s="37"/>
      <c r="I1" s="37"/>
    </row>
    <row r="2" spans="1:9" ht="15.5" x14ac:dyDescent="0.35">
      <c r="A2" s="38"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Early retirement reduction buy out - x-720</v>
      </c>
      <c r="B3" s="39"/>
      <c r="C3" s="39"/>
      <c r="D3" s="39"/>
      <c r="E3" s="39"/>
      <c r="F3" s="39"/>
      <c r="G3" s="39"/>
      <c r="H3" s="39"/>
      <c r="I3" s="39"/>
    </row>
    <row r="4" spans="1:9" x14ac:dyDescent="0.25">
      <c r="A4" s="41"/>
    </row>
    <row r="6" spans="1:9" ht="13" x14ac:dyDescent="0.3">
      <c r="A6" s="83" t="s">
        <v>276</v>
      </c>
      <c r="B6" s="161" t="s">
        <v>277</v>
      </c>
      <c r="C6" s="161"/>
      <c r="D6" s="161"/>
    </row>
    <row r="7" spans="1:9" x14ac:dyDescent="0.25">
      <c r="A7" s="85" t="s">
        <v>278</v>
      </c>
      <c r="B7" s="161" t="s">
        <v>310</v>
      </c>
      <c r="C7" s="161"/>
      <c r="D7" s="161"/>
    </row>
    <row r="8" spans="1:9" x14ac:dyDescent="0.25">
      <c r="A8" s="85" t="s">
        <v>280</v>
      </c>
      <c r="B8" s="161" t="s">
        <v>513</v>
      </c>
      <c r="C8" s="161"/>
      <c r="D8" s="161"/>
    </row>
    <row r="9" spans="1:9" x14ac:dyDescent="0.25">
      <c r="A9" s="85" t="s">
        <v>282</v>
      </c>
      <c r="B9" s="161" t="s">
        <v>568</v>
      </c>
      <c r="C9" s="161"/>
      <c r="D9" s="161"/>
    </row>
    <row r="10" spans="1:9" x14ac:dyDescent="0.25">
      <c r="A10" s="85" t="s">
        <v>6</v>
      </c>
      <c r="B10" s="161" t="s">
        <v>569</v>
      </c>
      <c r="C10" s="161"/>
      <c r="D10" s="161"/>
    </row>
    <row r="11" spans="1:9" x14ac:dyDescent="0.25">
      <c r="A11" s="85" t="s">
        <v>285</v>
      </c>
      <c r="B11" s="161" t="s">
        <v>359</v>
      </c>
      <c r="C11" s="161"/>
      <c r="D11" s="161"/>
    </row>
    <row r="12" spans="1:9" x14ac:dyDescent="0.25">
      <c r="A12" s="85" t="s">
        <v>287</v>
      </c>
      <c r="B12" s="161" t="s">
        <v>570</v>
      </c>
      <c r="C12" s="161"/>
      <c r="D12" s="161"/>
    </row>
    <row r="13" spans="1:9" x14ac:dyDescent="0.25">
      <c r="A13" s="85" t="s">
        <v>289</v>
      </c>
      <c r="B13" s="161">
        <v>0</v>
      </c>
      <c r="C13" s="161"/>
      <c r="D13" s="161"/>
    </row>
    <row r="14" spans="1:9" x14ac:dyDescent="0.25">
      <c r="A14" s="85" t="s">
        <v>291</v>
      </c>
      <c r="B14" s="161">
        <v>720</v>
      </c>
      <c r="C14" s="161"/>
      <c r="D14" s="161"/>
    </row>
    <row r="15" spans="1:9" x14ac:dyDescent="0.25">
      <c r="A15" s="85" t="s">
        <v>293</v>
      </c>
      <c r="B15" s="161" t="s">
        <v>571</v>
      </c>
      <c r="C15" s="161"/>
      <c r="D15" s="161"/>
    </row>
    <row r="16" spans="1:9" x14ac:dyDescent="0.25">
      <c r="A16" s="85" t="s">
        <v>295</v>
      </c>
      <c r="B16" s="161" t="s">
        <v>572</v>
      </c>
      <c r="C16" s="161"/>
      <c r="D16" s="161"/>
    </row>
    <row r="17" spans="1:9" x14ac:dyDescent="0.25">
      <c r="A17" s="69" t="s">
        <v>725</v>
      </c>
      <c r="B17" s="161"/>
      <c r="C17" s="161"/>
      <c r="D17" s="161"/>
    </row>
    <row r="18" spans="1:9" x14ac:dyDescent="0.25">
      <c r="A18" s="85" t="s">
        <v>299</v>
      </c>
      <c r="B18" s="162">
        <v>45202</v>
      </c>
      <c r="C18" s="161"/>
      <c r="D18" s="161"/>
    </row>
    <row r="19" spans="1:9" x14ac:dyDescent="0.25">
      <c r="A19" s="85" t="s">
        <v>301</v>
      </c>
      <c r="B19" s="162">
        <v>45200</v>
      </c>
      <c r="C19" s="161"/>
      <c r="D19" s="161"/>
    </row>
    <row r="20" spans="1:9" x14ac:dyDescent="0.25">
      <c r="A20" s="85" t="s">
        <v>303</v>
      </c>
      <c r="B20" s="161" t="s">
        <v>317</v>
      </c>
      <c r="C20" s="161"/>
      <c r="D20" s="161"/>
    </row>
    <row r="21" spans="1:9" x14ac:dyDescent="0.25">
      <c r="A21" s="85" t="s">
        <v>309</v>
      </c>
      <c r="B21" s="161" t="s">
        <v>318</v>
      </c>
      <c r="C21" s="161"/>
      <c r="D21" s="161"/>
    </row>
    <row r="23" spans="1:9" x14ac:dyDescent="0.25">
      <c r="B23" s="103" t="str">
        <f>HYPERLINK("#'Factor List'!A1","Back to Factor List")</f>
        <v>Back to Factor List</v>
      </c>
    </row>
    <row r="24" spans="1:9" x14ac:dyDescent="0.25">
      <c r="B24" s="103" t="s">
        <v>15</v>
      </c>
    </row>
    <row r="26" spans="1:9" ht="78" x14ac:dyDescent="0.25">
      <c r="A26" s="87" t="s">
        <v>408</v>
      </c>
      <c r="B26" s="87" t="s">
        <v>798</v>
      </c>
      <c r="C26" s="87" t="s">
        <v>799</v>
      </c>
      <c r="D26" s="87" t="s">
        <v>800</v>
      </c>
    </row>
    <row r="27" spans="1:9" x14ac:dyDescent="0.25">
      <c r="A27" s="88">
        <v>16</v>
      </c>
      <c r="B27" s="92">
        <v>1.5599999999999999E-2</v>
      </c>
      <c r="C27" s="92">
        <v>3.1300000000000001E-2</v>
      </c>
      <c r="D27" s="92">
        <v>4.6899999999999997E-2</v>
      </c>
    </row>
    <row r="28" spans="1:9" x14ac:dyDescent="0.25">
      <c r="A28" s="88">
        <v>17</v>
      </c>
      <c r="B28" s="92">
        <v>1.5599999999999999E-2</v>
      </c>
      <c r="C28" s="92">
        <v>3.1199999999999999E-2</v>
      </c>
      <c r="D28" s="92">
        <v>4.6899999999999997E-2</v>
      </c>
    </row>
    <row r="29" spans="1:9" x14ac:dyDescent="0.25">
      <c r="A29" s="88">
        <v>18</v>
      </c>
      <c r="B29" s="92">
        <v>1.5599999999999999E-2</v>
      </c>
      <c r="C29" s="92">
        <v>3.1199999999999999E-2</v>
      </c>
      <c r="D29" s="92">
        <v>4.6800000000000001E-2</v>
      </c>
    </row>
    <row r="30" spans="1:9" ht="14.5" x14ac:dyDescent="0.35">
      <c r="A30" s="88">
        <v>19</v>
      </c>
      <c r="B30" s="92">
        <v>1.5599999999999999E-2</v>
      </c>
      <c r="C30" s="92">
        <v>3.1199999999999999E-2</v>
      </c>
      <c r="D30" s="92">
        <v>4.6800000000000001E-2</v>
      </c>
      <c r="I30" s="93"/>
    </row>
    <row r="31" spans="1:9" x14ac:dyDescent="0.25">
      <c r="A31" s="88">
        <v>20</v>
      </c>
      <c r="B31" s="92">
        <v>1.5599999999999999E-2</v>
      </c>
      <c r="C31" s="92">
        <v>3.1199999999999999E-2</v>
      </c>
      <c r="D31" s="92">
        <v>4.6800000000000001E-2</v>
      </c>
    </row>
    <row r="32" spans="1:9" x14ac:dyDescent="0.25">
      <c r="A32" s="88">
        <v>21</v>
      </c>
      <c r="B32" s="92">
        <v>1.5599999999999999E-2</v>
      </c>
      <c r="C32" s="92">
        <v>3.1199999999999999E-2</v>
      </c>
      <c r="D32" s="92">
        <v>4.6800000000000001E-2</v>
      </c>
    </row>
    <row r="33" spans="1:4" x14ac:dyDescent="0.25">
      <c r="A33" s="88">
        <v>22</v>
      </c>
      <c r="B33" s="92">
        <v>1.5599999999999999E-2</v>
      </c>
      <c r="C33" s="92">
        <v>3.1199999999999999E-2</v>
      </c>
      <c r="D33" s="92">
        <v>4.6800000000000001E-2</v>
      </c>
    </row>
    <row r="34" spans="1:4" x14ac:dyDescent="0.25">
      <c r="A34" s="88">
        <v>23</v>
      </c>
      <c r="B34" s="92">
        <v>1.5599999999999999E-2</v>
      </c>
      <c r="C34" s="92">
        <v>3.1199999999999999E-2</v>
      </c>
      <c r="D34" s="92">
        <v>4.6800000000000001E-2</v>
      </c>
    </row>
    <row r="35" spans="1:4" x14ac:dyDescent="0.25">
      <c r="A35" s="88">
        <v>24</v>
      </c>
      <c r="B35" s="92">
        <v>1.5599999999999999E-2</v>
      </c>
      <c r="C35" s="92">
        <v>3.1199999999999999E-2</v>
      </c>
      <c r="D35" s="92">
        <v>4.6800000000000001E-2</v>
      </c>
    </row>
    <row r="36" spans="1:4" x14ac:dyDescent="0.25">
      <c r="A36" s="88">
        <v>25</v>
      </c>
      <c r="B36" s="92">
        <v>1.5599999999999999E-2</v>
      </c>
      <c r="C36" s="92">
        <v>3.1199999999999999E-2</v>
      </c>
      <c r="D36" s="92">
        <v>4.6800000000000001E-2</v>
      </c>
    </row>
    <row r="37" spans="1:4" x14ac:dyDescent="0.25">
      <c r="A37" s="88">
        <v>26</v>
      </c>
      <c r="B37" s="92">
        <v>1.5599999999999999E-2</v>
      </c>
      <c r="C37" s="92">
        <v>3.1199999999999999E-2</v>
      </c>
      <c r="D37" s="92">
        <v>4.6699999999999998E-2</v>
      </c>
    </row>
    <row r="38" spans="1:4" x14ac:dyDescent="0.25">
      <c r="A38" s="88">
        <v>27</v>
      </c>
      <c r="B38" s="92">
        <v>1.5599999999999999E-2</v>
      </c>
      <c r="C38" s="92">
        <v>3.1199999999999999E-2</v>
      </c>
      <c r="D38" s="92">
        <v>4.6699999999999998E-2</v>
      </c>
    </row>
    <row r="39" spans="1:4" x14ac:dyDescent="0.25">
      <c r="A39" s="88">
        <v>28</v>
      </c>
      <c r="B39" s="92">
        <v>1.5599999999999999E-2</v>
      </c>
      <c r="C39" s="92">
        <v>3.1199999999999999E-2</v>
      </c>
      <c r="D39" s="92">
        <v>4.6699999999999998E-2</v>
      </c>
    </row>
    <row r="40" spans="1:4" x14ac:dyDescent="0.25">
      <c r="A40" s="88">
        <v>29</v>
      </c>
      <c r="B40" s="92">
        <v>1.5599999999999999E-2</v>
      </c>
      <c r="C40" s="92">
        <v>3.1199999999999999E-2</v>
      </c>
      <c r="D40" s="92">
        <v>4.6699999999999998E-2</v>
      </c>
    </row>
    <row r="41" spans="1:4" x14ac:dyDescent="0.25">
      <c r="A41" s="88">
        <v>30</v>
      </c>
      <c r="B41" s="92">
        <v>1.5599999999999999E-2</v>
      </c>
      <c r="C41" s="92">
        <v>3.1199999999999999E-2</v>
      </c>
      <c r="D41" s="92">
        <v>4.6699999999999998E-2</v>
      </c>
    </row>
    <row r="42" spans="1:4" x14ac:dyDescent="0.25">
      <c r="A42" s="88">
        <v>31</v>
      </c>
      <c r="B42" s="92">
        <v>1.5599999999999999E-2</v>
      </c>
      <c r="C42" s="92">
        <v>3.1199999999999999E-2</v>
      </c>
      <c r="D42" s="92">
        <v>4.6699999999999998E-2</v>
      </c>
    </row>
    <row r="43" spans="1:4" x14ac:dyDescent="0.25">
      <c r="A43" s="88">
        <v>32</v>
      </c>
      <c r="B43" s="92">
        <v>1.5599999999999999E-2</v>
      </c>
      <c r="C43" s="92">
        <v>3.1199999999999999E-2</v>
      </c>
      <c r="D43" s="92">
        <v>4.6699999999999998E-2</v>
      </c>
    </row>
    <row r="44" spans="1:4" x14ac:dyDescent="0.25">
      <c r="A44" s="88">
        <v>33</v>
      </c>
      <c r="B44" s="92">
        <v>1.5599999999999999E-2</v>
      </c>
      <c r="C44" s="92">
        <v>3.1199999999999999E-2</v>
      </c>
      <c r="D44" s="92">
        <v>4.6699999999999998E-2</v>
      </c>
    </row>
    <row r="45" spans="1:4" x14ac:dyDescent="0.25">
      <c r="A45" s="88">
        <v>34</v>
      </c>
      <c r="B45" s="92">
        <v>1.5599999999999999E-2</v>
      </c>
      <c r="C45" s="92">
        <v>3.1199999999999999E-2</v>
      </c>
      <c r="D45" s="92">
        <v>4.6800000000000001E-2</v>
      </c>
    </row>
    <row r="46" spans="1:4" x14ac:dyDescent="0.25">
      <c r="A46" s="88">
        <v>35</v>
      </c>
      <c r="B46" s="92">
        <v>1.5599999999999999E-2</v>
      </c>
      <c r="C46" s="92">
        <v>3.1199999999999999E-2</v>
      </c>
      <c r="D46" s="92">
        <v>4.6800000000000001E-2</v>
      </c>
    </row>
    <row r="47" spans="1:4" x14ac:dyDescent="0.25">
      <c r="A47" s="88">
        <v>36</v>
      </c>
      <c r="B47" s="92">
        <v>1.5599999999999999E-2</v>
      </c>
      <c r="C47" s="92">
        <v>3.1199999999999999E-2</v>
      </c>
      <c r="D47" s="92">
        <v>4.6800000000000001E-2</v>
      </c>
    </row>
    <row r="48" spans="1:4" x14ac:dyDescent="0.25">
      <c r="A48" s="88">
        <v>37</v>
      </c>
      <c r="B48" s="92">
        <v>1.5599999999999999E-2</v>
      </c>
      <c r="C48" s="92">
        <v>3.1199999999999999E-2</v>
      </c>
      <c r="D48" s="92">
        <v>4.6800000000000001E-2</v>
      </c>
    </row>
    <row r="49" spans="1:4" x14ac:dyDescent="0.25">
      <c r="A49" s="88">
        <v>38</v>
      </c>
      <c r="B49" s="92">
        <v>1.5599999999999999E-2</v>
      </c>
      <c r="C49" s="92">
        <v>3.1199999999999999E-2</v>
      </c>
      <c r="D49" s="92">
        <v>4.6800000000000001E-2</v>
      </c>
    </row>
    <row r="50" spans="1:4" x14ac:dyDescent="0.25">
      <c r="A50" s="88">
        <v>39</v>
      </c>
      <c r="B50" s="92">
        <v>1.5599999999999999E-2</v>
      </c>
      <c r="C50" s="92">
        <v>3.1199999999999999E-2</v>
      </c>
      <c r="D50" s="92">
        <v>4.6800000000000001E-2</v>
      </c>
    </row>
    <row r="51" spans="1:4" x14ac:dyDescent="0.25">
      <c r="A51" s="88">
        <v>40</v>
      </c>
      <c r="B51" s="92">
        <v>1.5599999999999999E-2</v>
      </c>
      <c r="C51" s="92">
        <v>3.1300000000000001E-2</v>
      </c>
      <c r="D51" s="92">
        <v>4.6899999999999997E-2</v>
      </c>
    </row>
    <row r="52" spans="1:4" x14ac:dyDescent="0.25">
      <c r="A52" s="88">
        <v>41</v>
      </c>
      <c r="B52" s="92">
        <v>1.5599999999999999E-2</v>
      </c>
      <c r="C52" s="92">
        <v>3.1300000000000001E-2</v>
      </c>
      <c r="D52" s="92">
        <v>4.6899999999999997E-2</v>
      </c>
    </row>
    <row r="53" spans="1:4" x14ac:dyDescent="0.25">
      <c r="A53" s="88">
        <v>42</v>
      </c>
      <c r="B53" s="92">
        <v>1.5699999999999999E-2</v>
      </c>
      <c r="C53" s="92">
        <v>3.1300000000000001E-2</v>
      </c>
      <c r="D53" s="92">
        <v>4.7E-2</v>
      </c>
    </row>
    <row r="54" spans="1:4" x14ac:dyDescent="0.25">
      <c r="A54" s="88">
        <v>43</v>
      </c>
      <c r="B54" s="92">
        <v>1.5699999999999999E-2</v>
      </c>
      <c r="C54" s="92">
        <v>3.1300000000000001E-2</v>
      </c>
      <c r="D54" s="92">
        <v>4.7E-2</v>
      </c>
    </row>
    <row r="55" spans="1:4" x14ac:dyDescent="0.25">
      <c r="A55" s="88">
        <v>44</v>
      </c>
      <c r="B55" s="92">
        <v>1.5699999999999999E-2</v>
      </c>
      <c r="C55" s="92">
        <v>3.1399999999999997E-2</v>
      </c>
      <c r="D55" s="92">
        <v>4.7E-2</v>
      </c>
    </row>
    <row r="56" spans="1:4" x14ac:dyDescent="0.25">
      <c r="A56" s="88">
        <v>45</v>
      </c>
      <c r="B56" s="92">
        <v>1.5699999999999999E-2</v>
      </c>
      <c r="C56" s="92">
        <v>3.1399999999999997E-2</v>
      </c>
      <c r="D56" s="92">
        <v>4.7100000000000003E-2</v>
      </c>
    </row>
    <row r="57" spans="1:4" x14ac:dyDescent="0.25">
      <c r="A57" s="88">
        <v>46</v>
      </c>
      <c r="B57" s="92">
        <v>1.5699999999999999E-2</v>
      </c>
      <c r="C57" s="92">
        <v>3.1399999999999997E-2</v>
      </c>
      <c r="D57" s="92">
        <v>4.7199999999999999E-2</v>
      </c>
    </row>
    <row r="58" spans="1:4" x14ac:dyDescent="0.25">
      <c r="A58" s="88">
        <v>47</v>
      </c>
      <c r="B58" s="92">
        <v>1.5699999999999999E-2</v>
      </c>
      <c r="C58" s="92">
        <v>3.15E-2</v>
      </c>
      <c r="D58" s="92">
        <v>4.7199999999999999E-2</v>
      </c>
    </row>
    <row r="59" spans="1:4" x14ac:dyDescent="0.25">
      <c r="A59" s="88">
        <v>48</v>
      </c>
      <c r="B59" s="92">
        <v>1.5800000000000002E-2</v>
      </c>
      <c r="C59" s="92">
        <v>3.1600000000000003E-2</v>
      </c>
      <c r="D59" s="92">
        <v>4.7300000000000002E-2</v>
      </c>
    </row>
    <row r="60" spans="1:4" x14ac:dyDescent="0.25">
      <c r="A60" s="88">
        <v>49</v>
      </c>
      <c r="B60" s="92">
        <v>1.5800000000000002E-2</v>
      </c>
      <c r="C60" s="92">
        <v>3.1600000000000003E-2</v>
      </c>
      <c r="D60" s="92">
        <v>4.7399999999999998E-2</v>
      </c>
    </row>
    <row r="61" spans="1:4" x14ac:dyDescent="0.25">
      <c r="A61" s="88">
        <v>50</v>
      </c>
      <c r="B61" s="92">
        <v>1.5800000000000002E-2</v>
      </c>
      <c r="C61" s="92">
        <v>3.1699999999999999E-2</v>
      </c>
      <c r="D61" s="92">
        <v>4.7500000000000001E-2</v>
      </c>
    </row>
    <row r="62" spans="1:4" x14ac:dyDescent="0.25">
      <c r="A62" s="88">
        <v>51</v>
      </c>
      <c r="B62" s="92">
        <v>1.5900000000000001E-2</v>
      </c>
      <c r="C62" s="92">
        <v>3.1800000000000002E-2</v>
      </c>
      <c r="D62" s="92">
        <v>4.7600000000000003E-2</v>
      </c>
    </row>
    <row r="63" spans="1:4" x14ac:dyDescent="0.25">
      <c r="A63" s="88">
        <v>52</v>
      </c>
      <c r="B63" s="92">
        <v>1.5900000000000001E-2</v>
      </c>
      <c r="C63" s="92">
        <v>3.1800000000000002E-2</v>
      </c>
      <c r="D63" s="92">
        <v>4.7800000000000002E-2</v>
      </c>
    </row>
    <row r="64" spans="1:4" x14ac:dyDescent="0.25">
      <c r="A64" s="88">
        <v>53</v>
      </c>
      <c r="B64" s="92">
        <v>1.6E-2</v>
      </c>
      <c r="C64" s="92">
        <v>3.1899999999999998E-2</v>
      </c>
      <c r="D64" s="92">
        <v>4.7899999999999998E-2</v>
      </c>
    </row>
    <row r="65" spans="1:4" x14ac:dyDescent="0.25">
      <c r="A65" s="88">
        <v>54</v>
      </c>
      <c r="B65" s="92">
        <v>1.6E-2</v>
      </c>
      <c r="C65" s="92">
        <v>3.2099999999999997E-2</v>
      </c>
      <c r="D65" s="92">
        <v>4.8099999999999997E-2</v>
      </c>
    </row>
    <row r="66" spans="1:4" x14ac:dyDescent="0.25">
      <c r="A66" s="88">
        <v>55</v>
      </c>
      <c r="B66" s="92">
        <v>1.61E-2</v>
      </c>
      <c r="C66" s="92">
        <v>3.2199999999999999E-2</v>
      </c>
      <c r="D66" s="92">
        <v>4.8300000000000003E-2</v>
      </c>
    </row>
    <row r="67" spans="1:4" x14ac:dyDescent="0.25">
      <c r="A67" s="88">
        <v>56</v>
      </c>
      <c r="B67" s="92">
        <v>1.6199999999999999E-2</v>
      </c>
      <c r="C67" s="92">
        <v>3.2300000000000002E-2</v>
      </c>
      <c r="D67" s="92">
        <v>4.8500000000000001E-2</v>
      </c>
    </row>
    <row r="68" spans="1:4" x14ac:dyDescent="0.25">
      <c r="A68" s="88">
        <v>57</v>
      </c>
      <c r="B68" s="92">
        <v>1.6199999999999999E-2</v>
      </c>
      <c r="C68" s="92">
        <v>3.2399999999999998E-2</v>
      </c>
      <c r="D68" s="92">
        <v>4.87E-2</v>
      </c>
    </row>
    <row r="69" spans="1:4" x14ac:dyDescent="0.25">
      <c r="A69" s="88">
        <v>58</v>
      </c>
      <c r="B69" s="92">
        <v>1.6299999999999999E-2</v>
      </c>
      <c r="C69" s="92">
        <v>3.2599999999999997E-2</v>
      </c>
      <c r="D69" s="92">
        <v>4.8899999999999999E-2</v>
      </c>
    </row>
    <row r="70" spans="1:4" x14ac:dyDescent="0.25">
      <c r="A70" s="88">
        <v>59</v>
      </c>
      <c r="B70" s="92">
        <v>1.6400000000000001E-2</v>
      </c>
      <c r="C70" s="92">
        <v>3.2800000000000003E-2</v>
      </c>
      <c r="D70" s="92">
        <v>4.9200000000000001E-2</v>
      </c>
    </row>
    <row r="71" spans="1:4" x14ac:dyDescent="0.25">
      <c r="A71" s="88">
        <v>60</v>
      </c>
      <c r="B71" s="92">
        <v>1.6500000000000001E-2</v>
      </c>
      <c r="C71" s="92">
        <v>3.3000000000000002E-2</v>
      </c>
      <c r="D71" s="92">
        <v>4.9399999999999999E-2</v>
      </c>
    </row>
    <row r="72" spans="1:4" x14ac:dyDescent="0.25">
      <c r="A72" s="88">
        <v>61</v>
      </c>
      <c r="B72" s="92">
        <v>1.66E-2</v>
      </c>
      <c r="C72" s="92">
        <v>3.32E-2</v>
      </c>
      <c r="D72" s="92">
        <v>4.9700000000000001E-2</v>
      </c>
    </row>
    <row r="73" spans="1:4" x14ac:dyDescent="0.25">
      <c r="A73" s="88">
        <v>62</v>
      </c>
      <c r="B73" s="92">
        <v>1.67E-2</v>
      </c>
      <c r="C73" s="92">
        <v>3.3399999999999999E-2</v>
      </c>
      <c r="D73" s="92">
        <v>5.0099999999999999E-2</v>
      </c>
    </row>
    <row r="74" spans="1:4" x14ac:dyDescent="0.25">
      <c r="A74" s="88">
        <v>63</v>
      </c>
      <c r="B74" s="92">
        <v>1.6799999999999999E-2</v>
      </c>
      <c r="C74" s="92">
        <v>3.3599999999999998E-2</v>
      </c>
      <c r="D74" s="92">
        <v>5.04E-2</v>
      </c>
    </row>
    <row r="75" spans="1:4" x14ac:dyDescent="0.25">
      <c r="A75" s="88">
        <v>64</v>
      </c>
      <c r="B75" s="92">
        <v>1.6899999999999998E-2</v>
      </c>
      <c r="C75" s="92">
        <v>3.3799999999999997E-2</v>
      </c>
      <c r="D75" s="92">
        <v>5.0799999999999998E-2</v>
      </c>
    </row>
    <row r="76" spans="1:4" x14ac:dyDescent="0.25">
      <c r="A76" s="88">
        <v>65</v>
      </c>
      <c r="B76" s="92">
        <v>1.7000000000000001E-2</v>
      </c>
      <c r="C76" s="92">
        <v>3.4099999999999998E-2</v>
      </c>
      <c r="D76" s="92"/>
    </row>
    <row r="77" spans="1:4" x14ac:dyDescent="0.25">
      <c r="A77" s="88">
        <v>66</v>
      </c>
      <c r="B77" s="92">
        <v>1.72E-2</v>
      </c>
      <c r="C77" s="92"/>
      <c r="D77" s="92"/>
    </row>
    <row r="78" spans="1:4" x14ac:dyDescent="0.25">
      <c r="A78" s="88">
        <v>67</v>
      </c>
      <c r="B78" s="92"/>
      <c r="C78" s="92"/>
      <c r="D78" s="92"/>
    </row>
  </sheetData>
  <sheetProtection algorithmName="SHA-512" hashValue="z2FJEJt9qnrC2Ki83X2hAF6SuFV5YjqWYhq95OH276YhejT69X/9O7/F/IRDTgJw7OPgIP/ZJFKkNy0sytd76w==" saltValue="GpDDRU7ELyZBaiF0piE+ew==" spinCount="100000" sheet="1" objects="1" scenarios="1"/>
  <conditionalFormatting sqref="A6:A21">
    <cfRule type="expression" dxfId="307" priority="3" stopIfTrue="1">
      <formula>MOD(ROW(),2)=0</formula>
    </cfRule>
    <cfRule type="expression" dxfId="306" priority="4" stopIfTrue="1">
      <formula>MOD(ROW(),2)&lt;&gt;0</formula>
    </cfRule>
  </conditionalFormatting>
  <conditionalFormatting sqref="A26:A78">
    <cfRule type="expression" dxfId="305" priority="7" stopIfTrue="1">
      <formula>MOD(ROW(),2)=0</formula>
    </cfRule>
    <cfRule type="expression" dxfId="304" priority="8" stopIfTrue="1">
      <formula>MOD(ROW(),2)&lt;&gt;0</formula>
    </cfRule>
  </conditionalFormatting>
  <conditionalFormatting sqref="B17:B21">
    <cfRule type="expression" dxfId="303" priority="1" stopIfTrue="1">
      <formula>MOD(ROW(),2)=0</formula>
    </cfRule>
    <cfRule type="expression" dxfId="302" priority="2" stopIfTrue="1">
      <formula>MOD(ROW(),2)&lt;&gt;0</formula>
    </cfRule>
  </conditionalFormatting>
  <conditionalFormatting sqref="B6:D21">
    <cfRule type="expression" dxfId="301" priority="21" stopIfTrue="1">
      <formula>MOD(ROW(),2)=0</formula>
    </cfRule>
    <cfRule type="expression" dxfId="300" priority="22" stopIfTrue="1">
      <formula>MOD(ROW(),2)&lt;&gt;0</formula>
    </cfRule>
  </conditionalFormatting>
  <conditionalFormatting sqref="B26:D78">
    <cfRule type="expression" dxfId="299" priority="9" stopIfTrue="1">
      <formula>MOD(ROW(),2)=0</formula>
    </cfRule>
    <cfRule type="expression" dxfId="298" priority="10" stopIfTrue="1">
      <formula>MOD(ROW(),2)&lt;&gt;0</formula>
    </cfRule>
  </conditionalFormatting>
  <hyperlinks>
    <hyperlink ref="B24" location="Assumptions!A1" display="Assumptions" xr:uid="{B54F14FD-4072-46ED-B817-C651FB91F77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106"/>
  <dimension ref="A1:AA104"/>
  <sheetViews>
    <sheetView showGridLines="0" zoomScale="85" zoomScaleNormal="85" workbookViewId="0">
      <selection activeCell="A4" sqref="A4"/>
    </sheetView>
  </sheetViews>
  <sheetFormatPr defaultColWidth="10" defaultRowHeight="12.5" x14ac:dyDescent="0.25"/>
  <cols>
    <col min="1" max="1" width="31.90625" style="25" customWidth="1"/>
    <col min="2" max="27" width="22.90625" style="25" customWidth="1"/>
    <col min="28" max="16384" width="10" style="25"/>
  </cols>
  <sheetData>
    <row r="1" spans="1:27" ht="20" x14ac:dyDescent="0.4">
      <c r="A1" s="36" t="s">
        <v>0</v>
      </c>
      <c r="B1" s="37"/>
      <c r="C1" s="37"/>
      <c r="D1" s="37"/>
      <c r="E1" s="37"/>
      <c r="F1" s="37"/>
      <c r="G1" s="37"/>
      <c r="H1" s="37"/>
      <c r="I1" s="37"/>
    </row>
    <row r="2" spans="1:27" ht="15.5" x14ac:dyDescent="0.35">
      <c r="A2" s="38" t="str">
        <f>IF(title="&gt; Enter workbook title here","Enter workbook title in Cover sheet",title)</f>
        <v>NHSPS_NI - Consolidated Factor Spreadsheet</v>
      </c>
      <c r="B2" s="39"/>
      <c r="C2" s="39"/>
      <c r="D2" s="39"/>
      <c r="E2" s="39"/>
      <c r="F2" s="39"/>
      <c r="G2" s="39"/>
      <c r="H2" s="39"/>
      <c r="I2" s="39"/>
    </row>
    <row r="3" spans="1:27" ht="15.5" x14ac:dyDescent="0.35">
      <c r="A3" s="40" t="str">
        <f>TABLE_FACTOR_TYPE_1&amp;" - x-"&amp;TABLE_SERIES_NUMBER_1</f>
        <v>Allocation - x-721</v>
      </c>
      <c r="B3" s="39"/>
      <c r="C3" s="39"/>
      <c r="D3" s="39"/>
      <c r="E3" s="39"/>
      <c r="F3" s="39"/>
      <c r="G3" s="39"/>
      <c r="H3" s="39"/>
      <c r="I3" s="39"/>
    </row>
    <row r="4" spans="1:27" x14ac:dyDescent="0.25">
      <c r="A4" s="41"/>
    </row>
    <row r="6" spans="1:27" ht="13" x14ac:dyDescent="0.3">
      <c r="A6" s="83" t="s">
        <v>276</v>
      </c>
      <c r="B6" s="161" t="s">
        <v>277</v>
      </c>
      <c r="C6" s="161"/>
      <c r="D6" s="161"/>
      <c r="E6" s="161"/>
      <c r="F6" s="161"/>
      <c r="G6" s="161"/>
      <c r="H6" s="161"/>
      <c r="I6" s="161"/>
      <c r="J6" s="161"/>
      <c r="K6" s="161"/>
      <c r="L6" s="161"/>
      <c r="M6" s="161"/>
      <c r="N6" s="161"/>
      <c r="O6" s="161"/>
      <c r="P6" s="161"/>
      <c r="Q6" s="161"/>
      <c r="R6" s="161"/>
      <c r="S6" s="161"/>
      <c r="T6" s="161"/>
      <c r="U6" s="161"/>
      <c r="V6" s="161"/>
      <c r="W6" s="161"/>
      <c r="X6" s="161"/>
      <c r="Y6" s="161"/>
      <c r="Z6" s="161"/>
      <c r="AA6" s="161"/>
    </row>
    <row r="7" spans="1:27" x14ac:dyDescent="0.25">
      <c r="A7" s="85" t="s">
        <v>278</v>
      </c>
      <c r="B7" s="161" t="s">
        <v>310</v>
      </c>
      <c r="C7" s="161"/>
      <c r="D7" s="161"/>
      <c r="E7" s="161"/>
      <c r="F7" s="161"/>
      <c r="G7" s="161"/>
      <c r="H7" s="161"/>
      <c r="I7" s="161"/>
      <c r="J7" s="161"/>
      <c r="K7" s="161"/>
      <c r="L7" s="161"/>
      <c r="M7" s="161"/>
      <c r="N7" s="161"/>
      <c r="O7" s="161"/>
      <c r="P7" s="161"/>
      <c r="Q7" s="161"/>
      <c r="R7" s="161"/>
      <c r="S7" s="161"/>
      <c r="T7" s="161"/>
      <c r="U7" s="161"/>
      <c r="V7" s="161"/>
      <c r="W7" s="161"/>
      <c r="X7" s="161"/>
      <c r="Y7" s="161"/>
      <c r="Z7" s="161"/>
      <c r="AA7" s="161"/>
    </row>
    <row r="8" spans="1:27" x14ac:dyDescent="0.25">
      <c r="A8" s="85" t="s">
        <v>280</v>
      </c>
      <c r="B8" s="161" t="s">
        <v>75</v>
      </c>
      <c r="C8" s="161"/>
      <c r="D8" s="161"/>
      <c r="E8" s="161"/>
      <c r="F8" s="161"/>
      <c r="G8" s="161"/>
      <c r="H8" s="161"/>
      <c r="I8" s="161"/>
      <c r="J8" s="161"/>
      <c r="K8" s="161"/>
      <c r="L8" s="161"/>
      <c r="M8" s="161"/>
      <c r="N8" s="161"/>
      <c r="O8" s="161"/>
      <c r="P8" s="161"/>
      <c r="Q8" s="161"/>
      <c r="R8" s="161"/>
      <c r="S8" s="161"/>
      <c r="T8" s="161"/>
      <c r="U8" s="161"/>
      <c r="V8" s="161"/>
      <c r="W8" s="161"/>
      <c r="X8" s="161"/>
      <c r="Y8" s="161"/>
      <c r="Z8" s="161"/>
      <c r="AA8" s="161"/>
    </row>
    <row r="9" spans="1:27" x14ac:dyDescent="0.25">
      <c r="A9" s="85" t="s">
        <v>282</v>
      </c>
      <c r="B9" s="161" t="s">
        <v>573</v>
      </c>
      <c r="C9" s="161"/>
      <c r="D9" s="161"/>
      <c r="E9" s="161"/>
      <c r="F9" s="161"/>
      <c r="G9" s="161"/>
      <c r="H9" s="161"/>
      <c r="I9" s="161"/>
      <c r="J9" s="161"/>
      <c r="K9" s="161"/>
      <c r="L9" s="161"/>
      <c r="M9" s="161"/>
      <c r="N9" s="161"/>
      <c r="O9" s="161"/>
      <c r="P9" s="161"/>
      <c r="Q9" s="161"/>
      <c r="R9" s="161"/>
      <c r="S9" s="161"/>
      <c r="T9" s="161"/>
      <c r="U9" s="161"/>
      <c r="V9" s="161"/>
      <c r="W9" s="161"/>
      <c r="X9" s="161"/>
      <c r="Y9" s="161"/>
      <c r="Z9" s="161"/>
      <c r="AA9" s="161"/>
    </row>
    <row r="10" spans="1:27" x14ac:dyDescent="0.25">
      <c r="A10" s="85" t="s">
        <v>6</v>
      </c>
      <c r="B10" s="161" t="s">
        <v>574</v>
      </c>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row>
    <row r="11" spans="1:27" x14ac:dyDescent="0.25">
      <c r="A11" s="85" t="s">
        <v>285</v>
      </c>
      <c r="B11" s="161" t="s">
        <v>359</v>
      </c>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row>
    <row r="12" spans="1:27" x14ac:dyDescent="0.25">
      <c r="A12" s="85" t="s">
        <v>287</v>
      </c>
      <c r="B12" s="161" t="s">
        <v>575</v>
      </c>
      <c r="C12" s="161"/>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row>
    <row r="13" spans="1:27" x14ac:dyDescent="0.25">
      <c r="A13" s="85" t="s">
        <v>289</v>
      </c>
      <c r="B13" s="161">
        <v>1</v>
      </c>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row>
    <row r="14" spans="1:27" x14ac:dyDescent="0.25">
      <c r="A14" s="85" t="s">
        <v>291</v>
      </c>
      <c r="B14" s="161">
        <v>721</v>
      </c>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row>
    <row r="15" spans="1:27" x14ac:dyDescent="0.25">
      <c r="A15" s="85" t="s">
        <v>293</v>
      </c>
      <c r="B15" s="161" t="s">
        <v>576</v>
      </c>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row>
    <row r="16" spans="1:27" x14ac:dyDescent="0.25">
      <c r="A16" s="85" t="s">
        <v>295</v>
      </c>
      <c r="B16" s="161" t="str">
        <f>INDEX('Factor List'!$J:$J,MATCH(B$15,'Factor List'!$J:$J,0))</f>
        <v>1-721</v>
      </c>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row>
    <row r="17" spans="1:27" x14ac:dyDescent="0.25">
      <c r="A17" s="69" t="s">
        <v>725</v>
      </c>
      <c r="B17" s="161"/>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row>
    <row r="18" spans="1:27" x14ac:dyDescent="0.25">
      <c r="A18" s="85" t="s">
        <v>299</v>
      </c>
      <c r="B18" s="162">
        <v>45202</v>
      </c>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row>
    <row r="19" spans="1:27" x14ac:dyDescent="0.25">
      <c r="A19" s="85" t="s">
        <v>301</v>
      </c>
      <c r="B19" s="162">
        <v>45202</v>
      </c>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row>
    <row r="20" spans="1:27" x14ac:dyDescent="0.25">
      <c r="A20" s="85" t="s">
        <v>303</v>
      </c>
      <c r="B20" s="161" t="s">
        <v>317</v>
      </c>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row>
    <row r="21" spans="1:27" x14ac:dyDescent="0.25">
      <c r="A21" s="85" t="s">
        <v>309</v>
      </c>
      <c r="B21" s="161" t="s">
        <v>318</v>
      </c>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row>
    <row r="23" spans="1:27" x14ac:dyDescent="0.25">
      <c r="B23" s="103" t="str">
        <f>HYPERLINK("#'Factor List'!A1","Back to Factor List")</f>
        <v>Back to Factor List</v>
      </c>
    </row>
    <row r="24" spans="1:27" x14ac:dyDescent="0.25">
      <c r="B24" s="103" t="s">
        <v>15</v>
      </c>
    </row>
    <row r="26" spans="1:27" ht="13" x14ac:dyDescent="0.25">
      <c r="A26" s="87" t="s">
        <v>408</v>
      </c>
      <c r="B26" s="87">
        <v>50</v>
      </c>
      <c r="C26" s="87">
        <v>51</v>
      </c>
      <c r="D26" s="87">
        <v>52</v>
      </c>
      <c r="E26" s="87">
        <v>53</v>
      </c>
      <c r="F26" s="87">
        <v>54</v>
      </c>
      <c r="G26" s="87">
        <v>55</v>
      </c>
      <c r="H26" s="87">
        <v>56</v>
      </c>
      <c r="I26" s="87">
        <v>57</v>
      </c>
      <c r="J26" s="87">
        <v>58</v>
      </c>
      <c r="K26" s="87">
        <v>59</v>
      </c>
      <c r="L26" s="87">
        <v>60</v>
      </c>
      <c r="M26" s="87">
        <v>61</v>
      </c>
      <c r="N26" s="87">
        <v>62</v>
      </c>
      <c r="O26" s="87">
        <v>63</v>
      </c>
      <c r="P26" s="87">
        <v>64</v>
      </c>
      <c r="Q26" s="87">
        <v>65</v>
      </c>
      <c r="R26" s="87">
        <v>66</v>
      </c>
      <c r="S26" s="87">
        <v>67</v>
      </c>
      <c r="T26" s="87">
        <v>68</v>
      </c>
      <c r="U26" s="87">
        <v>69</v>
      </c>
      <c r="V26" s="87">
        <v>70</v>
      </c>
      <c r="W26" s="87">
        <v>71</v>
      </c>
      <c r="X26" s="87">
        <v>72</v>
      </c>
      <c r="Y26" s="87">
        <v>73</v>
      </c>
      <c r="Z26" s="87">
        <v>74</v>
      </c>
      <c r="AA26" s="87">
        <v>75</v>
      </c>
    </row>
    <row r="27" spans="1:27" x14ac:dyDescent="0.25">
      <c r="A27" s="88">
        <v>22</v>
      </c>
      <c r="B27" s="91">
        <v>2.23</v>
      </c>
      <c r="C27" s="91">
        <v>2.1</v>
      </c>
      <c r="D27" s="91">
        <v>1.98</v>
      </c>
      <c r="E27" s="91">
        <v>1.87</v>
      </c>
      <c r="F27" s="91">
        <v>1.76</v>
      </c>
      <c r="G27" s="91">
        <v>1.66</v>
      </c>
      <c r="H27" s="91">
        <v>1.57</v>
      </c>
      <c r="I27" s="91">
        <v>1.48</v>
      </c>
      <c r="J27" s="91">
        <v>1.39</v>
      </c>
      <c r="K27" s="91">
        <v>1.31</v>
      </c>
      <c r="L27" s="91">
        <v>1.23</v>
      </c>
      <c r="M27" s="91">
        <v>1.1599999999999999</v>
      </c>
      <c r="N27" s="91">
        <v>1.0900000000000001</v>
      </c>
      <c r="O27" s="91">
        <v>1.03</v>
      </c>
      <c r="P27" s="91">
        <v>0.97</v>
      </c>
      <c r="Q27" s="91">
        <v>0.91</v>
      </c>
      <c r="R27" s="91">
        <v>0.86</v>
      </c>
      <c r="S27" s="91">
        <v>0.8</v>
      </c>
      <c r="T27" s="91">
        <v>0.75</v>
      </c>
      <c r="U27" s="91">
        <v>0.71</v>
      </c>
      <c r="V27" s="91">
        <v>0.66</v>
      </c>
      <c r="W27" s="91">
        <v>0.62</v>
      </c>
      <c r="X27" s="91">
        <v>0.57999999999999996</v>
      </c>
      <c r="Y27" s="91">
        <v>0.54</v>
      </c>
      <c r="Z27" s="91">
        <v>0.5</v>
      </c>
      <c r="AA27" s="91">
        <v>0.47</v>
      </c>
    </row>
    <row r="28" spans="1:27" x14ac:dyDescent="0.25">
      <c r="A28" s="88">
        <v>23</v>
      </c>
      <c r="B28" s="91">
        <v>2.29</v>
      </c>
      <c r="C28" s="91">
        <v>2.15</v>
      </c>
      <c r="D28" s="91">
        <v>2.0299999999999998</v>
      </c>
      <c r="E28" s="91">
        <v>1.91</v>
      </c>
      <c r="F28" s="91">
        <v>1.8</v>
      </c>
      <c r="G28" s="91">
        <v>1.7</v>
      </c>
      <c r="H28" s="91">
        <v>1.6</v>
      </c>
      <c r="I28" s="91">
        <v>1.51</v>
      </c>
      <c r="J28" s="91">
        <v>1.42</v>
      </c>
      <c r="K28" s="91">
        <v>1.34</v>
      </c>
      <c r="L28" s="91">
        <v>1.26</v>
      </c>
      <c r="M28" s="91">
        <v>1.18</v>
      </c>
      <c r="N28" s="91">
        <v>1.1100000000000001</v>
      </c>
      <c r="O28" s="91">
        <v>1.05</v>
      </c>
      <c r="P28" s="91">
        <v>0.98</v>
      </c>
      <c r="Q28" s="91">
        <v>0.92</v>
      </c>
      <c r="R28" s="91">
        <v>0.87</v>
      </c>
      <c r="S28" s="91">
        <v>0.82</v>
      </c>
      <c r="T28" s="91">
        <v>0.76</v>
      </c>
      <c r="U28" s="91">
        <v>0.72</v>
      </c>
      <c r="V28" s="91">
        <v>0.67</v>
      </c>
      <c r="W28" s="91">
        <v>0.63</v>
      </c>
      <c r="X28" s="91">
        <v>0.59</v>
      </c>
      <c r="Y28" s="91">
        <v>0.55000000000000004</v>
      </c>
      <c r="Z28" s="91">
        <v>0.51</v>
      </c>
      <c r="AA28" s="91">
        <v>0.47</v>
      </c>
    </row>
    <row r="29" spans="1:27" x14ac:dyDescent="0.25">
      <c r="A29" s="88">
        <v>24</v>
      </c>
      <c r="B29" s="91">
        <v>2.35</v>
      </c>
      <c r="C29" s="91">
        <v>2.21</v>
      </c>
      <c r="D29" s="91">
        <v>2.08</v>
      </c>
      <c r="E29" s="91">
        <v>1.96</v>
      </c>
      <c r="F29" s="91">
        <v>1.84</v>
      </c>
      <c r="G29" s="91">
        <v>1.73</v>
      </c>
      <c r="H29" s="91">
        <v>1.63</v>
      </c>
      <c r="I29" s="91">
        <v>1.54</v>
      </c>
      <c r="J29" s="91">
        <v>1.45</v>
      </c>
      <c r="K29" s="91">
        <v>1.36</v>
      </c>
      <c r="L29" s="91">
        <v>1.28</v>
      </c>
      <c r="M29" s="91">
        <v>1.21</v>
      </c>
      <c r="N29" s="91">
        <v>1.1299999999999999</v>
      </c>
      <c r="O29" s="91">
        <v>1.07</v>
      </c>
      <c r="P29" s="91">
        <v>1</v>
      </c>
      <c r="Q29" s="91">
        <v>0.94</v>
      </c>
      <c r="R29" s="91">
        <v>0.88</v>
      </c>
      <c r="S29" s="91">
        <v>0.83</v>
      </c>
      <c r="T29" s="91">
        <v>0.78</v>
      </c>
      <c r="U29" s="91">
        <v>0.73</v>
      </c>
      <c r="V29" s="91">
        <v>0.68</v>
      </c>
      <c r="W29" s="91">
        <v>0.63</v>
      </c>
      <c r="X29" s="91">
        <v>0.59</v>
      </c>
      <c r="Y29" s="91">
        <v>0.55000000000000004</v>
      </c>
      <c r="Z29" s="91">
        <v>0.52</v>
      </c>
      <c r="AA29" s="91">
        <v>0.48</v>
      </c>
    </row>
    <row r="30" spans="1:27" x14ac:dyDescent="0.25">
      <c r="A30" s="88">
        <v>25</v>
      </c>
      <c r="B30" s="91">
        <v>2.41</v>
      </c>
      <c r="C30" s="91">
        <v>2.27</v>
      </c>
      <c r="D30" s="91">
        <v>2.13</v>
      </c>
      <c r="E30" s="91">
        <v>2.0099999999999998</v>
      </c>
      <c r="F30" s="91">
        <v>1.89</v>
      </c>
      <c r="G30" s="91">
        <v>1.77</v>
      </c>
      <c r="H30" s="91">
        <v>1.67</v>
      </c>
      <c r="I30" s="91">
        <v>1.57</v>
      </c>
      <c r="J30" s="91">
        <v>1.48</v>
      </c>
      <c r="K30" s="91">
        <v>1.39</v>
      </c>
      <c r="L30" s="91">
        <v>1.31</v>
      </c>
      <c r="M30" s="91">
        <v>1.23</v>
      </c>
      <c r="N30" s="91">
        <v>1.1499999999999999</v>
      </c>
      <c r="O30" s="91">
        <v>1.0900000000000001</v>
      </c>
      <c r="P30" s="91">
        <v>1.02</v>
      </c>
      <c r="Q30" s="91">
        <v>0.96</v>
      </c>
      <c r="R30" s="91">
        <v>0.9</v>
      </c>
      <c r="S30" s="91">
        <v>0.84</v>
      </c>
      <c r="T30" s="91">
        <v>0.79</v>
      </c>
      <c r="U30" s="91">
        <v>0.74</v>
      </c>
      <c r="V30" s="91">
        <v>0.69</v>
      </c>
      <c r="W30" s="91">
        <v>0.64</v>
      </c>
      <c r="X30" s="91">
        <v>0.6</v>
      </c>
      <c r="Y30" s="91">
        <v>0.56000000000000005</v>
      </c>
      <c r="Z30" s="91">
        <v>0.52</v>
      </c>
      <c r="AA30" s="91">
        <v>0.49</v>
      </c>
    </row>
    <row r="31" spans="1:27" x14ac:dyDescent="0.25">
      <c r="A31" s="88">
        <v>26</v>
      </c>
      <c r="B31" s="91">
        <v>2.48</v>
      </c>
      <c r="C31" s="91">
        <v>2.33</v>
      </c>
      <c r="D31" s="91">
        <v>2.19</v>
      </c>
      <c r="E31" s="91">
        <v>2.06</v>
      </c>
      <c r="F31" s="91">
        <v>1.93</v>
      </c>
      <c r="G31" s="91">
        <v>1.82</v>
      </c>
      <c r="H31" s="91">
        <v>1.71</v>
      </c>
      <c r="I31" s="91">
        <v>1.61</v>
      </c>
      <c r="J31" s="91">
        <v>1.51</v>
      </c>
      <c r="K31" s="91">
        <v>1.42</v>
      </c>
      <c r="L31" s="91">
        <v>1.33</v>
      </c>
      <c r="M31" s="91">
        <v>1.25</v>
      </c>
      <c r="N31" s="91">
        <v>1.18</v>
      </c>
      <c r="O31" s="91">
        <v>1.1100000000000001</v>
      </c>
      <c r="P31" s="91">
        <v>1.04</v>
      </c>
      <c r="Q31" s="91">
        <v>0.97</v>
      </c>
      <c r="R31" s="91">
        <v>0.91</v>
      </c>
      <c r="S31" s="91">
        <v>0.86</v>
      </c>
      <c r="T31" s="91">
        <v>0.8</v>
      </c>
      <c r="U31" s="91">
        <v>0.75</v>
      </c>
      <c r="V31" s="91">
        <v>0.7</v>
      </c>
      <c r="W31" s="91">
        <v>0.65</v>
      </c>
      <c r="X31" s="91">
        <v>0.61</v>
      </c>
      <c r="Y31" s="91">
        <v>0.56999999999999995</v>
      </c>
      <c r="Z31" s="91">
        <v>0.53</v>
      </c>
      <c r="AA31" s="91">
        <v>0.49</v>
      </c>
    </row>
    <row r="32" spans="1:27" x14ac:dyDescent="0.25">
      <c r="A32" s="88">
        <v>27</v>
      </c>
      <c r="B32" s="91">
        <v>2.56</v>
      </c>
      <c r="C32" s="91">
        <v>2.4</v>
      </c>
      <c r="D32" s="91">
        <v>2.25</v>
      </c>
      <c r="E32" s="91">
        <v>2.11</v>
      </c>
      <c r="F32" s="91">
        <v>1.98</v>
      </c>
      <c r="G32" s="91">
        <v>1.86</v>
      </c>
      <c r="H32" s="91">
        <v>1.75</v>
      </c>
      <c r="I32" s="91">
        <v>1.64</v>
      </c>
      <c r="J32" s="91">
        <v>1.54</v>
      </c>
      <c r="K32" s="91">
        <v>1.45</v>
      </c>
      <c r="L32" s="91">
        <v>1.36</v>
      </c>
      <c r="M32" s="91">
        <v>1.28</v>
      </c>
      <c r="N32" s="91">
        <v>1.2</v>
      </c>
      <c r="O32" s="91">
        <v>1.1299999999999999</v>
      </c>
      <c r="P32" s="91">
        <v>1.06</v>
      </c>
      <c r="Q32" s="91">
        <v>0.99</v>
      </c>
      <c r="R32" s="91">
        <v>0.93</v>
      </c>
      <c r="S32" s="91">
        <v>0.87</v>
      </c>
      <c r="T32" s="91">
        <v>0.81</v>
      </c>
      <c r="U32" s="91">
        <v>0.76</v>
      </c>
      <c r="V32" s="91">
        <v>0.71</v>
      </c>
      <c r="W32" s="91">
        <v>0.66</v>
      </c>
      <c r="X32" s="91">
        <v>0.62</v>
      </c>
      <c r="Y32" s="91">
        <v>0.57999999999999996</v>
      </c>
      <c r="Z32" s="91">
        <v>0.54</v>
      </c>
      <c r="AA32" s="91">
        <v>0.5</v>
      </c>
    </row>
    <row r="33" spans="1:27" x14ac:dyDescent="0.25">
      <c r="A33" s="88">
        <v>28</v>
      </c>
      <c r="B33" s="91">
        <v>2.64</v>
      </c>
      <c r="C33" s="91">
        <v>2.4700000000000002</v>
      </c>
      <c r="D33" s="91">
        <v>2.3199999999999998</v>
      </c>
      <c r="E33" s="91">
        <v>2.17</v>
      </c>
      <c r="F33" s="91">
        <v>2.04</v>
      </c>
      <c r="G33" s="91">
        <v>1.91</v>
      </c>
      <c r="H33" s="91">
        <v>1.79</v>
      </c>
      <c r="I33" s="91">
        <v>1.68</v>
      </c>
      <c r="J33" s="91">
        <v>1.58</v>
      </c>
      <c r="K33" s="91">
        <v>1.48</v>
      </c>
      <c r="L33" s="91">
        <v>1.39</v>
      </c>
      <c r="M33" s="91">
        <v>1.31</v>
      </c>
      <c r="N33" s="91">
        <v>1.23</v>
      </c>
      <c r="O33" s="91">
        <v>1.1499999999999999</v>
      </c>
      <c r="P33" s="91">
        <v>1.08</v>
      </c>
      <c r="Q33" s="91">
        <v>1.01</v>
      </c>
      <c r="R33" s="91">
        <v>0.95</v>
      </c>
      <c r="S33" s="91">
        <v>0.89</v>
      </c>
      <c r="T33" s="91">
        <v>0.83</v>
      </c>
      <c r="U33" s="91">
        <v>0.77</v>
      </c>
      <c r="V33" s="91">
        <v>0.72</v>
      </c>
      <c r="W33" s="91">
        <v>0.67</v>
      </c>
      <c r="X33" s="91">
        <v>0.63</v>
      </c>
      <c r="Y33" s="91">
        <v>0.59</v>
      </c>
      <c r="Z33" s="91">
        <v>0.55000000000000004</v>
      </c>
      <c r="AA33" s="91">
        <v>0.51</v>
      </c>
    </row>
    <row r="34" spans="1:27" x14ac:dyDescent="0.25">
      <c r="A34" s="88">
        <v>29</v>
      </c>
      <c r="B34" s="91">
        <v>2.72</v>
      </c>
      <c r="C34" s="91">
        <v>2.5499999999999998</v>
      </c>
      <c r="D34" s="91">
        <v>2.39</v>
      </c>
      <c r="E34" s="91">
        <v>2.23</v>
      </c>
      <c r="F34" s="91">
        <v>2.09</v>
      </c>
      <c r="G34" s="91">
        <v>1.96</v>
      </c>
      <c r="H34" s="91">
        <v>1.84</v>
      </c>
      <c r="I34" s="91">
        <v>1.73</v>
      </c>
      <c r="J34" s="91">
        <v>1.62</v>
      </c>
      <c r="K34" s="91">
        <v>1.52</v>
      </c>
      <c r="L34" s="91">
        <v>1.42</v>
      </c>
      <c r="M34" s="91">
        <v>1.33</v>
      </c>
      <c r="N34" s="91">
        <v>1.25</v>
      </c>
      <c r="O34" s="91">
        <v>1.17</v>
      </c>
      <c r="P34" s="91">
        <v>1.1000000000000001</v>
      </c>
      <c r="Q34" s="91">
        <v>1.03</v>
      </c>
      <c r="R34" s="91">
        <v>0.96</v>
      </c>
      <c r="S34" s="91">
        <v>0.9</v>
      </c>
      <c r="T34" s="91">
        <v>0.84</v>
      </c>
      <c r="U34" s="91">
        <v>0.79</v>
      </c>
      <c r="V34" s="91">
        <v>0.74</v>
      </c>
      <c r="W34" s="91">
        <v>0.69</v>
      </c>
      <c r="X34" s="91">
        <v>0.64</v>
      </c>
      <c r="Y34" s="91">
        <v>0.6</v>
      </c>
      <c r="Z34" s="91">
        <v>0.55000000000000004</v>
      </c>
      <c r="AA34" s="91">
        <v>0.51</v>
      </c>
    </row>
    <row r="35" spans="1:27" x14ac:dyDescent="0.25">
      <c r="A35" s="88">
        <v>30</v>
      </c>
      <c r="B35" s="91">
        <v>2.81</v>
      </c>
      <c r="C35" s="91">
        <v>2.63</v>
      </c>
      <c r="D35" s="91">
        <v>2.46</v>
      </c>
      <c r="E35" s="91">
        <v>2.2999999999999998</v>
      </c>
      <c r="F35" s="91">
        <v>2.15</v>
      </c>
      <c r="G35" s="91">
        <v>2.02</v>
      </c>
      <c r="H35" s="91">
        <v>1.89</v>
      </c>
      <c r="I35" s="91">
        <v>1.77</v>
      </c>
      <c r="J35" s="91">
        <v>1.66</v>
      </c>
      <c r="K35" s="91">
        <v>1.55</v>
      </c>
      <c r="L35" s="91">
        <v>1.46</v>
      </c>
      <c r="M35" s="91">
        <v>1.36</v>
      </c>
      <c r="N35" s="91">
        <v>1.28</v>
      </c>
      <c r="O35" s="91">
        <v>1.2</v>
      </c>
      <c r="P35" s="91">
        <v>1.1200000000000001</v>
      </c>
      <c r="Q35" s="91">
        <v>1.05</v>
      </c>
      <c r="R35" s="91">
        <v>0.98</v>
      </c>
      <c r="S35" s="91">
        <v>0.92</v>
      </c>
      <c r="T35" s="91">
        <v>0.86</v>
      </c>
      <c r="U35" s="91">
        <v>0.8</v>
      </c>
      <c r="V35" s="91">
        <v>0.75</v>
      </c>
      <c r="W35" s="91">
        <v>0.7</v>
      </c>
      <c r="X35" s="91">
        <v>0.65</v>
      </c>
      <c r="Y35" s="91">
        <v>0.6</v>
      </c>
      <c r="Z35" s="91">
        <v>0.56000000000000005</v>
      </c>
      <c r="AA35" s="91">
        <v>0.52</v>
      </c>
    </row>
    <row r="36" spans="1:27" x14ac:dyDescent="0.25">
      <c r="A36" s="88">
        <v>31</v>
      </c>
      <c r="B36" s="91">
        <v>2.91</v>
      </c>
      <c r="C36" s="91">
        <v>2.72</v>
      </c>
      <c r="D36" s="91">
        <v>2.54</v>
      </c>
      <c r="E36" s="91">
        <v>2.37</v>
      </c>
      <c r="F36" s="91">
        <v>2.2200000000000002</v>
      </c>
      <c r="G36" s="91">
        <v>2.08</v>
      </c>
      <c r="H36" s="91">
        <v>1.94</v>
      </c>
      <c r="I36" s="91">
        <v>1.82</v>
      </c>
      <c r="J36" s="91">
        <v>1.7</v>
      </c>
      <c r="K36" s="91">
        <v>1.59</v>
      </c>
      <c r="L36" s="91">
        <v>1.49</v>
      </c>
      <c r="M36" s="91">
        <v>1.4</v>
      </c>
      <c r="N36" s="91">
        <v>1.31</v>
      </c>
      <c r="O36" s="91">
        <v>1.22</v>
      </c>
      <c r="P36" s="91">
        <v>1.1499999999999999</v>
      </c>
      <c r="Q36" s="91">
        <v>1.07</v>
      </c>
      <c r="R36" s="91">
        <v>1</v>
      </c>
      <c r="S36" s="91">
        <v>0.94</v>
      </c>
      <c r="T36" s="91">
        <v>0.88</v>
      </c>
      <c r="U36" s="91">
        <v>0.82</v>
      </c>
      <c r="V36" s="91">
        <v>0.76</v>
      </c>
      <c r="W36" s="91">
        <v>0.71</v>
      </c>
      <c r="X36" s="91">
        <v>0.66</v>
      </c>
      <c r="Y36" s="91">
        <v>0.61</v>
      </c>
      <c r="Z36" s="91">
        <v>0.56999999999999995</v>
      </c>
      <c r="AA36" s="91">
        <v>0.53</v>
      </c>
    </row>
    <row r="37" spans="1:27" x14ac:dyDescent="0.25">
      <c r="A37" s="88">
        <v>32</v>
      </c>
      <c r="B37" s="91">
        <v>3.02</v>
      </c>
      <c r="C37" s="91">
        <v>2.81</v>
      </c>
      <c r="D37" s="91">
        <v>2.63</v>
      </c>
      <c r="E37" s="91">
        <v>2.4500000000000002</v>
      </c>
      <c r="F37" s="91">
        <v>2.29</v>
      </c>
      <c r="G37" s="91">
        <v>2.14</v>
      </c>
      <c r="H37" s="91">
        <v>2</v>
      </c>
      <c r="I37" s="91">
        <v>1.87</v>
      </c>
      <c r="J37" s="91">
        <v>1.75</v>
      </c>
      <c r="K37" s="91">
        <v>1.64</v>
      </c>
      <c r="L37" s="91">
        <v>1.53</v>
      </c>
      <c r="M37" s="91">
        <v>1.43</v>
      </c>
      <c r="N37" s="91">
        <v>1.34</v>
      </c>
      <c r="O37" s="91">
        <v>1.25</v>
      </c>
      <c r="P37" s="91">
        <v>1.17</v>
      </c>
      <c r="Q37" s="91">
        <v>1.1000000000000001</v>
      </c>
      <c r="R37" s="91">
        <v>1.02</v>
      </c>
      <c r="S37" s="91">
        <v>0.96</v>
      </c>
      <c r="T37" s="91">
        <v>0.89</v>
      </c>
      <c r="U37" s="91">
        <v>0.83</v>
      </c>
      <c r="V37" s="91">
        <v>0.78</v>
      </c>
      <c r="W37" s="91">
        <v>0.72</v>
      </c>
      <c r="X37" s="91">
        <v>0.67</v>
      </c>
      <c r="Y37" s="91">
        <v>0.63</v>
      </c>
      <c r="Z37" s="91">
        <v>0.57999999999999996</v>
      </c>
      <c r="AA37" s="91">
        <v>0.54</v>
      </c>
    </row>
    <row r="38" spans="1:27" x14ac:dyDescent="0.25">
      <c r="A38" s="88">
        <v>33</v>
      </c>
      <c r="B38" s="91">
        <v>3.13</v>
      </c>
      <c r="C38" s="91">
        <v>2.92</v>
      </c>
      <c r="D38" s="91">
        <v>2.72</v>
      </c>
      <c r="E38" s="91">
        <v>2.5299999999999998</v>
      </c>
      <c r="F38" s="91">
        <v>2.36</v>
      </c>
      <c r="G38" s="91">
        <v>2.21</v>
      </c>
      <c r="H38" s="91">
        <v>2.06</v>
      </c>
      <c r="I38" s="91">
        <v>1.92</v>
      </c>
      <c r="J38" s="91">
        <v>1.8</v>
      </c>
      <c r="K38" s="91">
        <v>1.68</v>
      </c>
      <c r="L38" s="91">
        <v>1.57</v>
      </c>
      <c r="M38" s="91">
        <v>1.47</v>
      </c>
      <c r="N38" s="91">
        <v>1.37</v>
      </c>
      <c r="O38" s="91">
        <v>1.28</v>
      </c>
      <c r="P38" s="91">
        <v>1.2</v>
      </c>
      <c r="Q38" s="91">
        <v>1.1200000000000001</v>
      </c>
      <c r="R38" s="91">
        <v>1.05</v>
      </c>
      <c r="S38" s="91">
        <v>0.98</v>
      </c>
      <c r="T38" s="91">
        <v>0.91</v>
      </c>
      <c r="U38" s="91">
        <v>0.85</v>
      </c>
      <c r="V38" s="91">
        <v>0.79</v>
      </c>
      <c r="W38" s="91">
        <v>0.74</v>
      </c>
      <c r="X38" s="91">
        <v>0.68</v>
      </c>
      <c r="Y38" s="91">
        <v>0.64</v>
      </c>
      <c r="Z38" s="91">
        <v>0.59</v>
      </c>
      <c r="AA38" s="91">
        <v>0.55000000000000004</v>
      </c>
    </row>
    <row r="39" spans="1:27" x14ac:dyDescent="0.25">
      <c r="A39" s="88">
        <v>34</v>
      </c>
      <c r="B39" s="91">
        <v>3.26</v>
      </c>
      <c r="C39" s="91">
        <v>3.03</v>
      </c>
      <c r="D39" s="91">
        <v>2.82</v>
      </c>
      <c r="E39" s="91">
        <v>2.62</v>
      </c>
      <c r="F39" s="91">
        <v>2.44</v>
      </c>
      <c r="G39" s="91">
        <v>2.2799999999999998</v>
      </c>
      <c r="H39" s="91">
        <v>2.12</v>
      </c>
      <c r="I39" s="91">
        <v>1.98</v>
      </c>
      <c r="J39" s="91">
        <v>1.85</v>
      </c>
      <c r="K39" s="91">
        <v>1.73</v>
      </c>
      <c r="L39" s="91">
        <v>1.61</v>
      </c>
      <c r="M39" s="91">
        <v>1.51</v>
      </c>
      <c r="N39" s="91">
        <v>1.41</v>
      </c>
      <c r="O39" s="91">
        <v>1.31</v>
      </c>
      <c r="P39" s="91">
        <v>1.23</v>
      </c>
      <c r="Q39" s="91">
        <v>1.1499999999999999</v>
      </c>
      <c r="R39" s="91">
        <v>1.07</v>
      </c>
      <c r="S39" s="91">
        <v>1</v>
      </c>
      <c r="T39" s="91">
        <v>0.93</v>
      </c>
      <c r="U39" s="91">
        <v>0.87</v>
      </c>
      <c r="V39" s="91">
        <v>0.81</v>
      </c>
      <c r="W39" s="91">
        <v>0.75</v>
      </c>
      <c r="X39" s="91">
        <v>0.7</v>
      </c>
      <c r="Y39" s="91">
        <v>0.65</v>
      </c>
      <c r="Z39" s="91">
        <v>0.6</v>
      </c>
      <c r="AA39" s="91">
        <v>0.56000000000000005</v>
      </c>
    </row>
    <row r="40" spans="1:27" x14ac:dyDescent="0.25">
      <c r="A40" s="88">
        <v>35</v>
      </c>
      <c r="B40" s="91">
        <v>3.39</v>
      </c>
      <c r="C40" s="91">
        <v>3.15</v>
      </c>
      <c r="D40" s="91">
        <v>2.93</v>
      </c>
      <c r="E40" s="91">
        <v>2.72</v>
      </c>
      <c r="F40" s="91">
        <v>2.5299999999999998</v>
      </c>
      <c r="G40" s="91">
        <v>2.36</v>
      </c>
      <c r="H40" s="91">
        <v>2.19</v>
      </c>
      <c r="I40" s="91">
        <v>2.04</v>
      </c>
      <c r="J40" s="91">
        <v>1.91</v>
      </c>
      <c r="K40" s="91">
        <v>1.78</v>
      </c>
      <c r="L40" s="91">
        <v>1.66</v>
      </c>
      <c r="M40" s="91">
        <v>1.55</v>
      </c>
      <c r="N40" s="91">
        <v>1.44</v>
      </c>
      <c r="O40" s="91">
        <v>1.35</v>
      </c>
      <c r="P40" s="91">
        <v>1.26</v>
      </c>
      <c r="Q40" s="91">
        <v>1.17</v>
      </c>
      <c r="R40" s="91">
        <v>1.0900000000000001</v>
      </c>
      <c r="S40" s="91">
        <v>1.02</v>
      </c>
      <c r="T40" s="91">
        <v>0.95</v>
      </c>
      <c r="U40" s="91">
        <v>0.88</v>
      </c>
      <c r="V40" s="91">
        <v>0.82</v>
      </c>
      <c r="W40" s="91">
        <v>0.77</v>
      </c>
      <c r="X40" s="91">
        <v>0.71</v>
      </c>
      <c r="Y40" s="91">
        <v>0.66</v>
      </c>
      <c r="Z40" s="91">
        <v>0.61</v>
      </c>
      <c r="AA40" s="91">
        <v>0.56999999999999995</v>
      </c>
    </row>
    <row r="41" spans="1:27" x14ac:dyDescent="0.25">
      <c r="A41" s="88">
        <v>36</v>
      </c>
      <c r="B41" s="91">
        <v>3.54</v>
      </c>
      <c r="C41" s="91">
        <v>3.28</v>
      </c>
      <c r="D41" s="91">
        <v>3.04</v>
      </c>
      <c r="E41" s="91">
        <v>2.82</v>
      </c>
      <c r="F41" s="91">
        <v>2.62</v>
      </c>
      <c r="G41" s="91">
        <v>2.44</v>
      </c>
      <c r="H41" s="91">
        <v>2.27</v>
      </c>
      <c r="I41" s="91">
        <v>2.11</v>
      </c>
      <c r="J41" s="91">
        <v>1.97</v>
      </c>
      <c r="K41" s="91">
        <v>1.83</v>
      </c>
      <c r="L41" s="91">
        <v>1.71</v>
      </c>
      <c r="M41" s="91">
        <v>1.59</v>
      </c>
      <c r="N41" s="91">
        <v>1.48</v>
      </c>
      <c r="O41" s="91">
        <v>1.38</v>
      </c>
      <c r="P41" s="91">
        <v>1.29</v>
      </c>
      <c r="Q41" s="91">
        <v>1.2</v>
      </c>
      <c r="R41" s="91">
        <v>1.1200000000000001</v>
      </c>
      <c r="S41" s="91">
        <v>1.04</v>
      </c>
      <c r="T41" s="91">
        <v>0.97</v>
      </c>
      <c r="U41" s="91">
        <v>0.9</v>
      </c>
      <c r="V41" s="91">
        <v>0.84</v>
      </c>
      <c r="W41" s="91">
        <v>0.78</v>
      </c>
      <c r="X41" s="91">
        <v>0.73</v>
      </c>
      <c r="Y41" s="91">
        <v>0.67</v>
      </c>
      <c r="Z41" s="91">
        <v>0.62</v>
      </c>
      <c r="AA41" s="91">
        <v>0.57999999999999996</v>
      </c>
    </row>
    <row r="42" spans="1:27" x14ac:dyDescent="0.25">
      <c r="A42" s="88">
        <v>37</v>
      </c>
      <c r="B42" s="91">
        <v>3.7</v>
      </c>
      <c r="C42" s="91">
        <v>3.42</v>
      </c>
      <c r="D42" s="91">
        <v>3.17</v>
      </c>
      <c r="E42" s="91">
        <v>2.94</v>
      </c>
      <c r="F42" s="91">
        <v>2.72</v>
      </c>
      <c r="G42" s="91">
        <v>2.5299999999999998</v>
      </c>
      <c r="H42" s="91">
        <v>2.35</v>
      </c>
      <c r="I42" s="91">
        <v>2.1800000000000002</v>
      </c>
      <c r="J42" s="91">
        <v>2.0299999999999998</v>
      </c>
      <c r="K42" s="91">
        <v>1.89</v>
      </c>
      <c r="L42" s="91">
        <v>1.76</v>
      </c>
      <c r="M42" s="91">
        <v>1.64</v>
      </c>
      <c r="N42" s="91">
        <v>1.53</v>
      </c>
      <c r="O42" s="91">
        <v>1.42</v>
      </c>
      <c r="P42" s="91">
        <v>1.32</v>
      </c>
      <c r="Q42" s="91">
        <v>1.23</v>
      </c>
      <c r="R42" s="91">
        <v>1.1499999999999999</v>
      </c>
      <c r="S42" s="91">
        <v>1.07</v>
      </c>
      <c r="T42" s="91">
        <v>0.99</v>
      </c>
      <c r="U42" s="91">
        <v>0.92</v>
      </c>
      <c r="V42" s="91">
        <v>0.86</v>
      </c>
      <c r="W42" s="91">
        <v>0.8</v>
      </c>
      <c r="X42" s="91">
        <v>0.74</v>
      </c>
      <c r="Y42" s="91">
        <v>0.69</v>
      </c>
      <c r="Z42" s="91">
        <v>0.64</v>
      </c>
      <c r="AA42" s="91">
        <v>0.59</v>
      </c>
    </row>
    <row r="43" spans="1:27" x14ac:dyDescent="0.25">
      <c r="A43" s="88">
        <v>38</v>
      </c>
      <c r="B43" s="91">
        <v>3.88</v>
      </c>
      <c r="C43" s="91">
        <v>3.58</v>
      </c>
      <c r="D43" s="91">
        <v>3.31</v>
      </c>
      <c r="E43" s="91">
        <v>3.06</v>
      </c>
      <c r="F43" s="91">
        <v>2.83</v>
      </c>
      <c r="G43" s="91">
        <v>2.63</v>
      </c>
      <c r="H43" s="91">
        <v>2.44</v>
      </c>
      <c r="I43" s="91">
        <v>2.2599999999999998</v>
      </c>
      <c r="J43" s="91">
        <v>2.1</v>
      </c>
      <c r="K43" s="91">
        <v>1.95</v>
      </c>
      <c r="L43" s="91">
        <v>1.82</v>
      </c>
      <c r="M43" s="91">
        <v>1.69</v>
      </c>
      <c r="N43" s="91">
        <v>1.57</v>
      </c>
      <c r="O43" s="91">
        <v>1.46</v>
      </c>
      <c r="P43" s="91">
        <v>1.36</v>
      </c>
      <c r="Q43" s="91">
        <v>1.27</v>
      </c>
      <c r="R43" s="91">
        <v>1.18</v>
      </c>
      <c r="S43" s="91">
        <v>1.1000000000000001</v>
      </c>
      <c r="T43" s="91">
        <v>1.02</v>
      </c>
      <c r="U43" s="91">
        <v>0.95</v>
      </c>
      <c r="V43" s="91">
        <v>0.88</v>
      </c>
      <c r="W43" s="91">
        <v>0.82</v>
      </c>
      <c r="X43" s="91">
        <v>0.76</v>
      </c>
      <c r="Y43" s="91">
        <v>0.7</v>
      </c>
      <c r="Z43" s="91">
        <v>0.65</v>
      </c>
      <c r="AA43" s="91">
        <v>0.6</v>
      </c>
    </row>
    <row r="44" spans="1:27" x14ac:dyDescent="0.25">
      <c r="A44" s="88">
        <v>39</v>
      </c>
      <c r="B44" s="91">
        <v>4.07</v>
      </c>
      <c r="C44" s="91">
        <v>3.75</v>
      </c>
      <c r="D44" s="91">
        <v>3.46</v>
      </c>
      <c r="E44" s="91">
        <v>3.19</v>
      </c>
      <c r="F44" s="91">
        <v>2.95</v>
      </c>
      <c r="G44" s="91">
        <v>2.73</v>
      </c>
      <c r="H44" s="91">
        <v>2.5299999999999998</v>
      </c>
      <c r="I44" s="91">
        <v>2.35</v>
      </c>
      <c r="J44" s="91">
        <v>2.1800000000000002</v>
      </c>
      <c r="K44" s="91">
        <v>2.02</v>
      </c>
      <c r="L44" s="91">
        <v>1.88</v>
      </c>
      <c r="M44" s="91">
        <v>1.74</v>
      </c>
      <c r="N44" s="91">
        <v>1.62</v>
      </c>
      <c r="O44" s="91">
        <v>1.51</v>
      </c>
      <c r="P44" s="91">
        <v>1.4</v>
      </c>
      <c r="Q44" s="91">
        <v>1.3</v>
      </c>
      <c r="R44" s="91">
        <v>1.21</v>
      </c>
      <c r="S44" s="91">
        <v>1.1200000000000001</v>
      </c>
      <c r="T44" s="91">
        <v>1.04</v>
      </c>
      <c r="U44" s="91">
        <v>0.97</v>
      </c>
      <c r="V44" s="91">
        <v>0.9</v>
      </c>
      <c r="W44" s="91">
        <v>0.83</v>
      </c>
      <c r="X44" s="91">
        <v>0.77</v>
      </c>
      <c r="Y44" s="91">
        <v>0.72</v>
      </c>
      <c r="Z44" s="91">
        <v>0.66</v>
      </c>
      <c r="AA44" s="91">
        <v>0.61</v>
      </c>
    </row>
    <row r="45" spans="1:27" x14ac:dyDescent="0.25">
      <c r="A45" s="88">
        <v>40</v>
      </c>
      <c r="B45" s="91">
        <v>4.28</v>
      </c>
      <c r="C45" s="91">
        <v>3.94</v>
      </c>
      <c r="D45" s="91">
        <v>3.62</v>
      </c>
      <c r="E45" s="91">
        <v>3.34</v>
      </c>
      <c r="F45" s="91">
        <v>3.08</v>
      </c>
      <c r="G45" s="91">
        <v>2.85</v>
      </c>
      <c r="H45" s="91">
        <v>2.63</v>
      </c>
      <c r="I45" s="91">
        <v>2.44</v>
      </c>
      <c r="J45" s="91">
        <v>2.2599999999999998</v>
      </c>
      <c r="K45" s="91">
        <v>2.09</v>
      </c>
      <c r="L45" s="91">
        <v>1.94</v>
      </c>
      <c r="M45" s="91">
        <v>1.8</v>
      </c>
      <c r="N45" s="91">
        <v>1.67</v>
      </c>
      <c r="O45" s="91">
        <v>1.55</v>
      </c>
      <c r="P45" s="91">
        <v>1.44</v>
      </c>
      <c r="Q45" s="91">
        <v>1.34</v>
      </c>
      <c r="R45" s="91">
        <v>1.24</v>
      </c>
      <c r="S45" s="91">
        <v>1.1499999999999999</v>
      </c>
      <c r="T45" s="91">
        <v>1.07</v>
      </c>
      <c r="U45" s="91">
        <v>0.99</v>
      </c>
      <c r="V45" s="91">
        <v>0.92</v>
      </c>
      <c r="W45" s="91">
        <v>0.85</v>
      </c>
      <c r="X45" s="91">
        <v>0.79</v>
      </c>
      <c r="Y45" s="91">
        <v>0.73</v>
      </c>
      <c r="Z45" s="91">
        <v>0.68</v>
      </c>
      <c r="AA45" s="91">
        <v>0.63</v>
      </c>
    </row>
    <row r="46" spans="1:27" x14ac:dyDescent="0.25">
      <c r="A46" s="88">
        <v>41</v>
      </c>
      <c r="B46" s="91">
        <v>4.51</v>
      </c>
      <c r="C46" s="91">
        <v>4.1399999999999997</v>
      </c>
      <c r="D46" s="91">
        <v>3.8</v>
      </c>
      <c r="E46" s="91">
        <v>3.5</v>
      </c>
      <c r="F46" s="91">
        <v>3.22</v>
      </c>
      <c r="G46" s="91">
        <v>2.97</v>
      </c>
      <c r="H46" s="91">
        <v>2.74</v>
      </c>
      <c r="I46" s="91">
        <v>2.54</v>
      </c>
      <c r="J46" s="91">
        <v>2.34</v>
      </c>
      <c r="K46" s="91">
        <v>2.17</v>
      </c>
      <c r="L46" s="91">
        <v>2.0099999999999998</v>
      </c>
      <c r="M46" s="91">
        <v>1.86</v>
      </c>
      <c r="N46" s="91">
        <v>1.73</v>
      </c>
      <c r="O46" s="91">
        <v>1.6</v>
      </c>
      <c r="P46" s="91">
        <v>1.49</v>
      </c>
      <c r="Q46" s="91">
        <v>1.38</v>
      </c>
      <c r="R46" s="91">
        <v>1.28</v>
      </c>
      <c r="S46" s="91">
        <v>1.19</v>
      </c>
      <c r="T46" s="91">
        <v>1.1000000000000001</v>
      </c>
      <c r="U46" s="91">
        <v>1.02</v>
      </c>
      <c r="V46" s="91">
        <v>0.94</v>
      </c>
      <c r="W46" s="91">
        <v>0.87</v>
      </c>
      <c r="X46" s="91">
        <v>0.81</v>
      </c>
      <c r="Y46" s="91">
        <v>0.75</v>
      </c>
      <c r="Z46" s="91">
        <v>0.69</v>
      </c>
      <c r="AA46" s="91">
        <v>0.64</v>
      </c>
    </row>
    <row r="47" spans="1:27" x14ac:dyDescent="0.25">
      <c r="A47" s="88">
        <v>42</v>
      </c>
      <c r="B47" s="91">
        <v>4.7699999999999996</v>
      </c>
      <c r="C47" s="91">
        <v>4.37</v>
      </c>
      <c r="D47" s="91">
        <v>4</v>
      </c>
      <c r="E47" s="91">
        <v>3.67</v>
      </c>
      <c r="F47" s="91">
        <v>3.38</v>
      </c>
      <c r="G47" s="91">
        <v>3.11</v>
      </c>
      <c r="H47" s="91">
        <v>2.86</v>
      </c>
      <c r="I47" s="91">
        <v>2.64</v>
      </c>
      <c r="J47" s="91">
        <v>2.44</v>
      </c>
      <c r="K47" s="91">
        <v>2.2599999999999998</v>
      </c>
      <c r="L47" s="91">
        <v>2.09</v>
      </c>
      <c r="M47" s="91">
        <v>1.93</v>
      </c>
      <c r="N47" s="91">
        <v>1.79</v>
      </c>
      <c r="O47" s="91">
        <v>1.66</v>
      </c>
      <c r="P47" s="91">
        <v>1.53</v>
      </c>
      <c r="Q47" s="91">
        <v>1.42</v>
      </c>
      <c r="R47" s="91">
        <v>1.32</v>
      </c>
      <c r="S47" s="91">
        <v>1.22</v>
      </c>
      <c r="T47" s="91">
        <v>1.1299999999999999</v>
      </c>
      <c r="U47" s="91">
        <v>1.05</v>
      </c>
      <c r="V47" s="91">
        <v>0.97</v>
      </c>
      <c r="W47" s="91">
        <v>0.9</v>
      </c>
      <c r="X47" s="91">
        <v>0.83</v>
      </c>
      <c r="Y47" s="91">
        <v>0.77</v>
      </c>
      <c r="Z47" s="91">
        <v>0.71</v>
      </c>
      <c r="AA47" s="91">
        <v>0.65</v>
      </c>
    </row>
    <row r="48" spans="1:27" x14ac:dyDescent="0.25">
      <c r="A48" s="88">
        <v>43</v>
      </c>
      <c r="B48" s="91">
        <v>5.05</v>
      </c>
      <c r="C48" s="91">
        <v>4.6100000000000003</v>
      </c>
      <c r="D48" s="91">
        <v>4.22</v>
      </c>
      <c r="E48" s="91">
        <v>3.87</v>
      </c>
      <c r="F48" s="91">
        <v>3.55</v>
      </c>
      <c r="G48" s="91">
        <v>3.26</v>
      </c>
      <c r="H48" s="91">
        <v>3</v>
      </c>
      <c r="I48" s="91">
        <v>2.76</v>
      </c>
      <c r="J48" s="91">
        <v>2.54</v>
      </c>
      <c r="K48" s="91">
        <v>2.35</v>
      </c>
      <c r="L48" s="91">
        <v>2.17</v>
      </c>
      <c r="M48" s="91">
        <v>2</v>
      </c>
      <c r="N48" s="91">
        <v>1.85</v>
      </c>
      <c r="O48" s="91">
        <v>1.71</v>
      </c>
      <c r="P48" s="91">
        <v>1.58</v>
      </c>
      <c r="Q48" s="91">
        <v>1.47</v>
      </c>
      <c r="R48" s="91">
        <v>1.36</v>
      </c>
      <c r="S48" s="91">
        <v>1.26</v>
      </c>
      <c r="T48" s="91">
        <v>1.1599999999999999</v>
      </c>
      <c r="U48" s="91">
        <v>1.08</v>
      </c>
      <c r="V48" s="91">
        <v>1</v>
      </c>
      <c r="W48" s="91">
        <v>0.92</v>
      </c>
      <c r="X48" s="91">
        <v>0.85</v>
      </c>
      <c r="Y48" s="91">
        <v>0.79</v>
      </c>
      <c r="Z48" s="91">
        <v>0.73</v>
      </c>
      <c r="AA48" s="91">
        <v>0.67</v>
      </c>
    </row>
    <row r="49" spans="1:27" x14ac:dyDescent="0.25">
      <c r="A49" s="88">
        <v>44</v>
      </c>
      <c r="B49" s="91">
        <v>5.37</v>
      </c>
      <c r="C49" s="91">
        <v>4.8899999999999997</v>
      </c>
      <c r="D49" s="91">
        <v>4.46</v>
      </c>
      <c r="E49" s="91">
        <v>4.08</v>
      </c>
      <c r="F49" s="91">
        <v>3.73</v>
      </c>
      <c r="G49" s="91">
        <v>3.42</v>
      </c>
      <c r="H49" s="91">
        <v>3.14</v>
      </c>
      <c r="I49" s="91">
        <v>2.89</v>
      </c>
      <c r="J49" s="91">
        <v>2.66</v>
      </c>
      <c r="K49" s="91">
        <v>2.4500000000000002</v>
      </c>
      <c r="L49" s="91">
        <v>2.2599999999999998</v>
      </c>
      <c r="M49" s="91">
        <v>2.08</v>
      </c>
      <c r="N49" s="91">
        <v>1.92</v>
      </c>
      <c r="O49" s="91">
        <v>1.77</v>
      </c>
      <c r="P49" s="91">
        <v>1.64</v>
      </c>
      <c r="Q49" s="91">
        <v>1.52</v>
      </c>
      <c r="R49" s="91">
        <v>1.4</v>
      </c>
      <c r="S49" s="91">
        <v>1.3</v>
      </c>
      <c r="T49" s="91">
        <v>1.2</v>
      </c>
      <c r="U49" s="91">
        <v>1.1100000000000001</v>
      </c>
      <c r="V49" s="91">
        <v>1.02</v>
      </c>
      <c r="W49" s="91">
        <v>0.95</v>
      </c>
      <c r="X49" s="91">
        <v>0.87</v>
      </c>
      <c r="Y49" s="91">
        <v>0.81</v>
      </c>
      <c r="Z49" s="91">
        <v>0.74</v>
      </c>
      <c r="AA49" s="91">
        <v>0.69</v>
      </c>
    </row>
    <row r="50" spans="1:27" x14ac:dyDescent="0.25">
      <c r="A50" s="88">
        <v>45</v>
      </c>
      <c r="B50" s="91">
        <v>5.71</v>
      </c>
      <c r="C50" s="91">
        <v>5.19</v>
      </c>
      <c r="D50" s="91">
        <v>4.7300000000000004</v>
      </c>
      <c r="E50" s="91">
        <v>4.3099999999999996</v>
      </c>
      <c r="F50" s="91">
        <v>3.94</v>
      </c>
      <c r="G50" s="91">
        <v>3.6</v>
      </c>
      <c r="H50" s="91">
        <v>3.3</v>
      </c>
      <c r="I50" s="91">
        <v>3.02</v>
      </c>
      <c r="J50" s="91">
        <v>2.78</v>
      </c>
      <c r="K50" s="91">
        <v>2.5499999999999998</v>
      </c>
      <c r="L50" s="91">
        <v>2.35</v>
      </c>
      <c r="M50" s="91">
        <v>2.17</v>
      </c>
      <c r="N50" s="91">
        <v>2</v>
      </c>
      <c r="O50" s="91">
        <v>1.84</v>
      </c>
      <c r="P50" s="91">
        <v>1.7</v>
      </c>
      <c r="Q50" s="91">
        <v>1.57</v>
      </c>
      <c r="R50" s="91">
        <v>1.45</v>
      </c>
      <c r="S50" s="91">
        <v>1.34</v>
      </c>
      <c r="T50" s="91">
        <v>1.24</v>
      </c>
      <c r="U50" s="91">
        <v>1.1399999999999999</v>
      </c>
      <c r="V50" s="91">
        <v>1.05</v>
      </c>
      <c r="W50" s="91">
        <v>0.97</v>
      </c>
      <c r="X50" s="91">
        <v>0.9</v>
      </c>
      <c r="Y50" s="91">
        <v>0.83</v>
      </c>
      <c r="Z50" s="91">
        <v>0.76</v>
      </c>
      <c r="AA50" s="91">
        <v>0.7</v>
      </c>
    </row>
    <row r="51" spans="1:27" x14ac:dyDescent="0.25">
      <c r="A51" s="88">
        <v>46</v>
      </c>
      <c r="B51" s="91">
        <v>6.1</v>
      </c>
      <c r="C51" s="91">
        <v>5.53</v>
      </c>
      <c r="D51" s="91">
        <v>5.0199999999999996</v>
      </c>
      <c r="E51" s="91">
        <v>4.57</v>
      </c>
      <c r="F51" s="91">
        <v>4.16</v>
      </c>
      <c r="G51" s="91">
        <v>3.8</v>
      </c>
      <c r="H51" s="91">
        <v>3.47</v>
      </c>
      <c r="I51" s="91">
        <v>3.18</v>
      </c>
      <c r="J51" s="91">
        <v>2.91</v>
      </c>
      <c r="K51" s="91">
        <v>2.67</v>
      </c>
      <c r="L51" s="91">
        <v>2.46</v>
      </c>
      <c r="M51" s="91">
        <v>2.2599999999999998</v>
      </c>
      <c r="N51" s="91">
        <v>2.08</v>
      </c>
      <c r="O51" s="91">
        <v>1.91</v>
      </c>
      <c r="P51" s="91">
        <v>1.76</v>
      </c>
      <c r="Q51" s="91">
        <v>1.63</v>
      </c>
      <c r="R51" s="91">
        <v>1.5</v>
      </c>
      <c r="S51" s="91">
        <v>1.38</v>
      </c>
      <c r="T51" s="91">
        <v>1.28</v>
      </c>
      <c r="U51" s="91">
        <v>1.18</v>
      </c>
      <c r="V51" s="91">
        <v>1.0900000000000001</v>
      </c>
      <c r="W51" s="91">
        <v>1</v>
      </c>
      <c r="X51" s="91">
        <v>0.92</v>
      </c>
      <c r="Y51" s="91">
        <v>0.85</v>
      </c>
      <c r="Z51" s="91">
        <v>0.78</v>
      </c>
      <c r="AA51" s="91">
        <v>0.72</v>
      </c>
    </row>
    <row r="52" spans="1:27" x14ac:dyDescent="0.25">
      <c r="A52" s="88">
        <v>47</v>
      </c>
      <c r="B52" s="91">
        <v>6.53</v>
      </c>
      <c r="C52" s="91">
        <v>5.9</v>
      </c>
      <c r="D52" s="91">
        <v>5.34</v>
      </c>
      <c r="E52" s="91">
        <v>4.8499999999999996</v>
      </c>
      <c r="F52" s="91">
        <v>4.41</v>
      </c>
      <c r="G52" s="91">
        <v>4.01</v>
      </c>
      <c r="H52" s="91">
        <v>3.66</v>
      </c>
      <c r="I52" s="91">
        <v>3.34</v>
      </c>
      <c r="J52" s="91">
        <v>3.06</v>
      </c>
      <c r="K52" s="91">
        <v>2.8</v>
      </c>
      <c r="L52" s="91">
        <v>2.57</v>
      </c>
      <c r="M52" s="91">
        <v>2.36</v>
      </c>
      <c r="N52" s="91">
        <v>2.17</v>
      </c>
      <c r="O52" s="91">
        <v>1.99</v>
      </c>
      <c r="P52" s="91">
        <v>1.83</v>
      </c>
      <c r="Q52" s="91">
        <v>1.69</v>
      </c>
      <c r="R52" s="91">
        <v>1.55</v>
      </c>
      <c r="S52" s="91">
        <v>1.43</v>
      </c>
      <c r="T52" s="91">
        <v>1.32</v>
      </c>
      <c r="U52" s="91">
        <v>1.22</v>
      </c>
      <c r="V52" s="91">
        <v>1.1200000000000001</v>
      </c>
      <c r="W52" s="91">
        <v>1.03</v>
      </c>
      <c r="X52" s="91">
        <v>0.95</v>
      </c>
      <c r="Y52" s="91">
        <v>0.87</v>
      </c>
      <c r="Z52" s="91">
        <v>0.8</v>
      </c>
      <c r="AA52" s="91">
        <v>0.74</v>
      </c>
    </row>
    <row r="53" spans="1:27" x14ac:dyDescent="0.25">
      <c r="A53" s="88">
        <v>48</v>
      </c>
      <c r="B53" s="91">
        <v>7</v>
      </c>
      <c r="C53" s="91">
        <v>6.32</v>
      </c>
      <c r="D53" s="91">
        <v>5.71</v>
      </c>
      <c r="E53" s="91">
        <v>5.17</v>
      </c>
      <c r="F53" s="91">
        <v>4.68</v>
      </c>
      <c r="G53" s="91">
        <v>4.26</v>
      </c>
      <c r="H53" s="91">
        <v>3.87</v>
      </c>
      <c r="I53" s="91">
        <v>3.53</v>
      </c>
      <c r="J53" s="91">
        <v>3.22</v>
      </c>
      <c r="K53" s="91">
        <v>2.94</v>
      </c>
      <c r="L53" s="91">
        <v>2.69</v>
      </c>
      <c r="M53" s="91">
        <v>2.4700000000000002</v>
      </c>
      <c r="N53" s="91">
        <v>2.2599999999999998</v>
      </c>
      <c r="O53" s="91">
        <v>2.08</v>
      </c>
      <c r="P53" s="91">
        <v>1.91</v>
      </c>
      <c r="Q53" s="91">
        <v>1.76</v>
      </c>
      <c r="R53" s="91">
        <v>1.61</v>
      </c>
      <c r="S53" s="91">
        <v>1.49</v>
      </c>
      <c r="T53" s="91">
        <v>1.37</v>
      </c>
      <c r="U53" s="91">
        <v>1.26</v>
      </c>
      <c r="V53" s="91">
        <v>1.1599999999999999</v>
      </c>
      <c r="W53" s="91">
        <v>1.06</v>
      </c>
      <c r="X53" s="91">
        <v>0.98</v>
      </c>
      <c r="Y53" s="91">
        <v>0.9</v>
      </c>
      <c r="Z53" s="91">
        <v>0.83</v>
      </c>
      <c r="AA53" s="91">
        <v>0.76</v>
      </c>
    </row>
    <row r="54" spans="1:27" x14ac:dyDescent="0.25">
      <c r="A54" s="88">
        <v>49</v>
      </c>
      <c r="B54" s="91">
        <v>7.54</v>
      </c>
      <c r="C54" s="91">
        <v>6.78</v>
      </c>
      <c r="D54" s="91">
        <v>6.11</v>
      </c>
      <c r="E54" s="91">
        <v>5.52</v>
      </c>
      <c r="F54" s="91">
        <v>4.99</v>
      </c>
      <c r="G54" s="91">
        <v>4.5199999999999996</v>
      </c>
      <c r="H54" s="91">
        <v>4.0999999999999996</v>
      </c>
      <c r="I54" s="91">
        <v>3.73</v>
      </c>
      <c r="J54" s="91">
        <v>3.4</v>
      </c>
      <c r="K54" s="91">
        <v>3.1</v>
      </c>
      <c r="L54" s="91">
        <v>2.83</v>
      </c>
      <c r="M54" s="91">
        <v>2.59</v>
      </c>
      <c r="N54" s="91">
        <v>2.37</v>
      </c>
      <c r="O54" s="91">
        <v>2.17</v>
      </c>
      <c r="P54" s="91">
        <v>1.99</v>
      </c>
      <c r="Q54" s="91">
        <v>1.83</v>
      </c>
      <c r="R54" s="91">
        <v>1.68</v>
      </c>
      <c r="S54" s="91">
        <v>1.54</v>
      </c>
      <c r="T54" s="91">
        <v>1.42</v>
      </c>
      <c r="U54" s="91">
        <v>1.3</v>
      </c>
      <c r="V54" s="91">
        <v>1.2</v>
      </c>
      <c r="W54" s="91">
        <v>1.1000000000000001</v>
      </c>
      <c r="X54" s="91">
        <v>1.01</v>
      </c>
      <c r="Y54" s="91">
        <v>0.93</v>
      </c>
      <c r="Z54" s="91">
        <v>0.85</v>
      </c>
      <c r="AA54" s="91">
        <v>0.78</v>
      </c>
    </row>
    <row r="55" spans="1:27" x14ac:dyDescent="0.25">
      <c r="A55" s="88">
        <v>50</v>
      </c>
      <c r="B55" s="91">
        <v>8.1300000000000008</v>
      </c>
      <c r="C55" s="91">
        <v>7.3</v>
      </c>
      <c r="D55" s="91">
        <v>6.56</v>
      </c>
      <c r="E55" s="91">
        <v>5.91</v>
      </c>
      <c r="F55" s="91">
        <v>5.33</v>
      </c>
      <c r="G55" s="91">
        <v>4.82</v>
      </c>
      <c r="H55" s="91">
        <v>4.3600000000000003</v>
      </c>
      <c r="I55" s="91">
        <v>3.96</v>
      </c>
      <c r="J55" s="91">
        <v>3.6</v>
      </c>
      <c r="K55" s="91">
        <v>3.27</v>
      </c>
      <c r="L55" s="91">
        <v>2.98</v>
      </c>
      <c r="M55" s="91">
        <v>2.72</v>
      </c>
      <c r="N55" s="91">
        <v>2.4900000000000002</v>
      </c>
      <c r="O55" s="91">
        <v>2.27</v>
      </c>
      <c r="P55" s="91">
        <v>2.08</v>
      </c>
      <c r="Q55" s="91">
        <v>1.91</v>
      </c>
      <c r="R55" s="91">
        <v>1.75</v>
      </c>
      <c r="S55" s="91">
        <v>1.6</v>
      </c>
      <c r="T55" s="91">
        <v>1.47</v>
      </c>
      <c r="U55" s="91">
        <v>1.35</v>
      </c>
      <c r="V55" s="91">
        <v>1.24</v>
      </c>
      <c r="W55" s="91">
        <v>1.1399999999999999</v>
      </c>
      <c r="X55" s="91">
        <v>1.04</v>
      </c>
      <c r="Y55" s="91">
        <v>0.96</v>
      </c>
      <c r="Z55" s="91">
        <v>0.88</v>
      </c>
      <c r="AA55" s="91">
        <v>0.81</v>
      </c>
    </row>
    <row r="56" spans="1:27" x14ac:dyDescent="0.25">
      <c r="A56" s="88">
        <v>51</v>
      </c>
      <c r="B56" s="91">
        <v>8.8000000000000007</v>
      </c>
      <c r="C56" s="91">
        <v>7.88</v>
      </c>
      <c r="D56" s="91">
        <v>7.06</v>
      </c>
      <c r="E56" s="91">
        <v>6.34</v>
      </c>
      <c r="F56" s="91">
        <v>5.71</v>
      </c>
      <c r="G56" s="91">
        <v>5.15</v>
      </c>
      <c r="H56" s="91">
        <v>4.6500000000000004</v>
      </c>
      <c r="I56" s="91">
        <v>4.21</v>
      </c>
      <c r="J56" s="91">
        <v>3.81</v>
      </c>
      <c r="K56" s="91">
        <v>3.46</v>
      </c>
      <c r="L56" s="91">
        <v>3.15</v>
      </c>
      <c r="M56" s="91">
        <v>2.87</v>
      </c>
      <c r="N56" s="91">
        <v>2.61</v>
      </c>
      <c r="O56" s="91">
        <v>2.39</v>
      </c>
      <c r="P56" s="91">
        <v>2.1800000000000002</v>
      </c>
      <c r="Q56" s="91">
        <v>1.99</v>
      </c>
      <c r="R56" s="91">
        <v>1.82</v>
      </c>
      <c r="S56" s="91">
        <v>1.67</v>
      </c>
      <c r="T56" s="91">
        <v>1.53</v>
      </c>
      <c r="U56" s="91">
        <v>1.4</v>
      </c>
      <c r="V56" s="91">
        <v>1.29</v>
      </c>
      <c r="W56" s="91">
        <v>1.18</v>
      </c>
      <c r="X56" s="91">
        <v>1.08</v>
      </c>
      <c r="Y56" s="91">
        <v>0.99</v>
      </c>
      <c r="Z56" s="91">
        <v>0.91</v>
      </c>
      <c r="AA56" s="91">
        <v>0.83</v>
      </c>
    </row>
    <row r="57" spans="1:27" x14ac:dyDescent="0.25">
      <c r="A57" s="88">
        <v>52</v>
      </c>
      <c r="B57" s="91">
        <v>9.5399999999999991</v>
      </c>
      <c r="C57" s="91">
        <v>8.52</v>
      </c>
      <c r="D57" s="91">
        <v>7.62</v>
      </c>
      <c r="E57" s="91">
        <v>6.83</v>
      </c>
      <c r="F57" s="91">
        <v>6.13</v>
      </c>
      <c r="G57" s="91">
        <v>5.52</v>
      </c>
      <c r="H57" s="91">
        <v>4.97</v>
      </c>
      <c r="I57" s="91">
        <v>4.4800000000000004</v>
      </c>
      <c r="J57" s="91">
        <v>4.05</v>
      </c>
      <c r="K57" s="91">
        <v>3.67</v>
      </c>
      <c r="L57" s="91">
        <v>3.33</v>
      </c>
      <c r="M57" s="91">
        <v>3.03</v>
      </c>
      <c r="N57" s="91">
        <v>2.75</v>
      </c>
      <c r="O57" s="91">
        <v>2.5099999999999998</v>
      </c>
      <c r="P57" s="91">
        <v>2.29</v>
      </c>
      <c r="Q57" s="91">
        <v>2.09</v>
      </c>
      <c r="R57" s="91">
        <v>1.91</v>
      </c>
      <c r="S57" s="91">
        <v>1.74</v>
      </c>
      <c r="T57" s="91">
        <v>1.59</v>
      </c>
      <c r="U57" s="91">
        <v>1.46</v>
      </c>
      <c r="V57" s="91">
        <v>1.34</v>
      </c>
      <c r="W57" s="91">
        <v>1.22</v>
      </c>
      <c r="X57" s="91">
        <v>1.1200000000000001</v>
      </c>
      <c r="Y57" s="91">
        <v>1.02</v>
      </c>
      <c r="Z57" s="91">
        <v>0.94</v>
      </c>
      <c r="AA57" s="91">
        <v>0.86</v>
      </c>
    </row>
    <row r="58" spans="1:27" x14ac:dyDescent="0.25">
      <c r="A58" s="88">
        <v>53</v>
      </c>
      <c r="B58" s="91">
        <v>10.37</v>
      </c>
      <c r="C58" s="91">
        <v>9.25</v>
      </c>
      <c r="D58" s="91">
        <v>8.25</v>
      </c>
      <c r="E58" s="91">
        <v>7.38</v>
      </c>
      <c r="F58" s="91">
        <v>6.61</v>
      </c>
      <c r="G58" s="91">
        <v>5.93</v>
      </c>
      <c r="H58" s="91">
        <v>5.33</v>
      </c>
      <c r="I58" s="91">
        <v>4.79</v>
      </c>
      <c r="J58" s="91">
        <v>4.32</v>
      </c>
      <c r="K58" s="91">
        <v>3.91</v>
      </c>
      <c r="L58" s="91">
        <v>3.53</v>
      </c>
      <c r="M58" s="91">
        <v>3.2</v>
      </c>
      <c r="N58" s="91">
        <v>2.91</v>
      </c>
      <c r="O58" s="91">
        <v>2.64</v>
      </c>
      <c r="P58" s="91">
        <v>2.41</v>
      </c>
      <c r="Q58" s="91">
        <v>2.19</v>
      </c>
      <c r="R58" s="91">
        <v>2</v>
      </c>
      <c r="S58" s="91">
        <v>1.82</v>
      </c>
      <c r="T58" s="91">
        <v>1.67</v>
      </c>
      <c r="U58" s="91">
        <v>1.52</v>
      </c>
      <c r="V58" s="91">
        <v>1.39</v>
      </c>
      <c r="W58" s="91">
        <v>1.27</v>
      </c>
      <c r="X58" s="91">
        <v>1.1599999999999999</v>
      </c>
      <c r="Y58" s="91">
        <v>1.06</v>
      </c>
      <c r="Z58" s="91">
        <v>0.97</v>
      </c>
      <c r="AA58" s="91">
        <v>0.89</v>
      </c>
    </row>
    <row r="59" spans="1:27" x14ac:dyDescent="0.25">
      <c r="A59" s="88">
        <v>54</v>
      </c>
      <c r="B59" s="91">
        <v>11.31</v>
      </c>
      <c r="C59" s="91">
        <v>10.06</v>
      </c>
      <c r="D59" s="91">
        <v>8.9600000000000009</v>
      </c>
      <c r="E59" s="91">
        <v>7.99</v>
      </c>
      <c r="F59" s="91">
        <v>7.14</v>
      </c>
      <c r="G59" s="91">
        <v>6.39</v>
      </c>
      <c r="H59" s="91">
        <v>5.72</v>
      </c>
      <c r="I59" s="91">
        <v>5.14</v>
      </c>
      <c r="J59" s="91">
        <v>4.62</v>
      </c>
      <c r="K59" s="91">
        <v>4.17</v>
      </c>
      <c r="L59" s="91">
        <v>3.76</v>
      </c>
      <c r="M59" s="91">
        <v>3.4</v>
      </c>
      <c r="N59" s="91">
        <v>3.08</v>
      </c>
      <c r="O59" s="91">
        <v>2.79</v>
      </c>
      <c r="P59" s="91">
        <v>2.54</v>
      </c>
      <c r="Q59" s="91">
        <v>2.31</v>
      </c>
      <c r="R59" s="91">
        <v>2.1</v>
      </c>
      <c r="S59" s="91">
        <v>1.91</v>
      </c>
      <c r="T59" s="91">
        <v>1.74</v>
      </c>
      <c r="U59" s="91">
        <v>1.59</v>
      </c>
      <c r="V59" s="91">
        <v>1.45</v>
      </c>
      <c r="W59" s="91">
        <v>1.32</v>
      </c>
      <c r="X59" s="91">
        <v>1.21</v>
      </c>
      <c r="Y59" s="91">
        <v>1.1000000000000001</v>
      </c>
      <c r="Z59" s="91">
        <v>1.01</v>
      </c>
      <c r="AA59" s="91">
        <v>0.92</v>
      </c>
    </row>
    <row r="60" spans="1:27" x14ac:dyDescent="0.25">
      <c r="A60" s="88">
        <v>55</v>
      </c>
      <c r="B60" s="91">
        <v>12.36</v>
      </c>
      <c r="C60" s="91">
        <v>10.97</v>
      </c>
      <c r="D60" s="91">
        <v>9.75</v>
      </c>
      <c r="E60" s="91">
        <v>8.68</v>
      </c>
      <c r="F60" s="91">
        <v>7.73</v>
      </c>
      <c r="G60" s="91">
        <v>6.9</v>
      </c>
      <c r="H60" s="91">
        <v>6.17</v>
      </c>
      <c r="I60" s="91">
        <v>5.53</v>
      </c>
      <c r="J60" s="91">
        <v>4.96</v>
      </c>
      <c r="K60" s="91">
        <v>4.46</v>
      </c>
      <c r="L60" s="91">
        <v>4.01</v>
      </c>
      <c r="M60" s="91">
        <v>3.62</v>
      </c>
      <c r="N60" s="91">
        <v>3.27</v>
      </c>
      <c r="O60" s="91">
        <v>2.96</v>
      </c>
      <c r="P60" s="91">
        <v>2.68</v>
      </c>
      <c r="Q60" s="91">
        <v>2.4300000000000002</v>
      </c>
      <c r="R60" s="91">
        <v>2.21</v>
      </c>
      <c r="S60" s="91">
        <v>2.0099999999999998</v>
      </c>
      <c r="T60" s="91">
        <v>1.83</v>
      </c>
      <c r="U60" s="91">
        <v>1.66</v>
      </c>
      <c r="V60" s="91">
        <v>1.51</v>
      </c>
      <c r="W60" s="91">
        <v>1.38</v>
      </c>
      <c r="X60" s="91">
        <v>1.26</v>
      </c>
      <c r="Y60" s="91">
        <v>1.1499999999999999</v>
      </c>
      <c r="Z60" s="91">
        <v>1.04</v>
      </c>
      <c r="AA60" s="91">
        <v>0.95</v>
      </c>
    </row>
    <row r="61" spans="1:27" x14ac:dyDescent="0.25">
      <c r="A61" s="88">
        <v>56</v>
      </c>
      <c r="B61" s="91">
        <v>13.53</v>
      </c>
      <c r="C61" s="91">
        <v>11.99</v>
      </c>
      <c r="D61" s="91">
        <v>10.64</v>
      </c>
      <c r="E61" s="91">
        <v>9.4499999999999993</v>
      </c>
      <c r="F61" s="91">
        <v>8.4</v>
      </c>
      <c r="G61" s="91">
        <v>7.48</v>
      </c>
      <c r="H61" s="91">
        <v>6.67</v>
      </c>
      <c r="I61" s="91">
        <v>5.96</v>
      </c>
      <c r="J61" s="91">
        <v>5.33</v>
      </c>
      <c r="K61" s="91">
        <v>4.78</v>
      </c>
      <c r="L61" s="91">
        <v>4.29</v>
      </c>
      <c r="M61" s="91">
        <v>3.86</v>
      </c>
      <c r="N61" s="91">
        <v>3.48</v>
      </c>
      <c r="O61" s="91">
        <v>3.14</v>
      </c>
      <c r="P61" s="91">
        <v>2.84</v>
      </c>
      <c r="Q61" s="91">
        <v>2.57</v>
      </c>
      <c r="R61" s="91">
        <v>2.33</v>
      </c>
      <c r="S61" s="91">
        <v>2.11</v>
      </c>
      <c r="T61" s="91">
        <v>1.92</v>
      </c>
      <c r="U61" s="91">
        <v>1.74</v>
      </c>
      <c r="V61" s="91">
        <v>1.58</v>
      </c>
      <c r="W61" s="91">
        <v>1.44</v>
      </c>
      <c r="X61" s="91">
        <v>1.31</v>
      </c>
      <c r="Y61" s="91">
        <v>1.19</v>
      </c>
      <c r="Z61" s="91">
        <v>1.0900000000000001</v>
      </c>
      <c r="AA61" s="91">
        <v>0.99</v>
      </c>
    </row>
    <row r="62" spans="1:27" x14ac:dyDescent="0.25">
      <c r="A62" s="88">
        <v>57</v>
      </c>
      <c r="B62" s="91">
        <v>14.84</v>
      </c>
      <c r="C62" s="91">
        <v>13.14</v>
      </c>
      <c r="D62" s="91">
        <v>11.64</v>
      </c>
      <c r="E62" s="91">
        <v>10.31</v>
      </c>
      <c r="F62" s="91">
        <v>9.15</v>
      </c>
      <c r="G62" s="91">
        <v>8.1300000000000008</v>
      </c>
      <c r="H62" s="91">
        <v>7.23</v>
      </c>
      <c r="I62" s="91">
        <v>6.44</v>
      </c>
      <c r="J62" s="91">
        <v>5.75</v>
      </c>
      <c r="K62" s="91">
        <v>5.14</v>
      </c>
      <c r="L62" s="91">
        <v>4.6100000000000003</v>
      </c>
      <c r="M62" s="91">
        <v>4.13</v>
      </c>
      <c r="N62" s="91">
        <v>3.72</v>
      </c>
      <c r="O62" s="91">
        <v>3.34</v>
      </c>
      <c r="P62" s="91">
        <v>3.02</v>
      </c>
      <c r="Q62" s="91">
        <v>2.72</v>
      </c>
      <c r="R62" s="91">
        <v>2.46</v>
      </c>
      <c r="S62" s="91">
        <v>2.23</v>
      </c>
      <c r="T62" s="91">
        <v>2.02</v>
      </c>
      <c r="U62" s="91">
        <v>1.83</v>
      </c>
      <c r="V62" s="91">
        <v>1.66</v>
      </c>
      <c r="W62" s="91">
        <v>1.51</v>
      </c>
      <c r="X62" s="91">
        <v>1.37</v>
      </c>
      <c r="Y62" s="91">
        <v>1.24</v>
      </c>
      <c r="Z62" s="91">
        <v>1.1299999999999999</v>
      </c>
      <c r="AA62" s="91">
        <v>1.03</v>
      </c>
    </row>
    <row r="63" spans="1:27" x14ac:dyDescent="0.25">
      <c r="A63" s="88">
        <v>58</v>
      </c>
      <c r="B63" s="91">
        <v>16.32</v>
      </c>
      <c r="C63" s="91">
        <v>14.43</v>
      </c>
      <c r="D63" s="91">
        <v>12.76</v>
      </c>
      <c r="E63" s="91">
        <v>11.29</v>
      </c>
      <c r="F63" s="91">
        <v>9.99</v>
      </c>
      <c r="G63" s="91">
        <v>8.86</v>
      </c>
      <c r="H63" s="91">
        <v>7.86</v>
      </c>
      <c r="I63" s="91">
        <v>6.99</v>
      </c>
      <c r="J63" s="91">
        <v>6.22</v>
      </c>
      <c r="K63" s="91">
        <v>5.55</v>
      </c>
      <c r="L63" s="91">
        <v>4.96</v>
      </c>
      <c r="M63" s="91">
        <v>4.4400000000000004</v>
      </c>
      <c r="N63" s="91">
        <v>3.98</v>
      </c>
      <c r="O63" s="91">
        <v>3.57</v>
      </c>
      <c r="P63" s="91">
        <v>3.21</v>
      </c>
      <c r="Q63" s="91">
        <v>2.89</v>
      </c>
      <c r="R63" s="91">
        <v>2.61</v>
      </c>
      <c r="S63" s="91">
        <v>2.36</v>
      </c>
      <c r="T63" s="91">
        <v>2.13</v>
      </c>
      <c r="U63" s="91">
        <v>1.93</v>
      </c>
      <c r="V63" s="91">
        <v>1.75</v>
      </c>
      <c r="W63" s="91">
        <v>1.58</v>
      </c>
      <c r="X63" s="91">
        <v>1.43</v>
      </c>
      <c r="Y63" s="91">
        <v>1.3</v>
      </c>
      <c r="Z63" s="91">
        <v>1.18</v>
      </c>
      <c r="AA63" s="91">
        <v>1.07</v>
      </c>
    </row>
    <row r="64" spans="1:27" x14ac:dyDescent="0.25">
      <c r="A64" s="88">
        <v>59</v>
      </c>
      <c r="B64" s="91">
        <v>17.97</v>
      </c>
      <c r="C64" s="91">
        <v>15.87</v>
      </c>
      <c r="D64" s="91">
        <v>14.01</v>
      </c>
      <c r="E64" s="91">
        <v>12.38</v>
      </c>
      <c r="F64" s="91">
        <v>10.94</v>
      </c>
      <c r="G64" s="91">
        <v>9.68</v>
      </c>
      <c r="H64" s="91">
        <v>8.57</v>
      </c>
      <c r="I64" s="91">
        <v>7.6</v>
      </c>
      <c r="J64" s="91">
        <v>6.75</v>
      </c>
      <c r="K64" s="91">
        <v>6.01</v>
      </c>
      <c r="L64" s="91">
        <v>5.35</v>
      </c>
      <c r="M64" s="91">
        <v>4.78</v>
      </c>
      <c r="N64" s="91">
        <v>4.2699999999999996</v>
      </c>
      <c r="O64" s="91">
        <v>3.83</v>
      </c>
      <c r="P64" s="91">
        <v>3.43</v>
      </c>
      <c r="Q64" s="91">
        <v>3.08</v>
      </c>
      <c r="R64" s="91">
        <v>2.77</v>
      </c>
      <c r="S64" s="91">
        <v>2.5</v>
      </c>
      <c r="T64" s="91">
        <v>2.25</v>
      </c>
      <c r="U64" s="91">
        <v>2.0299999999999998</v>
      </c>
      <c r="V64" s="91">
        <v>1.84</v>
      </c>
      <c r="W64" s="91">
        <v>1.66</v>
      </c>
      <c r="X64" s="91">
        <v>1.5</v>
      </c>
      <c r="Y64" s="91">
        <v>1.36</v>
      </c>
      <c r="Z64" s="91">
        <v>1.23</v>
      </c>
      <c r="AA64" s="91">
        <v>1.1200000000000001</v>
      </c>
    </row>
    <row r="65" spans="1:27" x14ac:dyDescent="0.25">
      <c r="A65" s="88">
        <v>60</v>
      </c>
      <c r="B65" s="91">
        <v>19.809999999999999</v>
      </c>
      <c r="C65" s="91">
        <v>17.48</v>
      </c>
      <c r="D65" s="91">
        <v>15.42</v>
      </c>
      <c r="E65" s="91">
        <v>13.61</v>
      </c>
      <c r="F65" s="91">
        <v>12.01</v>
      </c>
      <c r="G65" s="91">
        <v>10.61</v>
      </c>
      <c r="H65" s="91">
        <v>9.3699999999999992</v>
      </c>
      <c r="I65" s="91">
        <v>8.3000000000000007</v>
      </c>
      <c r="J65" s="91">
        <v>7.35</v>
      </c>
      <c r="K65" s="91">
        <v>6.52</v>
      </c>
      <c r="L65" s="91">
        <v>5.8</v>
      </c>
      <c r="M65" s="91">
        <v>5.16</v>
      </c>
      <c r="N65" s="91">
        <v>4.5999999999999996</v>
      </c>
      <c r="O65" s="91">
        <v>4.1100000000000003</v>
      </c>
      <c r="P65" s="91">
        <v>3.68</v>
      </c>
      <c r="Q65" s="91">
        <v>3.3</v>
      </c>
      <c r="R65" s="91">
        <v>2.96</v>
      </c>
      <c r="S65" s="91">
        <v>2.66</v>
      </c>
      <c r="T65" s="91">
        <v>2.39</v>
      </c>
      <c r="U65" s="91">
        <v>2.15</v>
      </c>
      <c r="V65" s="91">
        <v>1.94</v>
      </c>
      <c r="W65" s="91">
        <v>1.75</v>
      </c>
      <c r="X65" s="91">
        <v>1.58</v>
      </c>
      <c r="Y65" s="91">
        <v>1.43</v>
      </c>
      <c r="Z65" s="91">
        <v>1.29</v>
      </c>
      <c r="AA65" s="91">
        <v>1.17</v>
      </c>
    </row>
    <row r="66" spans="1:27" x14ac:dyDescent="0.25">
      <c r="A66" s="88">
        <v>61</v>
      </c>
      <c r="B66" s="91">
        <v>21.87</v>
      </c>
      <c r="C66" s="91">
        <v>19.29</v>
      </c>
      <c r="D66" s="91">
        <v>17.010000000000002</v>
      </c>
      <c r="E66" s="91">
        <v>14.99</v>
      </c>
      <c r="F66" s="91">
        <v>13.21</v>
      </c>
      <c r="G66" s="91">
        <v>11.65</v>
      </c>
      <c r="H66" s="91">
        <v>10.28</v>
      </c>
      <c r="I66" s="91">
        <v>9.07</v>
      </c>
      <c r="J66" s="91">
        <v>8.02</v>
      </c>
      <c r="K66" s="91">
        <v>7.1</v>
      </c>
      <c r="L66" s="91">
        <v>6.3</v>
      </c>
      <c r="M66" s="91">
        <v>5.59</v>
      </c>
      <c r="N66" s="91">
        <v>4.97</v>
      </c>
      <c r="O66" s="91">
        <v>4.43</v>
      </c>
      <c r="P66" s="91">
        <v>3.95</v>
      </c>
      <c r="Q66" s="91">
        <v>3.53</v>
      </c>
      <c r="R66" s="91">
        <v>3.16</v>
      </c>
      <c r="S66" s="91">
        <v>2.83</v>
      </c>
      <c r="T66" s="91">
        <v>2.54</v>
      </c>
      <c r="U66" s="91">
        <v>2.29</v>
      </c>
      <c r="V66" s="91">
        <v>2.06</v>
      </c>
      <c r="W66" s="91">
        <v>1.85</v>
      </c>
      <c r="X66" s="91">
        <v>1.67</v>
      </c>
      <c r="Y66" s="91">
        <v>1.5</v>
      </c>
      <c r="Z66" s="91">
        <v>1.36</v>
      </c>
      <c r="AA66" s="91">
        <v>1.23</v>
      </c>
    </row>
    <row r="67" spans="1:27" x14ac:dyDescent="0.25">
      <c r="A67" s="88">
        <v>62</v>
      </c>
      <c r="B67" s="91">
        <v>24.18</v>
      </c>
      <c r="C67" s="91">
        <v>21.32</v>
      </c>
      <c r="D67" s="91">
        <v>18.78</v>
      </c>
      <c r="E67" s="91">
        <v>16.54</v>
      </c>
      <c r="F67" s="91">
        <v>14.56</v>
      </c>
      <c r="G67" s="91">
        <v>12.82</v>
      </c>
      <c r="H67" s="91">
        <v>11.29</v>
      </c>
      <c r="I67" s="91">
        <v>9.9499999999999993</v>
      </c>
      <c r="J67" s="91">
        <v>8.7799999999999994</v>
      </c>
      <c r="K67" s="91">
        <v>7.76</v>
      </c>
      <c r="L67" s="91">
        <v>6.86</v>
      </c>
      <c r="M67" s="91">
        <v>6.08</v>
      </c>
      <c r="N67" s="91">
        <v>5.39</v>
      </c>
      <c r="O67" s="91">
        <v>4.79</v>
      </c>
      <c r="P67" s="91">
        <v>4.26</v>
      </c>
      <c r="Q67" s="91">
        <v>3.8</v>
      </c>
      <c r="R67" s="91">
        <v>3.39</v>
      </c>
      <c r="S67" s="91">
        <v>3.03</v>
      </c>
      <c r="T67" s="91">
        <v>2.71</v>
      </c>
      <c r="U67" s="91">
        <v>2.4300000000000002</v>
      </c>
      <c r="V67" s="91">
        <v>2.1800000000000002</v>
      </c>
      <c r="W67" s="91">
        <v>1.96</v>
      </c>
      <c r="X67" s="91">
        <v>1.76</v>
      </c>
      <c r="Y67" s="91">
        <v>1.59</v>
      </c>
      <c r="Z67" s="91">
        <v>1.43</v>
      </c>
      <c r="AA67" s="91">
        <v>1.29</v>
      </c>
    </row>
    <row r="68" spans="1:27" x14ac:dyDescent="0.25">
      <c r="A68" s="88">
        <v>63</v>
      </c>
      <c r="B68" s="91">
        <v>26.76</v>
      </c>
      <c r="C68" s="91">
        <v>23.59</v>
      </c>
      <c r="D68" s="91">
        <v>20.78</v>
      </c>
      <c r="E68" s="91">
        <v>18.28</v>
      </c>
      <c r="F68" s="91">
        <v>16.079999999999998</v>
      </c>
      <c r="G68" s="91">
        <v>14.14</v>
      </c>
      <c r="H68" s="91">
        <v>12.44</v>
      </c>
      <c r="I68" s="91">
        <v>10.94</v>
      </c>
      <c r="J68" s="91">
        <v>9.64</v>
      </c>
      <c r="K68" s="91">
        <v>8.5</v>
      </c>
      <c r="L68" s="91">
        <v>7.5</v>
      </c>
      <c r="M68" s="91">
        <v>6.62</v>
      </c>
      <c r="N68" s="91">
        <v>5.86</v>
      </c>
      <c r="O68" s="91">
        <v>5.19</v>
      </c>
      <c r="P68" s="91">
        <v>4.6100000000000003</v>
      </c>
      <c r="Q68" s="91">
        <v>4.0999999999999996</v>
      </c>
      <c r="R68" s="91">
        <v>3.65</v>
      </c>
      <c r="S68" s="91">
        <v>3.25</v>
      </c>
      <c r="T68" s="91">
        <v>2.9</v>
      </c>
      <c r="U68" s="91">
        <v>2.6</v>
      </c>
      <c r="V68" s="91">
        <v>2.3199999999999998</v>
      </c>
      <c r="W68" s="91">
        <v>2.08</v>
      </c>
      <c r="X68" s="91">
        <v>1.87</v>
      </c>
      <c r="Y68" s="91">
        <v>1.68</v>
      </c>
      <c r="Z68" s="91">
        <v>1.51</v>
      </c>
      <c r="AA68" s="91">
        <v>1.35</v>
      </c>
    </row>
    <row r="69" spans="1:27" x14ac:dyDescent="0.25">
      <c r="A69" s="88">
        <v>64</v>
      </c>
      <c r="B69" s="91">
        <v>29.06</v>
      </c>
      <c r="C69" s="91">
        <v>26.13</v>
      </c>
      <c r="D69" s="91">
        <v>23.01</v>
      </c>
      <c r="E69" s="91">
        <v>20.239999999999998</v>
      </c>
      <c r="F69" s="91">
        <v>17.79</v>
      </c>
      <c r="G69" s="91">
        <v>15.63</v>
      </c>
      <c r="H69" s="91">
        <v>13.73</v>
      </c>
      <c r="I69" s="91">
        <v>12.06</v>
      </c>
      <c r="J69" s="91">
        <v>10.61</v>
      </c>
      <c r="K69" s="91">
        <v>9.33</v>
      </c>
      <c r="L69" s="91">
        <v>8.2200000000000006</v>
      </c>
      <c r="M69" s="91">
        <v>7.24</v>
      </c>
      <c r="N69" s="91">
        <v>6.39</v>
      </c>
      <c r="O69" s="91">
        <v>5.65</v>
      </c>
      <c r="P69" s="91">
        <v>5</v>
      </c>
      <c r="Q69" s="91">
        <v>4.4400000000000004</v>
      </c>
      <c r="R69" s="91">
        <v>3.94</v>
      </c>
      <c r="S69" s="91">
        <v>3.5</v>
      </c>
      <c r="T69" s="91">
        <v>3.12</v>
      </c>
      <c r="U69" s="91">
        <v>2.78</v>
      </c>
      <c r="V69" s="91">
        <v>2.48</v>
      </c>
      <c r="W69" s="91">
        <v>2.2200000000000002</v>
      </c>
      <c r="X69" s="91">
        <v>1.98</v>
      </c>
      <c r="Y69" s="91">
        <v>1.78</v>
      </c>
      <c r="Z69" s="91">
        <v>1.59</v>
      </c>
      <c r="AA69" s="91">
        <v>1.43</v>
      </c>
    </row>
    <row r="70" spans="1:27" x14ac:dyDescent="0.25">
      <c r="A70" s="88">
        <v>65</v>
      </c>
      <c r="B70" s="91">
        <v>30</v>
      </c>
      <c r="C70" s="91">
        <v>28.74</v>
      </c>
      <c r="D70" s="91">
        <v>25.51</v>
      </c>
      <c r="E70" s="91">
        <v>22.44</v>
      </c>
      <c r="F70" s="91">
        <v>19.71</v>
      </c>
      <c r="G70" s="91">
        <v>17.309999999999999</v>
      </c>
      <c r="H70" s="91">
        <v>15.19</v>
      </c>
      <c r="I70" s="91">
        <v>13.33</v>
      </c>
      <c r="J70" s="91">
        <v>11.7</v>
      </c>
      <c r="K70" s="91">
        <v>10.27</v>
      </c>
      <c r="L70" s="91">
        <v>9.0299999999999994</v>
      </c>
      <c r="M70" s="91">
        <v>7.94</v>
      </c>
      <c r="N70" s="91">
        <v>7</v>
      </c>
      <c r="O70" s="91">
        <v>6.17</v>
      </c>
      <c r="P70" s="91">
        <v>5.45</v>
      </c>
      <c r="Q70" s="91">
        <v>4.82</v>
      </c>
      <c r="R70" s="91">
        <v>4.26</v>
      </c>
      <c r="S70" s="91">
        <v>3.78</v>
      </c>
      <c r="T70" s="91">
        <v>3.36</v>
      </c>
      <c r="U70" s="91">
        <v>2.98</v>
      </c>
      <c r="V70" s="91">
        <v>2.66</v>
      </c>
      <c r="W70" s="91">
        <v>2.37</v>
      </c>
      <c r="X70" s="91">
        <v>2.11</v>
      </c>
      <c r="Y70" s="91">
        <v>1.89</v>
      </c>
      <c r="Z70" s="91">
        <v>1.69</v>
      </c>
      <c r="AA70" s="91">
        <v>1.51</v>
      </c>
    </row>
    <row r="71" spans="1:27" x14ac:dyDescent="0.25">
      <c r="A71" s="88">
        <v>66</v>
      </c>
      <c r="B71" s="91">
        <v>30</v>
      </c>
      <c r="C71" s="91">
        <v>30</v>
      </c>
      <c r="D71" s="91">
        <v>28.32</v>
      </c>
      <c r="E71" s="91">
        <v>24.9</v>
      </c>
      <c r="F71" s="91">
        <v>21.87</v>
      </c>
      <c r="G71" s="91">
        <v>19.190000000000001</v>
      </c>
      <c r="H71" s="91">
        <v>16.829999999999998</v>
      </c>
      <c r="I71" s="91">
        <v>14.76</v>
      </c>
      <c r="J71" s="91">
        <v>12.94</v>
      </c>
      <c r="K71" s="91">
        <v>11.34</v>
      </c>
      <c r="L71" s="91">
        <v>9.9499999999999993</v>
      </c>
      <c r="M71" s="91">
        <v>8.74</v>
      </c>
      <c r="N71" s="91">
        <v>7.68</v>
      </c>
      <c r="O71" s="91">
        <v>6.75</v>
      </c>
      <c r="P71" s="91">
        <v>5.95</v>
      </c>
      <c r="Q71" s="91">
        <v>5.25</v>
      </c>
      <c r="R71" s="91">
        <v>4.63</v>
      </c>
      <c r="S71" s="91">
        <v>4.0999999999999996</v>
      </c>
      <c r="T71" s="91">
        <v>3.63</v>
      </c>
      <c r="U71" s="91">
        <v>3.21</v>
      </c>
      <c r="V71" s="91">
        <v>2.85</v>
      </c>
      <c r="W71" s="91">
        <v>2.5299999999999998</v>
      </c>
      <c r="X71" s="91">
        <v>2.2599999999999998</v>
      </c>
      <c r="Y71" s="91">
        <v>2.0099999999999998</v>
      </c>
      <c r="Z71" s="91">
        <v>1.79</v>
      </c>
      <c r="AA71" s="91">
        <v>1.6</v>
      </c>
    </row>
    <row r="72" spans="1:27" x14ac:dyDescent="0.25">
      <c r="A72" s="88">
        <v>67</v>
      </c>
      <c r="B72" s="91">
        <v>30</v>
      </c>
      <c r="C72" s="91">
        <v>30</v>
      </c>
      <c r="D72" s="91">
        <v>29.9</v>
      </c>
      <c r="E72" s="91">
        <v>27.68</v>
      </c>
      <c r="F72" s="91">
        <v>24.31</v>
      </c>
      <c r="G72" s="91">
        <v>21.32</v>
      </c>
      <c r="H72" s="91">
        <v>18.690000000000001</v>
      </c>
      <c r="I72" s="91">
        <v>16.37</v>
      </c>
      <c r="J72" s="91">
        <v>14.34</v>
      </c>
      <c r="K72" s="91">
        <v>12.55</v>
      </c>
      <c r="L72" s="91">
        <v>11</v>
      </c>
      <c r="M72" s="91">
        <v>9.64</v>
      </c>
      <c r="N72" s="91">
        <v>8.4499999999999993</v>
      </c>
      <c r="O72" s="91">
        <v>7.42</v>
      </c>
      <c r="P72" s="91">
        <v>6.52</v>
      </c>
      <c r="Q72" s="91">
        <v>5.73</v>
      </c>
      <c r="R72" s="91">
        <v>5.05</v>
      </c>
      <c r="S72" s="91">
        <v>4.45</v>
      </c>
      <c r="T72" s="91">
        <v>3.93</v>
      </c>
      <c r="U72" s="91">
        <v>3.48</v>
      </c>
      <c r="V72" s="91">
        <v>3.08</v>
      </c>
      <c r="W72" s="91">
        <v>2.72</v>
      </c>
      <c r="X72" s="91">
        <v>2.42</v>
      </c>
      <c r="Y72" s="91">
        <v>2.15</v>
      </c>
      <c r="Z72" s="91">
        <v>1.91</v>
      </c>
      <c r="AA72" s="91">
        <v>1.71</v>
      </c>
    </row>
    <row r="73" spans="1:27" x14ac:dyDescent="0.25">
      <c r="A73" s="88">
        <v>68</v>
      </c>
      <c r="B73" s="91">
        <v>30</v>
      </c>
      <c r="C73" s="91">
        <v>30</v>
      </c>
      <c r="D73" s="91">
        <v>30</v>
      </c>
      <c r="E73" s="91">
        <v>29.57</v>
      </c>
      <c r="F73" s="91">
        <v>27.05</v>
      </c>
      <c r="G73" s="91">
        <v>23.72</v>
      </c>
      <c r="H73" s="91">
        <v>20.79</v>
      </c>
      <c r="I73" s="91">
        <v>18.2</v>
      </c>
      <c r="J73" s="91">
        <v>15.92</v>
      </c>
      <c r="K73" s="91">
        <v>13.93</v>
      </c>
      <c r="L73" s="91">
        <v>12.18</v>
      </c>
      <c r="M73" s="91">
        <v>10.66</v>
      </c>
      <c r="N73" s="91">
        <v>9.33</v>
      </c>
      <c r="O73" s="91">
        <v>8.18</v>
      </c>
      <c r="P73" s="91">
        <v>7.17</v>
      </c>
      <c r="Q73" s="91">
        <v>6.29</v>
      </c>
      <c r="R73" s="91">
        <v>5.52</v>
      </c>
      <c r="S73" s="91">
        <v>4.8600000000000003</v>
      </c>
      <c r="T73" s="91">
        <v>4.28</v>
      </c>
      <c r="U73" s="91">
        <v>3.77</v>
      </c>
      <c r="V73" s="91">
        <v>3.33</v>
      </c>
      <c r="W73" s="91">
        <v>2.94</v>
      </c>
      <c r="X73" s="91">
        <v>2.6</v>
      </c>
      <c r="Y73" s="91">
        <v>2.31</v>
      </c>
      <c r="Z73" s="91">
        <v>2.0499999999999998</v>
      </c>
      <c r="AA73" s="91">
        <v>1.82</v>
      </c>
    </row>
    <row r="74" spans="1:27" x14ac:dyDescent="0.25">
      <c r="A74" s="88">
        <v>69</v>
      </c>
      <c r="B74" s="91">
        <v>30</v>
      </c>
      <c r="C74" s="91">
        <v>30</v>
      </c>
      <c r="D74" s="91">
        <v>30</v>
      </c>
      <c r="E74" s="91">
        <v>30</v>
      </c>
      <c r="F74" s="91">
        <v>29.25</v>
      </c>
      <c r="G74" s="91">
        <v>26.43</v>
      </c>
      <c r="H74" s="91">
        <v>23.16</v>
      </c>
      <c r="I74" s="91">
        <v>20.260000000000002</v>
      </c>
      <c r="J74" s="91">
        <v>17.72</v>
      </c>
      <c r="K74" s="91">
        <v>15.49</v>
      </c>
      <c r="L74" s="91">
        <v>13.53</v>
      </c>
      <c r="M74" s="91">
        <v>11.82</v>
      </c>
      <c r="N74" s="91">
        <v>10.33</v>
      </c>
      <c r="O74" s="91">
        <v>9.0399999999999991</v>
      </c>
      <c r="P74" s="91">
        <v>7.9</v>
      </c>
      <c r="Q74" s="91">
        <v>6.92</v>
      </c>
      <c r="R74" s="91">
        <v>6.06</v>
      </c>
      <c r="S74" s="91">
        <v>5.32</v>
      </c>
      <c r="T74" s="91">
        <v>4.67</v>
      </c>
      <c r="U74" s="91">
        <v>4.1100000000000003</v>
      </c>
      <c r="V74" s="91">
        <v>3.61</v>
      </c>
      <c r="W74" s="91">
        <v>3.18</v>
      </c>
      <c r="X74" s="91">
        <v>2.81</v>
      </c>
      <c r="Y74" s="91">
        <v>2.48</v>
      </c>
      <c r="Z74" s="91">
        <v>2.2000000000000002</v>
      </c>
      <c r="AA74" s="91">
        <v>1.95</v>
      </c>
    </row>
    <row r="75" spans="1:27" x14ac:dyDescent="0.25">
      <c r="A75" s="88">
        <v>70</v>
      </c>
      <c r="B75" s="91">
        <v>30</v>
      </c>
      <c r="C75" s="91">
        <v>30</v>
      </c>
      <c r="D75" s="91">
        <v>30</v>
      </c>
      <c r="E75" s="91">
        <v>30</v>
      </c>
      <c r="F75" s="91">
        <v>30</v>
      </c>
      <c r="G75" s="91">
        <v>28.93</v>
      </c>
      <c r="H75" s="91">
        <v>25.83</v>
      </c>
      <c r="I75" s="91">
        <v>22.6</v>
      </c>
      <c r="J75" s="91">
        <v>19.760000000000002</v>
      </c>
      <c r="K75" s="91">
        <v>17.260000000000002</v>
      </c>
      <c r="L75" s="91">
        <v>15.07</v>
      </c>
      <c r="M75" s="91">
        <v>13.15</v>
      </c>
      <c r="N75" s="91">
        <v>11.48</v>
      </c>
      <c r="O75" s="91">
        <v>10.02</v>
      </c>
      <c r="P75" s="91">
        <v>8.75</v>
      </c>
      <c r="Q75" s="91">
        <v>7.64</v>
      </c>
      <c r="R75" s="91">
        <v>6.68</v>
      </c>
      <c r="S75" s="91">
        <v>5.84</v>
      </c>
      <c r="T75" s="91">
        <v>5.12</v>
      </c>
      <c r="U75" s="91">
        <v>4.49</v>
      </c>
      <c r="V75" s="91">
        <v>3.94</v>
      </c>
      <c r="W75" s="91">
        <v>3.46</v>
      </c>
      <c r="X75" s="91">
        <v>3.04</v>
      </c>
      <c r="Y75" s="91">
        <v>2.68</v>
      </c>
      <c r="Z75" s="91">
        <v>2.36</v>
      </c>
      <c r="AA75" s="91">
        <v>2.09</v>
      </c>
    </row>
    <row r="76" spans="1:27" x14ac:dyDescent="0.25">
      <c r="A76" s="88">
        <v>71</v>
      </c>
      <c r="B76" s="91">
        <v>30</v>
      </c>
      <c r="C76" s="91">
        <v>30</v>
      </c>
      <c r="D76" s="91">
        <v>30</v>
      </c>
      <c r="E76" s="91">
        <v>30</v>
      </c>
      <c r="F76" s="91">
        <v>30</v>
      </c>
      <c r="G76" s="91">
        <v>30</v>
      </c>
      <c r="H76" s="91">
        <v>28.63</v>
      </c>
      <c r="I76" s="91">
        <v>25.25</v>
      </c>
      <c r="J76" s="91">
        <v>22.06</v>
      </c>
      <c r="K76" s="91">
        <v>19.27</v>
      </c>
      <c r="L76" s="91">
        <v>16.809999999999999</v>
      </c>
      <c r="M76" s="91">
        <v>14.66</v>
      </c>
      <c r="N76" s="91">
        <v>12.78</v>
      </c>
      <c r="O76" s="91">
        <v>11.13</v>
      </c>
      <c r="P76" s="91">
        <v>9.7100000000000009</v>
      </c>
      <c r="Q76" s="91">
        <v>8.4600000000000009</v>
      </c>
      <c r="R76" s="91">
        <v>7.38</v>
      </c>
      <c r="S76" s="91">
        <v>6.44</v>
      </c>
      <c r="T76" s="91">
        <v>5.63</v>
      </c>
      <c r="U76" s="91">
        <v>4.92</v>
      </c>
      <c r="V76" s="91">
        <v>4.3</v>
      </c>
      <c r="W76" s="91">
        <v>3.77</v>
      </c>
      <c r="X76" s="91">
        <v>3.3</v>
      </c>
      <c r="Y76" s="91">
        <v>2.9</v>
      </c>
      <c r="Z76" s="91">
        <v>2.56</v>
      </c>
      <c r="AA76" s="91">
        <v>2.25</v>
      </c>
    </row>
    <row r="77" spans="1:27" x14ac:dyDescent="0.25">
      <c r="A77" s="88">
        <v>72</v>
      </c>
      <c r="B77" s="91">
        <v>30</v>
      </c>
      <c r="C77" s="91">
        <v>30</v>
      </c>
      <c r="D77" s="91">
        <v>30</v>
      </c>
      <c r="E77" s="91">
        <v>30</v>
      </c>
      <c r="F77" s="91">
        <v>30</v>
      </c>
      <c r="G77" s="91">
        <v>30</v>
      </c>
      <c r="H77" s="91">
        <v>30</v>
      </c>
      <c r="I77" s="91">
        <v>28.25</v>
      </c>
      <c r="J77" s="91">
        <v>24.68</v>
      </c>
      <c r="K77" s="91">
        <v>21.54</v>
      </c>
      <c r="L77" s="91">
        <v>18.79</v>
      </c>
      <c r="M77" s="91">
        <v>16.37</v>
      </c>
      <c r="N77" s="91">
        <v>14.26</v>
      </c>
      <c r="O77" s="91">
        <v>12.41</v>
      </c>
      <c r="P77" s="91">
        <v>10.8</v>
      </c>
      <c r="Q77" s="91">
        <v>9.4</v>
      </c>
      <c r="R77" s="91">
        <v>8.18</v>
      </c>
      <c r="S77" s="91">
        <v>7.13</v>
      </c>
      <c r="T77" s="91">
        <v>6.21</v>
      </c>
      <c r="U77" s="91">
        <v>5.41</v>
      </c>
      <c r="V77" s="91">
        <v>4.72</v>
      </c>
      <c r="W77" s="91">
        <v>4.12</v>
      </c>
      <c r="X77" s="91">
        <v>3.61</v>
      </c>
      <c r="Y77" s="91">
        <v>3.16</v>
      </c>
      <c r="Z77" s="91">
        <v>2.77</v>
      </c>
      <c r="AA77" s="91">
        <v>2.4300000000000002</v>
      </c>
    </row>
    <row r="78" spans="1:27" x14ac:dyDescent="0.25">
      <c r="A78" s="88">
        <v>73</v>
      </c>
      <c r="B78" s="91">
        <v>30</v>
      </c>
      <c r="C78" s="91">
        <v>30</v>
      </c>
      <c r="D78" s="91">
        <v>30</v>
      </c>
      <c r="E78" s="91">
        <v>30</v>
      </c>
      <c r="F78" s="91">
        <v>30</v>
      </c>
      <c r="G78" s="91">
        <v>30</v>
      </c>
      <c r="H78" s="91">
        <v>30</v>
      </c>
      <c r="I78" s="91">
        <v>29.92</v>
      </c>
      <c r="J78" s="91">
        <v>27.65</v>
      </c>
      <c r="K78" s="91">
        <v>24.14</v>
      </c>
      <c r="L78" s="91">
        <v>21.04</v>
      </c>
      <c r="M78" s="91">
        <v>18.329999999999998</v>
      </c>
      <c r="N78" s="91">
        <v>15.95</v>
      </c>
      <c r="O78" s="91">
        <v>13.87</v>
      </c>
      <c r="P78" s="91">
        <v>12.05</v>
      </c>
      <c r="Q78" s="91">
        <v>10.48</v>
      </c>
      <c r="R78" s="91">
        <v>9.1</v>
      </c>
      <c r="S78" s="91">
        <v>7.91</v>
      </c>
      <c r="T78" s="91">
        <v>6.88</v>
      </c>
      <c r="U78" s="91">
        <v>5.98</v>
      </c>
      <c r="V78" s="91">
        <v>5.2</v>
      </c>
      <c r="W78" s="91">
        <v>4.53</v>
      </c>
      <c r="X78" s="91">
        <v>3.95</v>
      </c>
      <c r="Y78" s="91">
        <v>3.45</v>
      </c>
      <c r="Z78" s="91">
        <v>3.02</v>
      </c>
      <c r="AA78" s="91">
        <v>2.64</v>
      </c>
    </row>
    <row r="79" spans="1:27" x14ac:dyDescent="0.25">
      <c r="A79" s="88">
        <v>74</v>
      </c>
      <c r="B79" s="91">
        <v>30</v>
      </c>
      <c r="C79" s="91">
        <v>30</v>
      </c>
      <c r="D79" s="91">
        <v>30</v>
      </c>
      <c r="E79" s="91">
        <v>30</v>
      </c>
      <c r="F79" s="91">
        <v>30</v>
      </c>
      <c r="G79" s="91">
        <v>30</v>
      </c>
      <c r="H79" s="91">
        <v>30</v>
      </c>
      <c r="I79" s="91">
        <v>30</v>
      </c>
      <c r="J79" s="91">
        <v>29.62</v>
      </c>
      <c r="K79" s="91">
        <v>27.09</v>
      </c>
      <c r="L79" s="91">
        <v>23.61</v>
      </c>
      <c r="M79" s="91">
        <v>20.56</v>
      </c>
      <c r="N79" s="91">
        <v>17.88</v>
      </c>
      <c r="O79" s="91">
        <v>15.54</v>
      </c>
      <c r="P79" s="91">
        <v>13.49</v>
      </c>
      <c r="Q79" s="91">
        <v>11.71</v>
      </c>
      <c r="R79" s="91">
        <v>10.16</v>
      </c>
      <c r="S79" s="91">
        <v>8.81</v>
      </c>
      <c r="T79" s="91">
        <v>7.64</v>
      </c>
      <c r="U79" s="91">
        <v>6.63</v>
      </c>
      <c r="V79" s="91">
        <v>5.75</v>
      </c>
      <c r="W79" s="91">
        <v>4.99</v>
      </c>
      <c r="X79" s="91">
        <v>4.34</v>
      </c>
      <c r="Y79" s="91">
        <v>3.78</v>
      </c>
      <c r="Z79" s="91">
        <v>3.3</v>
      </c>
      <c r="AA79" s="91">
        <v>2.88</v>
      </c>
    </row>
    <row r="80" spans="1:27" x14ac:dyDescent="0.25">
      <c r="A80" s="88">
        <v>75</v>
      </c>
      <c r="B80" s="91">
        <v>30</v>
      </c>
      <c r="C80" s="91">
        <v>30</v>
      </c>
      <c r="D80" s="91">
        <v>30</v>
      </c>
      <c r="E80" s="91">
        <v>30</v>
      </c>
      <c r="F80" s="91">
        <v>30</v>
      </c>
      <c r="G80" s="91">
        <v>30</v>
      </c>
      <c r="H80" s="91">
        <v>30</v>
      </c>
      <c r="I80" s="91">
        <v>30</v>
      </c>
      <c r="J80" s="91">
        <v>30</v>
      </c>
      <c r="K80" s="91">
        <v>29.33</v>
      </c>
      <c r="L80" s="91">
        <v>26.55</v>
      </c>
      <c r="M80" s="91">
        <v>23.11</v>
      </c>
      <c r="N80" s="91">
        <v>20.09</v>
      </c>
      <c r="O80" s="91">
        <v>17.45</v>
      </c>
      <c r="P80" s="91">
        <v>15.14</v>
      </c>
      <c r="Q80" s="91">
        <v>13.13</v>
      </c>
      <c r="R80" s="91">
        <v>11.37</v>
      </c>
      <c r="S80" s="91">
        <v>9.84</v>
      </c>
      <c r="T80" s="91">
        <v>8.52</v>
      </c>
      <c r="U80" s="91">
        <v>7.38</v>
      </c>
      <c r="V80" s="91">
        <v>6.38</v>
      </c>
      <c r="W80" s="91">
        <v>5.52</v>
      </c>
      <c r="X80" s="91">
        <v>4.79</v>
      </c>
      <c r="Y80" s="91">
        <v>4.16</v>
      </c>
      <c r="Z80" s="91">
        <v>3.61</v>
      </c>
      <c r="AA80" s="91">
        <v>3.15</v>
      </c>
    </row>
    <row r="81" spans="1:27" x14ac:dyDescent="0.25">
      <c r="A81" s="88">
        <v>76</v>
      </c>
      <c r="B81" s="91">
        <v>30</v>
      </c>
      <c r="C81" s="91">
        <v>30</v>
      </c>
      <c r="D81" s="91">
        <v>30</v>
      </c>
      <c r="E81" s="91">
        <v>30</v>
      </c>
      <c r="F81" s="91">
        <v>30</v>
      </c>
      <c r="G81" s="91">
        <v>30</v>
      </c>
      <c r="H81" s="91">
        <v>30</v>
      </c>
      <c r="I81" s="91">
        <v>30</v>
      </c>
      <c r="J81" s="91">
        <v>30</v>
      </c>
      <c r="K81" s="91">
        <v>30</v>
      </c>
      <c r="L81" s="91">
        <v>29.06</v>
      </c>
      <c r="M81" s="91">
        <v>26.03</v>
      </c>
      <c r="N81" s="91">
        <v>22.63</v>
      </c>
      <c r="O81" s="91">
        <v>19.649999999999999</v>
      </c>
      <c r="P81" s="91">
        <v>17.03</v>
      </c>
      <c r="Q81" s="91">
        <v>14.76</v>
      </c>
      <c r="R81" s="91">
        <v>12.77</v>
      </c>
      <c r="S81" s="91">
        <v>11.04</v>
      </c>
      <c r="T81" s="91">
        <v>9.5399999999999991</v>
      </c>
      <c r="U81" s="91">
        <v>8.24</v>
      </c>
      <c r="V81" s="91">
        <v>7.11</v>
      </c>
      <c r="W81" s="91">
        <v>6.14</v>
      </c>
      <c r="X81" s="91">
        <v>5.31</v>
      </c>
      <c r="Y81" s="91">
        <v>4.59</v>
      </c>
      <c r="Z81" s="91">
        <v>3.98</v>
      </c>
      <c r="AA81" s="91">
        <v>3.45</v>
      </c>
    </row>
    <row r="82" spans="1:27" x14ac:dyDescent="0.25">
      <c r="A82" s="88">
        <v>77</v>
      </c>
      <c r="B82" s="91">
        <v>30</v>
      </c>
      <c r="C82" s="91">
        <v>30</v>
      </c>
      <c r="D82" s="91">
        <v>30</v>
      </c>
      <c r="E82" s="91">
        <v>30</v>
      </c>
      <c r="F82" s="91">
        <v>30</v>
      </c>
      <c r="G82" s="91">
        <v>30</v>
      </c>
      <c r="H82" s="91">
        <v>30</v>
      </c>
      <c r="I82" s="91">
        <v>30</v>
      </c>
      <c r="J82" s="91">
        <v>30</v>
      </c>
      <c r="K82" s="91">
        <v>30</v>
      </c>
      <c r="L82" s="91">
        <v>30</v>
      </c>
      <c r="M82" s="91">
        <v>28.8</v>
      </c>
      <c r="N82" s="91">
        <v>25.54</v>
      </c>
      <c r="O82" s="91">
        <v>22.17</v>
      </c>
      <c r="P82" s="91">
        <v>19.22</v>
      </c>
      <c r="Q82" s="91">
        <v>16.63</v>
      </c>
      <c r="R82" s="91">
        <v>14.38</v>
      </c>
      <c r="S82" s="91">
        <v>12.41</v>
      </c>
      <c r="T82" s="91">
        <v>10.71</v>
      </c>
      <c r="U82" s="91">
        <v>9.23</v>
      </c>
      <c r="V82" s="91">
        <v>7.95</v>
      </c>
      <c r="W82" s="91">
        <v>6.85</v>
      </c>
      <c r="X82" s="91">
        <v>5.9</v>
      </c>
      <c r="Y82" s="91">
        <v>5.0999999999999996</v>
      </c>
      <c r="Z82" s="91">
        <v>4.4000000000000004</v>
      </c>
      <c r="AA82" s="91">
        <v>3.81</v>
      </c>
    </row>
    <row r="83" spans="1:27" x14ac:dyDescent="0.25">
      <c r="A83" s="88">
        <v>78</v>
      </c>
      <c r="B83" s="91">
        <v>30</v>
      </c>
      <c r="C83" s="91">
        <v>30</v>
      </c>
      <c r="D83" s="91">
        <v>30</v>
      </c>
      <c r="E83" s="91">
        <v>30</v>
      </c>
      <c r="F83" s="91">
        <v>30</v>
      </c>
      <c r="G83" s="91">
        <v>30</v>
      </c>
      <c r="H83" s="91">
        <v>30</v>
      </c>
      <c r="I83" s="91">
        <v>30</v>
      </c>
      <c r="J83" s="91">
        <v>30</v>
      </c>
      <c r="K83" s="91">
        <v>30</v>
      </c>
      <c r="L83" s="91">
        <v>30</v>
      </c>
      <c r="M83" s="91">
        <v>30</v>
      </c>
      <c r="N83" s="91">
        <v>28.55</v>
      </c>
      <c r="O83" s="91">
        <v>25.07</v>
      </c>
      <c r="P83" s="91">
        <v>21.73</v>
      </c>
      <c r="Q83" s="91">
        <v>18.8</v>
      </c>
      <c r="R83" s="91">
        <v>16.239999999999998</v>
      </c>
      <c r="S83" s="91">
        <v>14.01</v>
      </c>
      <c r="T83" s="91">
        <v>12.07</v>
      </c>
      <c r="U83" s="91">
        <v>10.38</v>
      </c>
      <c r="V83" s="91">
        <v>8.93</v>
      </c>
      <c r="W83" s="91">
        <v>7.67</v>
      </c>
      <c r="X83" s="91">
        <v>6.59</v>
      </c>
      <c r="Y83" s="91">
        <v>5.68</v>
      </c>
      <c r="Z83" s="91">
        <v>4.8899999999999997</v>
      </c>
      <c r="AA83" s="91">
        <v>4.22</v>
      </c>
    </row>
    <row r="84" spans="1:27" x14ac:dyDescent="0.25">
      <c r="A84" s="88">
        <v>79</v>
      </c>
      <c r="B84" s="91">
        <v>30</v>
      </c>
      <c r="C84" s="91">
        <v>30</v>
      </c>
      <c r="D84" s="91">
        <v>30</v>
      </c>
      <c r="E84" s="91">
        <v>30</v>
      </c>
      <c r="F84" s="91">
        <v>30</v>
      </c>
      <c r="G84" s="91">
        <v>30</v>
      </c>
      <c r="H84" s="91">
        <v>30</v>
      </c>
      <c r="I84" s="91">
        <v>30</v>
      </c>
      <c r="J84" s="91">
        <v>30</v>
      </c>
      <c r="K84" s="91">
        <v>30</v>
      </c>
      <c r="L84" s="91">
        <v>30</v>
      </c>
      <c r="M84" s="91">
        <v>30</v>
      </c>
      <c r="N84" s="91">
        <v>30</v>
      </c>
      <c r="O84" s="91">
        <v>28.31</v>
      </c>
      <c r="P84" s="91">
        <v>24.62</v>
      </c>
      <c r="Q84" s="91">
        <v>21.3</v>
      </c>
      <c r="R84" s="91">
        <v>18.39</v>
      </c>
      <c r="S84" s="91">
        <v>15.85</v>
      </c>
      <c r="T84" s="91">
        <v>13.64</v>
      </c>
      <c r="U84" s="91">
        <v>11.72</v>
      </c>
      <c r="V84" s="91">
        <v>10.06</v>
      </c>
      <c r="W84" s="91">
        <v>8.6199999999999992</v>
      </c>
      <c r="X84" s="91">
        <v>7.39</v>
      </c>
      <c r="Y84" s="91">
        <v>6.35</v>
      </c>
      <c r="Z84" s="91">
        <v>5.45</v>
      </c>
      <c r="AA84" s="91">
        <v>4.6900000000000004</v>
      </c>
    </row>
    <row r="85" spans="1:27" x14ac:dyDescent="0.25">
      <c r="A85" s="88">
        <v>80</v>
      </c>
      <c r="B85" s="91">
        <v>30</v>
      </c>
      <c r="C85" s="91">
        <v>30</v>
      </c>
      <c r="D85" s="91">
        <v>30</v>
      </c>
      <c r="E85" s="91">
        <v>30</v>
      </c>
      <c r="F85" s="91">
        <v>30</v>
      </c>
      <c r="G85" s="91">
        <v>30</v>
      </c>
      <c r="H85" s="91">
        <v>30</v>
      </c>
      <c r="I85" s="91">
        <v>30</v>
      </c>
      <c r="J85" s="91">
        <v>30</v>
      </c>
      <c r="K85" s="91">
        <v>30</v>
      </c>
      <c r="L85" s="91">
        <v>30</v>
      </c>
      <c r="M85" s="91">
        <v>30</v>
      </c>
      <c r="N85" s="91">
        <v>30</v>
      </c>
      <c r="O85" s="91">
        <v>30</v>
      </c>
      <c r="P85" s="91">
        <v>27.96</v>
      </c>
      <c r="Q85" s="91">
        <v>24.19</v>
      </c>
      <c r="R85" s="91">
        <v>20.88</v>
      </c>
      <c r="S85" s="91">
        <v>17.98</v>
      </c>
      <c r="T85" s="91">
        <v>15.46</v>
      </c>
      <c r="U85" s="91">
        <v>13.27</v>
      </c>
      <c r="V85" s="91">
        <v>11.37</v>
      </c>
      <c r="W85" s="91">
        <v>9.7200000000000006</v>
      </c>
      <c r="X85" s="91">
        <v>8.32</v>
      </c>
      <c r="Y85" s="91">
        <v>7.12</v>
      </c>
      <c r="Z85" s="91">
        <v>6.1</v>
      </c>
      <c r="AA85" s="91">
        <v>5.23</v>
      </c>
    </row>
    <row r="86" spans="1:27" x14ac:dyDescent="0.25">
      <c r="A86" s="88">
        <v>81</v>
      </c>
      <c r="B86" s="91">
        <v>30</v>
      </c>
      <c r="C86" s="91">
        <v>30</v>
      </c>
      <c r="D86" s="91">
        <v>30</v>
      </c>
      <c r="E86" s="91">
        <v>30</v>
      </c>
      <c r="F86" s="91">
        <v>30</v>
      </c>
      <c r="G86" s="91">
        <v>30</v>
      </c>
      <c r="H86" s="91">
        <v>30</v>
      </c>
      <c r="I86" s="91">
        <v>30</v>
      </c>
      <c r="J86" s="91">
        <v>30</v>
      </c>
      <c r="K86" s="91">
        <v>30</v>
      </c>
      <c r="L86" s="91">
        <v>30</v>
      </c>
      <c r="M86" s="91">
        <v>30</v>
      </c>
      <c r="N86" s="91">
        <v>30</v>
      </c>
      <c r="O86" s="91">
        <v>30</v>
      </c>
      <c r="P86" s="91">
        <v>29.87</v>
      </c>
      <c r="Q86" s="91">
        <v>27.52</v>
      </c>
      <c r="R86" s="91">
        <v>23.75</v>
      </c>
      <c r="S86" s="91">
        <v>20.45</v>
      </c>
      <c r="T86" s="91">
        <v>17.57</v>
      </c>
      <c r="U86" s="91">
        <v>15.06</v>
      </c>
      <c r="V86" s="91">
        <v>12.89</v>
      </c>
      <c r="W86" s="91">
        <v>11</v>
      </c>
      <c r="X86" s="91">
        <v>9.39</v>
      </c>
      <c r="Y86" s="91">
        <v>8.02</v>
      </c>
      <c r="Z86" s="91">
        <v>6.86</v>
      </c>
      <c r="AA86" s="91">
        <v>5.86</v>
      </c>
    </row>
    <row r="87" spans="1:27" x14ac:dyDescent="0.25">
      <c r="A87" s="88">
        <v>82</v>
      </c>
      <c r="B87" s="91">
        <v>30</v>
      </c>
      <c r="C87" s="91">
        <v>30</v>
      </c>
      <c r="D87" s="91">
        <v>30</v>
      </c>
      <c r="E87" s="91">
        <v>30</v>
      </c>
      <c r="F87" s="91">
        <v>30</v>
      </c>
      <c r="G87" s="91">
        <v>30</v>
      </c>
      <c r="H87" s="91">
        <v>30</v>
      </c>
      <c r="I87" s="91">
        <v>30</v>
      </c>
      <c r="J87" s="91">
        <v>30</v>
      </c>
      <c r="K87" s="91">
        <v>30</v>
      </c>
      <c r="L87" s="91">
        <v>30</v>
      </c>
      <c r="M87" s="91">
        <v>30</v>
      </c>
      <c r="N87" s="91">
        <v>30</v>
      </c>
      <c r="O87" s="91">
        <v>30</v>
      </c>
      <c r="P87" s="91">
        <v>30</v>
      </c>
      <c r="Q87" s="91">
        <v>29.65</v>
      </c>
      <c r="R87" s="91">
        <v>27.08</v>
      </c>
      <c r="S87" s="91">
        <v>23.31</v>
      </c>
      <c r="T87" s="91">
        <v>20.02</v>
      </c>
      <c r="U87" s="91">
        <v>17.14</v>
      </c>
      <c r="V87" s="91">
        <v>14.65</v>
      </c>
      <c r="W87" s="91">
        <v>12.48</v>
      </c>
      <c r="X87" s="91">
        <v>10.64</v>
      </c>
      <c r="Y87" s="91">
        <v>9.07</v>
      </c>
      <c r="Z87" s="91">
        <v>7.73</v>
      </c>
      <c r="AA87" s="91">
        <v>6.59</v>
      </c>
    </row>
    <row r="88" spans="1:27" x14ac:dyDescent="0.25">
      <c r="A88" s="88">
        <v>83</v>
      </c>
      <c r="B88" s="91">
        <v>30</v>
      </c>
      <c r="C88" s="91">
        <v>30</v>
      </c>
      <c r="D88" s="91">
        <v>30</v>
      </c>
      <c r="E88" s="91">
        <v>30</v>
      </c>
      <c r="F88" s="91">
        <v>30</v>
      </c>
      <c r="G88" s="91">
        <v>30</v>
      </c>
      <c r="H88" s="91">
        <v>30</v>
      </c>
      <c r="I88" s="91">
        <v>30</v>
      </c>
      <c r="J88" s="91">
        <v>30</v>
      </c>
      <c r="K88" s="91">
        <v>30</v>
      </c>
      <c r="L88" s="91">
        <v>30</v>
      </c>
      <c r="M88" s="91">
        <v>30</v>
      </c>
      <c r="N88" s="91">
        <v>30</v>
      </c>
      <c r="O88" s="91">
        <v>30</v>
      </c>
      <c r="P88" s="91">
        <v>30</v>
      </c>
      <c r="Q88" s="91">
        <v>30</v>
      </c>
      <c r="R88" s="91">
        <v>29.44</v>
      </c>
      <c r="S88" s="91">
        <v>26.63</v>
      </c>
      <c r="T88" s="91">
        <v>22.86</v>
      </c>
      <c r="U88" s="91">
        <v>19.57</v>
      </c>
      <c r="V88" s="91">
        <v>16.71</v>
      </c>
      <c r="W88" s="91">
        <v>14.21</v>
      </c>
      <c r="X88" s="91">
        <v>12.1</v>
      </c>
      <c r="Y88" s="91">
        <v>10.29</v>
      </c>
      <c r="Z88" s="91">
        <v>8.75</v>
      </c>
      <c r="AA88" s="91">
        <v>7.44</v>
      </c>
    </row>
    <row r="89" spans="1:27" x14ac:dyDescent="0.25">
      <c r="A89" s="88">
        <v>84</v>
      </c>
      <c r="B89" s="91">
        <v>30</v>
      </c>
      <c r="C89" s="91">
        <v>30</v>
      </c>
      <c r="D89" s="91">
        <v>30</v>
      </c>
      <c r="E89" s="91">
        <v>30</v>
      </c>
      <c r="F89" s="91">
        <v>30</v>
      </c>
      <c r="G89" s="91">
        <v>30</v>
      </c>
      <c r="H89" s="91">
        <v>30</v>
      </c>
      <c r="I89" s="91">
        <v>30</v>
      </c>
      <c r="J89" s="91">
        <v>30</v>
      </c>
      <c r="K89" s="91">
        <v>30</v>
      </c>
      <c r="L89" s="91">
        <v>30</v>
      </c>
      <c r="M89" s="91">
        <v>30</v>
      </c>
      <c r="N89" s="91">
        <v>30</v>
      </c>
      <c r="O89" s="91">
        <v>30</v>
      </c>
      <c r="P89" s="91">
        <v>30</v>
      </c>
      <c r="Q89" s="91">
        <v>30</v>
      </c>
      <c r="R89" s="91">
        <v>30</v>
      </c>
      <c r="S89" s="91">
        <v>29.21</v>
      </c>
      <c r="T89" s="91">
        <v>26.18</v>
      </c>
      <c r="U89" s="91">
        <v>22.4</v>
      </c>
      <c r="V89" s="91">
        <v>19.11</v>
      </c>
      <c r="W89" s="91">
        <v>16.23</v>
      </c>
      <c r="X89" s="91">
        <v>13.8</v>
      </c>
      <c r="Y89" s="91">
        <v>11.71</v>
      </c>
      <c r="Z89" s="91">
        <v>9.94</v>
      </c>
      <c r="AA89" s="91">
        <v>8.43</v>
      </c>
    </row>
    <row r="90" spans="1:27" x14ac:dyDescent="0.25">
      <c r="A90" s="88">
        <v>85</v>
      </c>
      <c r="B90" s="91">
        <v>30</v>
      </c>
      <c r="C90" s="91">
        <v>30</v>
      </c>
      <c r="D90" s="91">
        <v>30</v>
      </c>
      <c r="E90" s="91">
        <v>30</v>
      </c>
      <c r="F90" s="91">
        <v>30</v>
      </c>
      <c r="G90" s="91">
        <v>30</v>
      </c>
      <c r="H90" s="91">
        <v>30</v>
      </c>
      <c r="I90" s="91">
        <v>30</v>
      </c>
      <c r="J90" s="91">
        <v>30</v>
      </c>
      <c r="K90" s="91">
        <v>30</v>
      </c>
      <c r="L90" s="91">
        <v>30</v>
      </c>
      <c r="M90" s="91">
        <v>30</v>
      </c>
      <c r="N90" s="91">
        <v>30</v>
      </c>
      <c r="O90" s="91">
        <v>30</v>
      </c>
      <c r="P90" s="91">
        <v>30</v>
      </c>
      <c r="Q90" s="91">
        <v>30</v>
      </c>
      <c r="R90" s="91">
        <v>30</v>
      </c>
      <c r="S90" s="91">
        <v>30</v>
      </c>
      <c r="T90" s="91">
        <v>28.98</v>
      </c>
      <c r="U90" s="91">
        <v>25.71</v>
      </c>
      <c r="V90" s="91">
        <v>21.92</v>
      </c>
      <c r="W90" s="91">
        <v>18.600000000000001</v>
      </c>
      <c r="X90" s="91">
        <v>15.79</v>
      </c>
      <c r="Y90" s="91">
        <v>13.38</v>
      </c>
      <c r="Z90" s="91">
        <v>11.33</v>
      </c>
      <c r="AA90" s="91">
        <v>9.59</v>
      </c>
    </row>
    <row r="91" spans="1:27" x14ac:dyDescent="0.25">
      <c r="A91" s="88">
        <v>86</v>
      </c>
      <c r="B91" s="91">
        <v>30</v>
      </c>
      <c r="C91" s="91">
        <v>30</v>
      </c>
      <c r="D91" s="91">
        <v>30</v>
      </c>
      <c r="E91" s="91">
        <v>30</v>
      </c>
      <c r="F91" s="91">
        <v>30</v>
      </c>
      <c r="G91" s="91">
        <v>30</v>
      </c>
      <c r="H91" s="91">
        <v>30</v>
      </c>
      <c r="I91" s="91">
        <v>30</v>
      </c>
      <c r="J91" s="91">
        <v>30</v>
      </c>
      <c r="K91" s="91">
        <v>30</v>
      </c>
      <c r="L91" s="91">
        <v>30</v>
      </c>
      <c r="M91" s="91">
        <v>30</v>
      </c>
      <c r="N91" s="91">
        <v>30</v>
      </c>
      <c r="O91" s="91">
        <v>30</v>
      </c>
      <c r="P91" s="91">
        <v>30</v>
      </c>
      <c r="Q91" s="91">
        <v>30</v>
      </c>
      <c r="R91" s="91">
        <v>30</v>
      </c>
      <c r="S91" s="91">
        <v>30</v>
      </c>
      <c r="T91" s="91">
        <v>30</v>
      </c>
      <c r="U91" s="91">
        <v>28.75</v>
      </c>
      <c r="V91" s="91">
        <v>25.21</v>
      </c>
      <c r="W91" s="91">
        <v>21.37</v>
      </c>
      <c r="X91" s="91">
        <v>18.12</v>
      </c>
      <c r="Y91" s="91">
        <v>15.33</v>
      </c>
      <c r="Z91" s="91">
        <v>12.96</v>
      </c>
      <c r="AA91" s="91">
        <v>10.94</v>
      </c>
    </row>
    <row r="92" spans="1:27" x14ac:dyDescent="0.25">
      <c r="A92" s="88">
        <v>87</v>
      </c>
      <c r="B92" s="91">
        <v>30</v>
      </c>
      <c r="C92" s="91">
        <v>30</v>
      </c>
      <c r="D92" s="91">
        <v>30</v>
      </c>
      <c r="E92" s="91">
        <v>30</v>
      </c>
      <c r="F92" s="91">
        <v>30</v>
      </c>
      <c r="G92" s="91">
        <v>30</v>
      </c>
      <c r="H92" s="91">
        <v>30</v>
      </c>
      <c r="I92" s="91">
        <v>30</v>
      </c>
      <c r="J92" s="91">
        <v>30</v>
      </c>
      <c r="K92" s="91">
        <v>30</v>
      </c>
      <c r="L92" s="91">
        <v>30</v>
      </c>
      <c r="M92" s="91">
        <v>30</v>
      </c>
      <c r="N92" s="91">
        <v>30</v>
      </c>
      <c r="O92" s="91">
        <v>30</v>
      </c>
      <c r="P92" s="91">
        <v>30</v>
      </c>
      <c r="Q92" s="91">
        <v>30</v>
      </c>
      <c r="R92" s="91">
        <v>30</v>
      </c>
      <c r="S92" s="91">
        <v>30</v>
      </c>
      <c r="T92" s="91">
        <v>30</v>
      </c>
      <c r="U92" s="91">
        <v>30</v>
      </c>
      <c r="V92" s="91">
        <v>28.49</v>
      </c>
      <c r="W92" s="91">
        <v>24.62</v>
      </c>
      <c r="X92" s="91">
        <v>20.85</v>
      </c>
      <c r="Y92" s="91">
        <v>17.62</v>
      </c>
      <c r="Z92" s="91">
        <v>14.87</v>
      </c>
      <c r="AA92" s="91">
        <v>12.53</v>
      </c>
    </row>
    <row r="93" spans="1:27" x14ac:dyDescent="0.25">
      <c r="A93" s="88">
        <v>88</v>
      </c>
      <c r="B93" s="91">
        <v>30</v>
      </c>
      <c r="C93" s="91">
        <v>30</v>
      </c>
      <c r="D93" s="91">
        <v>30</v>
      </c>
      <c r="E93" s="91">
        <v>30</v>
      </c>
      <c r="F93" s="91">
        <v>30</v>
      </c>
      <c r="G93" s="91">
        <v>30</v>
      </c>
      <c r="H93" s="91">
        <v>30</v>
      </c>
      <c r="I93" s="91">
        <v>30</v>
      </c>
      <c r="J93" s="91">
        <v>30</v>
      </c>
      <c r="K93" s="91">
        <v>30</v>
      </c>
      <c r="L93" s="91">
        <v>30</v>
      </c>
      <c r="M93" s="91">
        <v>30</v>
      </c>
      <c r="N93" s="91">
        <v>30</v>
      </c>
      <c r="O93" s="91">
        <v>30</v>
      </c>
      <c r="P93" s="91">
        <v>30</v>
      </c>
      <c r="Q93" s="91">
        <v>30</v>
      </c>
      <c r="R93" s="91">
        <v>30</v>
      </c>
      <c r="S93" s="91">
        <v>30</v>
      </c>
      <c r="T93" s="91">
        <v>30</v>
      </c>
      <c r="U93" s="91">
        <v>30</v>
      </c>
      <c r="V93" s="91">
        <v>30</v>
      </c>
      <c r="W93" s="91">
        <v>28.19</v>
      </c>
      <c r="X93" s="91">
        <v>24.06</v>
      </c>
      <c r="Y93" s="91">
        <v>20.309999999999999</v>
      </c>
      <c r="Z93" s="91">
        <v>17.11</v>
      </c>
      <c r="AA93" s="91">
        <v>14.4</v>
      </c>
    </row>
    <row r="94" spans="1:27" x14ac:dyDescent="0.25">
      <c r="A94" s="88">
        <v>89</v>
      </c>
      <c r="B94" s="91">
        <v>30</v>
      </c>
      <c r="C94" s="91">
        <v>30</v>
      </c>
      <c r="D94" s="91">
        <v>30</v>
      </c>
      <c r="E94" s="91">
        <v>30</v>
      </c>
      <c r="F94" s="91">
        <v>30</v>
      </c>
      <c r="G94" s="91">
        <v>30</v>
      </c>
      <c r="H94" s="91">
        <v>30</v>
      </c>
      <c r="I94" s="91">
        <v>30</v>
      </c>
      <c r="J94" s="91">
        <v>30</v>
      </c>
      <c r="K94" s="91">
        <v>30</v>
      </c>
      <c r="L94" s="91">
        <v>30</v>
      </c>
      <c r="M94" s="91">
        <v>30</v>
      </c>
      <c r="N94" s="91">
        <v>30</v>
      </c>
      <c r="O94" s="91">
        <v>30</v>
      </c>
      <c r="P94" s="91">
        <v>30</v>
      </c>
      <c r="Q94" s="91">
        <v>30</v>
      </c>
      <c r="R94" s="91">
        <v>30</v>
      </c>
      <c r="S94" s="91">
        <v>30</v>
      </c>
      <c r="T94" s="91">
        <v>30</v>
      </c>
      <c r="U94" s="91">
        <v>30</v>
      </c>
      <c r="V94" s="91">
        <v>30</v>
      </c>
      <c r="W94" s="91">
        <v>30</v>
      </c>
      <c r="X94" s="91">
        <v>27.82</v>
      </c>
      <c r="Y94" s="91">
        <v>23.46</v>
      </c>
      <c r="Z94" s="91">
        <v>19.739999999999998</v>
      </c>
      <c r="AA94" s="91">
        <v>16.59</v>
      </c>
    </row>
    <row r="95" spans="1:27" x14ac:dyDescent="0.25">
      <c r="A95" s="88">
        <v>90</v>
      </c>
      <c r="B95" s="91">
        <v>30</v>
      </c>
      <c r="C95" s="91">
        <v>30</v>
      </c>
      <c r="D95" s="91">
        <v>30</v>
      </c>
      <c r="E95" s="91">
        <v>30</v>
      </c>
      <c r="F95" s="91">
        <v>30</v>
      </c>
      <c r="G95" s="91">
        <v>30</v>
      </c>
      <c r="H95" s="91">
        <v>30</v>
      </c>
      <c r="I95" s="91">
        <v>30</v>
      </c>
      <c r="J95" s="91">
        <v>30</v>
      </c>
      <c r="K95" s="91">
        <v>30</v>
      </c>
      <c r="L95" s="91">
        <v>30</v>
      </c>
      <c r="M95" s="91">
        <v>30</v>
      </c>
      <c r="N95" s="91">
        <v>30</v>
      </c>
      <c r="O95" s="91">
        <v>30</v>
      </c>
      <c r="P95" s="91">
        <v>30</v>
      </c>
      <c r="Q95" s="91">
        <v>30</v>
      </c>
      <c r="R95" s="91">
        <v>30</v>
      </c>
      <c r="S95" s="91">
        <v>30</v>
      </c>
      <c r="T95" s="91">
        <v>30</v>
      </c>
      <c r="U95" s="91">
        <v>30</v>
      </c>
      <c r="V95" s="91">
        <v>30</v>
      </c>
      <c r="W95" s="91">
        <v>30</v>
      </c>
      <c r="X95" s="91">
        <v>29.92</v>
      </c>
      <c r="Y95" s="91">
        <v>27.16</v>
      </c>
      <c r="Z95" s="91">
        <v>22.83</v>
      </c>
      <c r="AA95" s="91">
        <v>19.149999999999999</v>
      </c>
    </row>
    <row r="96" spans="1:27" x14ac:dyDescent="0.25">
      <c r="A96" s="88">
        <v>91</v>
      </c>
      <c r="B96" s="91">
        <v>30</v>
      </c>
      <c r="C96" s="91">
        <v>30</v>
      </c>
      <c r="D96" s="91">
        <v>30</v>
      </c>
      <c r="E96" s="91">
        <v>30</v>
      </c>
      <c r="F96" s="91">
        <v>30</v>
      </c>
      <c r="G96" s="91">
        <v>30</v>
      </c>
      <c r="H96" s="91">
        <v>30</v>
      </c>
      <c r="I96" s="91">
        <v>30</v>
      </c>
      <c r="J96" s="91">
        <v>30</v>
      </c>
      <c r="K96" s="91">
        <v>30</v>
      </c>
      <c r="L96" s="91">
        <v>30</v>
      </c>
      <c r="M96" s="91">
        <v>30</v>
      </c>
      <c r="N96" s="91">
        <v>30</v>
      </c>
      <c r="O96" s="91">
        <v>30</v>
      </c>
      <c r="P96" s="91">
        <v>30</v>
      </c>
      <c r="Q96" s="91">
        <v>30</v>
      </c>
      <c r="R96" s="91">
        <v>30</v>
      </c>
      <c r="S96" s="91">
        <v>30</v>
      </c>
      <c r="T96" s="91">
        <v>30</v>
      </c>
      <c r="U96" s="91">
        <v>30</v>
      </c>
      <c r="V96" s="91">
        <v>30</v>
      </c>
      <c r="W96" s="91">
        <v>30</v>
      </c>
      <c r="X96" s="91">
        <v>30</v>
      </c>
      <c r="Y96" s="91">
        <v>29.58</v>
      </c>
      <c r="Z96" s="91">
        <v>26.44</v>
      </c>
      <c r="AA96" s="91">
        <v>22.15</v>
      </c>
    </row>
    <row r="97" spans="1:27" x14ac:dyDescent="0.25">
      <c r="A97" s="88">
        <v>92</v>
      </c>
      <c r="B97" s="91">
        <v>30</v>
      </c>
      <c r="C97" s="91">
        <v>30</v>
      </c>
      <c r="D97" s="91">
        <v>30</v>
      </c>
      <c r="E97" s="91">
        <v>30</v>
      </c>
      <c r="F97" s="91">
        <v>30</v>
      </c>
      <c r="G97" s="91">
        <v>30</v>
      </c>
      <c r="H97" s="91">
        <v>30</v>
      </c>
      <c r="I97" s="91">
        <v>30</v>
      </c>
      <c r="J97" s="91">
        <v>30</v>
      </c>
      <c r="K97" s="91">
        <v>30</v>
      </c>
      <c r="L97" s="91">
        <v>30</v>
      </c>
      <c r="M97" s="91">
        <v>30</v>
      </c>
      <c r="N97" s="91">
        <v>30</v>
      </c>
      <c r="O97" s="91">
        <v>30</v>
      </c>
      <c r="P97" s="91">
        <v>30</v>
      </c>
      <c r="Q97" s="91">
        <v>30</v>
      </c>
      <c r="R97" s="91">
        <v>30</v>
      </c>
      <c r="S97" s="91">
        <v>30</v>
      </c>
      <c r="T97" s="91">
        <v>30</v>
      </c>
      <c r="U97" s="91">
        <v>30</v>
      </c>
      <c r="V97" s="91">
        <v>30</v>
      </c>
      <c r="W97" s="91">
        <v>30</v>
      </c>
      <c r="X97" s="91">
        <v>30</v>
      </c>
      <c r="Y97" s="91">
        <v>30</v>
      </c>
      <c r="Z97" s="91">
        <v>29.19</v>
      </c>
      <c r="AA97" s="91">
        <v>25.64</v>
      </c>
    </row>
    <row r="98" spans="1:27" x14ac:dyDescent="0.25">
      <c r="A98" s="88">
        <v>93</v>
      </c>
      <c r="B98" s="91">
        <v>30</v>
      </c>
      <c r="C98" s="91">
        <v>30</v>
      </c>
      <c r="D98" s="91">
        <v>30</v>
      </c>
      <c r="E98" s="91">
        <v>30</v>
      </c>
      <c r="F98" s="91">
        <v>30</v>
      </c>
      <c r="G98" s="91">
        <v>30</v>
      </c>
      <c r="H98" s="91">
        <v>30</v>
      </c>
      <c r="I98" s="91">
        <v>30</v>
      </c>
      <c r="J98" s="91">
        <v>30</v>
      </c>
      <c r="K98" s="91">
        <v>30</v>
      </c>
      <c r="L98" s="91">
        <v>30</v>
      </c>
      <c r="M98" s="91">
        <v>30</v>
      </c>
      <c r="N98" s="91">
        <v>30</v>
      </c>
      <c r="O98" s="91">
        <v>30</v>
      </c>
      <c r="P98" s="91">
        <v>30</v>
      </c>
      <c r="Q98" s="91">
        <v>30</v>
      </c>
      <c r="R98" s="91">
        <v>30</v>
      </c>
      <c r="S98" s="91">
        <v>30</v>
      </c>
      <c r="T98" s="91">
        <v>30</v>
      </c>
      <c r="U98" s="91">
        <v>30</v>
      </c>
      <c r="V98" s="91">
        <v>30</v>
      </c>
      <c r="W98" s="91">
        <v>30</v>
      </c>
      <c r="X98" s="91">
        <v>30</v>
      </c>
      <c r="Y98" s="91">
        <v>30</v>
      </c>
      <c r="Z98" s="91">
        <v>30</v>
      </c>
      <c r="AA98" s="91">
        <v>28.76</v>
      </c>
    </row>
    <row r="99" spans="1:27" x14ac:dyDescent="0.25">
      <c r="A99" s="88">
        <v>94</v>
      </c>
      <c r="B99" s="91">
        <v>30</v>
      </c>
      <c r="C99" s="91">
        <v>30</v>
      </c>
      <c r="D99" s="91">
        <v>30</v>
      </c>
      <c r="E99" s="91">
        <v>30</v>
      </c>
      <c r="F99" s="91">
        <v>30</v>
      </c>
      <c r="G99" s="91">
        <v>30</v>
      </c>
      <c r="H99" s="91">
        <v>30</v>
      </c>
      <c r="I99" s="91">
        <v>30</v>
      </c>
      <c r="J99" s="91">
        <v>30</v>
      </c>
      <c r="K99" s="91">
        <v>30</v>
      </c>
      <c r="L99" s="91">
        <v>30</v>
      </c>
      <c r="M99" s="91">
        <v>30</v>
      </c>
      <c r="N99" s="91">
        <v>30</v>
      </c>
      <c r="O99" s="91">
        <v>30</v>
      </c>
      <c r="P99" s="91">
        <v>30</v>
      </c>
      <c r="Q99" s="91">
        <v>30</v>
      </c>
      <c r="R99" s="91">
        <v>30</v>
      </c>
      <c r="S99" s="91">
        <v>30</v>
      </c>
      <c r="T99" s="91">
        <v>30</v>
      </c>
      <c r="U99" s="91">
        <v>30</v>
      </c>
      <c r="V99" s="91">
        <v>30</v>
      </c>
      <c r="W99" s="91">
        <v>30</v>
      </c>
      <c r="X99" s="91">
        <v>30</v>
      </c>
      <c r="Y99" s="91">
        <v>30</v>
      </c>
      <c r="Z99" s="91">
        <v>30</v>
      </c>
      <c r="AA99" s="91">
        <v>30</v>
      </c>
    </row>
    <row r="100" spans="1:27" x14ac:dyDescent="0.25">
      <c r="A100" s="88">
        <v>95</v>
      </c>
      <c r="B100" s="91">
        <v>30</v>
      </c>
      <c r="C100" s="91">
        <v>30</v>
      </c>
      <c r="D100" s="91">
        <v>30</v>
      </c>
      <c r="E100" s="91">
        <v>30</v>
      </c>
      <c r="F100" s="91">
        <v>30</v>
      </c>
      <c r="G100" s="91">
        <v>30</v>
      </c>
      <c r="H100" s="91">
        <v>30</v>
      </c>
      <c r="I100" s="91">
        <v>30</v>
      </c>
      <c r="J100" s="91">
        <v>30</v>
      </c>
      <c r="K100" s="91">
        <v>30</v>
      </c>
      <c r="L100" s="91">
        <v>30</v>
      </c>
      <c r="M100" s="91">
        <v>30</v>
      </c>
      <c r="N100" s="91">
        <v>30</v>
      </c>
      <c r="O100" s="91">
        <v>30</v>
      </c>
      <c r="P100" s="91">
        <v>30</v>
      </c>
      <c r="Q100" s="91">
        <v>30</v>
      </c>
      <c r="R100" s="91">
        <v>30</v>
      </c>
      <c r="S100" s="91">
        <v>30</v>
      </c>
      <c r="T100" s="91">
        <v>30</v>
      </c>
      <c r="U100" s="91">
        <v>30</v>
      </c>
      <c r="V100" s="91">
        <v>30</v>
      </c>
      <c r="W100" s="91">
        <v>30</v>
      </c>
      <c r="X100" s="91">
        <v>30</v>
      </c>
      <c r="Y100" s="91">
        <v>30</v>
      </c>
      <c r="Z100" s="91">
        <v>30</v>
      </c>
      <c r="AA100" s="91">
        <v>30</v>
      </c>
    </row>
    <row r="101" spans="1:27" x14ac:dyDescent="0.25">
      <c r="A101" s="88">
        <v>96</v>
      </c>
      <c r="B101" s="91">
        <v>30</v>
      </c>
      <c r="C101" s="91">
        <v>30</v>
      </c>
      <c r="D101" s="91">
        <v>30</v>
      </c>
      <c r="E101" s="91">
        <v>30</v>
      </c>
      <c r="F101" s="91">
        <v>30</v>
      </c>
      <c r="G101" s="91">
        <v>30</v>
      </c>
      <c r="H101" s="91">
        <v>30</v>
      </c>
      <c r="I101" s="91">
        <v>30</v>
      </c>
      <c r="J101" s="91">
        <v>30</v>
      </c>
      <c r="K101" s="91">
        <v>30</v>
      </c>
      <c r="L101" s="91">
        <v>30</v>
      </c>
      <c r="M101" s="91">
        <v>30</v>
      </c>
      <c r="N101" s="91">
        <v>30</v>
      </c>
      <c r="O101" s="91">
        <v>30</v>
      </c>
      <c r="P101" s="91">
        <v>30</v>
      </c>
      <c r="Q101" s="91">
        <v>30</v>
      </c>
      <c r="R101" s="91">
        <v>30</v>
      </c>
      <c r="S101" s="91">
        <v>30</v>
      </c>
      <c r="T101" s="91">
        <v>30</v>
      </c>
      <c r="U101" s="91">
        <v>30</v>
      </c>
      <c r="V101" s="91">
        <v>30</v>
      </c>
      <c r="W101" s="91">
        <v>30</v>
      </c>
      <c r="X101" s="91">
        <v>30</v>
      </c>
      <c r="Y101" s="91">
        <v>30</v>
      </c>
      <c r="Z101" s="91">
        <v>30</v>
      </c>
      <c r="AA101" s="91">
        <v>30</v>
      </c>
    </row>
    <row r="102" spans="1:27" x14ac:dyDescent="0.25">
      <c r="A102" s="88">
        <v>97</v>
      </c>
      <c r="B102" s="91">
        <v>30</v>
      </c>
      <c r="C102" s="91">
        <v>30</v>
      </c>
      <c r="D102" s="91">
        <v>30</v>
      </c>
      <c r="E102" s="91">
        <v>30</v>
      </c>
      <c r="F102" s="91">
        <v>30</v>
      </c>
      <c r="G102" s="91">
        <v>30</v>
      </c>
      <c r="H102" s="91">
        <v>30</v>
      </c>
      <c r="I102" s="91">
        <v>30</v>
      </c>
      <c r="J102" s="91">
        <v>30</v>
      </c>
      <c r="K102" s="91">
        <v>30</v>
      </c>
      <c r="L102" s="91">
        <v>30</v>
      </c>
      <c r="M102" s="91">
        <v>30</v>
      </c>
      <c r="N102" s="91">
        <v>30</v>
      </c>
      <c r="O102" s="91">
        <v>30</v>
      </c>
      <c r="P102" s="91">
        <v>30</v>
      </c>
      <c r="Q102" s="91">
        <v>30</v>
      </c>
      <c r="R102" s="91">
        <v>30</v>
      </c>
      <c r="S102" s="91">
        <v>30</v>
      </c>
      <c r="T102" s="91">
        <v>30</v>
      </c>
      <c r="U102" s="91">
        <v>30</v>
      </c>
      <c r="V102" s="91">
        <v>30</v>
      </c>
      <c r="W102" s="91">
        <v>30</v>
      </c>
      <c r="X102" s="91">
        <v>30</v>
      </c>
      <c r="Y102" s="91">
        <v>30</v>
      </c>
      <c r="Z102" s="91">
        <v>30</v>
      </c>
      <c r="AA102" s="91">
        <v>30</v>
      </c>
    </row>
    <row r="103" spans="1:27" x14ac:dyDescent="0.25">
      <c r="A103" s="88">
        <v>98</v>
      </c>
      <c r="B103" s="91">
        <v>30</v>
      </c>
      <c r="C103" s="91">
        <v>30</v>
      </c>
      <c r="D103" s="91">
        <v>30</v>
      </c>
      <c r="E103" s="91">
        <v>30</v>
      </c>
      <c r="F103" s="91">
        <v>30</v>
      </c>
      <c r="G103" s="91">
        <v>30</v>
      </c>
      <c r="H103" s="91">
        <v>30</v>
      </c>
      <c r="I103" s="91">
        <v>30</v>
      </c>
      <c r="J103" s="91">
        <v>30</v>
      </c>
      <c r="K103" s="91">
        <v>30</v>
      </c>
      <c r="L103" s="91">
        <v>30</v>
      </c>
      <c r="M103" s="91">
        <v>30</v>
      </c>
      <c r="N103" s="91">
        <v>30</v>
      </c>
      <c r="O103" s="91">
        <v>30</v>
      </c>
      <c r="P103" s="91">
        <v>30</v>
      </c>
      <c r="Q103" s="91">
        <v>30</v>
      </c>
      <c r="R103" s="91">
        <v>30</v>
      </c>
      <c r="S103" s="91">
        <v>30</v>
      </c>
      <c r="T103" s="91">
        <v>30</v>
      </c>
      <c r="U103" s="91">
        <v>30</v>
      </c>
      <c r="V103" s="91">
        <v>30</v>
      </c>
      <c r="W103" s="91">
        <v>30</v>
      </c>
      <c r="X103" s="91">
        <v>30</v>
      </c>
      <c r="Y103" s="91">
        <v>30</v>
      </c>
      <c r="Z103" s="91">
        <v>30</v>
      </c>
      <c r="AA103" s="91">
        <v>30</v>
      </c>
    </row>
    <row r="104" spans="1:27" x14ac:dyDescent="0.25">
      <c r="A104" s="94" t="s">
        <v>801</v>
      </c>
      <c r="B104" s="91">
        <v>30</v>
      </c>
      <c r="C104" s="91">
        <v>30</v>
      </c>
      <c r="D104" s="91">
        <v>30</v>
      </c>
      <c r="E104" s="91">
        <v>30</v>
      </c>
      <c r="F104" s="91">
        <v>30</v>
      </c>
      <c r="G104" s="91">
        <v>30</v>
      </c>
      <c r="H104" s="91">
        <v>30</v>
      </c>
      <c r="I104" s="91">
        <v>30</v>
      </c>
      <c r="J104" s="91">
        <v>30</v>
      </c>
      <c r="K104" s="91">
        <v>30</v>
      </c>
      <c r="L104" s="91">
        <v>30</v>
      </c>
      <c r="M104" s="91">
        <v>30</v>
      </c>
      <c r="N104" s="91">
        <v>30</v>
      </c>
      <c r="O104" s="91">
        <v>30</v>
      </c>
      <c r="P104" s="91">
        <v>30</v>
      </c>
      <c r="Q104" s="91">
        <v>30</v>
      </c>
      <c r="R104" s="91">
        <v>30</v>
      </c>
      <c r="S104" s="91">
        <v>30</v>
      </c>
      <c r="T104" s="91">
        <v>30</v>
      </c>
      <c r="U104" s="91">
        <v>30</v>
      </c>
      <c r="V104" s="91">
        <v>30</v>
      </c>
      <c r="W104" s="91">
        <v>30</v>
      </c>
      <c r="X104" s="91">
        <v>30</v>
      </c>
      <c r="Y104" s="91">
        <v>30</v>
      </c>
      <c r="Z104" s="91">
        <v>30</v>
      </c>
      <c r="AA104" s="91">
        <v>30</v>
      </c>
    </row>
  </sheetData>
  <sheetProtection algorithmName="SHA-512" hashValue="jXraIPRWKaYDs3EE6GhI/XlrYBeYZHRMs12K0RbE9Y4aGuhhTsrZmdJ932JMtlFl0NjuJZL/cikn7O6zxvuwTQ==" saltValue="J8LZu6v+836QjAH60zFXtg==" spinCount="100000" sheet="1" objects="1" scenarios="1"/>
  <conditionalFormatting sqref="A6:A21">
    <cfRule type="expression" dxfId="297" priority="7" stopIfTrue="1">
      <formula>MOD(ROW(),2)=0</formula>
    </cfRule>
    <cfRule type="expression" dxfId="296" priority="8" stopIfTrue="1">
      <formula>MOD(ROW(),2)&lt;&gt;0</formula>
    </cfRule>
  </conditionalFormatting>
  <conditionalFormatting sqref="A26:A104">
    <cfRule type="expression" dxfId="295" priority="15" stopIfTrue="1">
      <formula>MOD(ROW(),2)=0</formula>
    </cfRule>
    <cfRule type="expression" dxfId="294" priority="16" stopIfTrue="1">
      <formula>MOD(ROW(),2)&lt;&gt;0</formula>
    </cfRule>
  </conditionalFormatting>
  <conditionalFormatting sqref="B16:B21">
    <cfRule type="expression" dxfId="293" priority="1" stopIfTrue="1">
      <formula>MOD(ROW(),2)=0</formula>
    </cfRule>
    <cfRule type="expression" dxfId="292" priority="2" stopIfTrue="1">
      <formula>MOD(ROW(),2)&lt;&gt;0</formula>
    </cfRule>
  </conditionalFormatting>
  <conditionalFormatting sqref="B6:AA21">
    <cfRule type="expression" dxfId="291" priority="23" stopIfTrue="1">
      <formula>MOD(ROW(),2)=0</formula>
    </cfRule>
    <cfRule type="expression" dxfId="290" priority="24" stopIfTrue="1">
      <formula>MOD(ROW(),2)&lt;&gt;0</formula>
    </cfRule>
  </conditionalFormatting>
  <conditionalFormatting sqref="B26:AA104">
    <cfRule type="expression" dxfId="289" priority="11" stopIfTrue="1">
      <formula>MOD(ROW(),2)=0</formula>
    </cfRule>
    <cfRule type="expression" dxfId="288" priority="12" stopIfTrue="1">
      <formula>MOD(ROW(),2)&lt;&gt;0</formula>
    </cfRule>
  </conditionalFormatting>
  <hyperlinks>
    <hyperlink ref="B24" location="Assumptions!A1" display="Assumptions" xr:uid="{D22B57C8-3EC7-465A-9D12-625AC065C1C3}"/>
  </hyperlinks>
  <pageMargins left="0.59055118110236227" right="0.59055118110236227" top="0.59055118110236227" bottom="0.59055118110236227" header="0.51181102362204722" footer="0.51181102362204722"/>
  <pageSetup paperSize="9" scale="38" fitToWidth="2"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116"/>
  <dimension ref="A1:AA104"/>
  <sheetViews>
    <sheetView showGridLines="0" zoomScale="85" zoomScaleNormal="85" workbookViewId="0">
      <selection activeCell="A4" sqref="A4"/>
    </sheetView>
  </sheetViews>
  <sheetFormatPr defaultColWidth="10" defaultRowHeight="12.5" x14ac:dyDescent="0.25"/>
  <cols>
    <col min="1" max="1" width="31.90625" style="25" customWidth="1"/>
    <col min="2" max="27" width="22.90625" style="25" customWidth="1"/>
    <col min="28" max="16384" width="10" style="25"/>
  </cols>
  <sheetData>
    <row r="1" spans="1:27" ht="20" x14ac:dyDescent="0.4">
      <c r="A1" s="36" t="s">
        <v>0</v>
      </c>
      <c r="B1" s="37"/>
      <c r="C1" s="37"/>
      <c r="D1" s="37"/>
      <c r="E1" s="37"/>
      <c r="F1" s="37"/>
      <c r="G1" s="37"/>
      <c r="H1" s="37"/>
      <c r="I1" s="37"/>
    </row>
    <row r="2" spans="1:27" ht="15.5" x14ac:dyDescent="0.35">
      <c r="A2" s="38" t="str">
        <f>IF(title="&gt; Enter workbook title here","Enter workbook title in Cover sheet",title)</f>
        <v>NHSPS_NI - Consolidated Factor Spreadsheet</v>
      </c>
      <c r="B2" s="39"/>
      <c r="C2" s="39"/>
      <c r="D2" s="39"/>
      <c r="E2" s="39"/>
      <c r="F2" s="39"/>
      <c r="G2" s="39"/>
      <c r="H2" s="39"/>
      <c r="I2" s="39"/>
    </row>
    <row r="3" spans="1:27" ht="15.5" x14ac:dyDescent="0.35">
      <c r="A3" s="40" t="str">
        <f>TABLE_FACTOR_TYPE_1&amp;" - x-"&amp;TABLE_SERIES_NUMBER_1</f>
        <v>Allocation - x-722</v>
      </c>
      <c r="B3" s="39"/>
      <c r="C3" s="39"/>
      <c r="D3" s="39"/>
      <c r="E3" s="39"/>
      <c r="F3" s="39"/>
      <c r="G3" s="39"/>
      <c r="H3" s="39"/>
      <c r="I3" s="39"/>
    </row>
    <row r="4" spans="1:27" x14ac:dyDescent="0.25">
      <c r="A4" s="41"/>
    </row>
    <row r="6" spans="1:27" ht="13" x14ac:dyDescent="0.3">
      <c r="A6" s="83" t="s">
        <v>276</v>
      </c>
      <c r="B6" s="161" t="s">
        <v>277</v>
      </c>
      <c r="C6" s="161"/>
      <c r="D6" s="161"/>
      <c r="E6" s="161"/>
      <c r="F6" s="161"/>
      <c r="G6" s="161"/>
      <c r="H6" s="161"/>
      <c r="I6" s="161"/>
      <c r="J6" s="161"/>
      <c r="K6" s="161"/>
      <c r="L6" s="161"/>
      <c r="M6" s="161"/>
      <c r="N6" s="161"/>
      <c r="O6" s="161"/>
      <c r="P6" s="161"/>
      <c r="Q6" s="161"/>
      <c r="R6" s="161"/>
      <c r="S6" s="161"/>
      <c r="T6" s="161"/>
      <c r="U6" s="161"/>
      <c r="V6" s="161"/>
      <c r="W6" s="161"/>
      <c r="X6" s="161"/>
      <c r="Y6" s="161"/>
      <c r="Z6" s="161"/>
      <c r="AA6" s="161"/>
    </row>
    <row r="7" spans="1:27" x14ac:dyDescent="0.25">
      <c r="A7" s="85" t="s">
        <v>278</v>
      </c>
      <c r="B7" s="161" t="s">
        <v>310</v>
      </c>
      <c r="C7" s="161"/>
      <c r="D7" s="161"/>
      <c r="E7" s="161"/>
      <c r="F7" s="161"/>
      <c r="G7" s="161"/>
      <c r="H7" s="161"/>
      <c r="I7" s="161"/>
      <c r="J7" s="161"/>
      <c r="K7" s="161"/>
      <c r="L7" s="161"/>
      <c r="M7" s="161"/>
      <c r="N7" s="161"/>
      <c r="O7" s="161"/>
      <c r="P7" s="161"/>
      <c r="Q7" s="161"/>
      <c r="R7" s="161"/>
      <c r="S7" s="161"/>
      <c r="T7" s="161"/>
      <c r="U7" s="161"/>
      <c r="V7" s="161"/>
      <c r="W7" s="161"/>
      <c r="X7" s="161"/>
      <c r="Y7" s="161"/>
      <c r="Z7" s="161"/>
      <c r="AA7" s="161"/>
    </row>
    <row r="8" spans="1:27" x14ac:dyDescent="0.25">
      <c r="A8" s="85" t="s">
        <v>280</v>
      </c>
      <c r="B8" s="161" t="s">
        <v>75</v>
      </c>
      <c r="C8" s="161"/>
      <c r="D8" s="161"/>
      <c r="E8" s="161"/>
      <c r="F8" s="161"/>
      <c r="G8" s="161"/>
      <c r="H8" s="161"/>
      <c r="I8" s="161"/>
      <c r="J8" s="161"/>
      <c r="K8" s="161"/>
      <c r="L8" s="161"/>
      <c r="M8" s="161"/>
      <c r="N8" s="161"/>
      <c r="O8" s="161"/>
      <c r="P8" s="161"/>
      <c r="Q8" s="161"/>
      <c r="R8" s="161"/>
      <c r="S8" s="161"/>
      <c r="T8" s="161"/>
      <c r="U8" s="161"/>
      <c r="V8" s="161"/>
      <c r="W8" s="161"/>
      <c r="X8" s="161"/>
      <c r="Y8" s="161"/>
      <c r="Z8" s="161"/>
      <c r="AA8" s="161"/>
    </row>
    <row r="9" spans="1:27" x14ac:dyDescent="0.25">
      <c r="A9" s="85" t="s">
        <v>282</v>
      </c>
      <c r="B9" s="161" t="s">
        <v>573</v>
      </c>
      <c r="C9" s="161"/>
      <c r="D9" s="161"/>
      <c r="E9" s="161"/>
      <c r="F9" s="161"/>
      <c r="G9" s="161"/>
      <c r="H9" s="161"/>
      <c r="I9" s="161"/>
      <c r="J9" s="161"/>
      <c r="K9" s="161"/>
      <c r="L9" s="161"/>
      <c r="M9" s="161"/>
      <c r="N9" s="161"/>
      <c r="O9" s="161"/>
      <c r="P9" s="161"/>
      <c r="Q9" s="161"/>
      <c r="R9" s="161"/>
      <c r="S9" s="161"/>
      <c r="T9" s="161"/>
      <c r="U9" s="161"/>
      <c r="V9" s="161"/>
      <c r="W9" s="161"/>
      <c r="X9" s="161"/>
      <c r="Y9" s="161"/>
      <c r="Z9" s="161"/>
      <c r="AA9" s="161"/>
    </row>
    <row r="10" spans="1:27" x14ac:dyDescent="0.25">
      <c r="A10" s="85" t="s">
        <v>6</v>
      </c>
      <c r="B10" s="161" t="s">
        <v>574</v>
      </c>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row>
    <row r="11" spans="1:27" x14ac:dyDescent="0.25">
      <c r="A11" s="85" t="s">
        <v>285</v>
      </c>
      <c r="B11" s="161" t="s">
        <v>359</v>
      </c>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row>
    <row r="12" spans="1:27" x14ac:dyDescent="0.25">
      <c r="A12" s="85" t="s">
        <v>287</v>
      </c>
      <c r="B12" s="161" t="s">
        <v>575</v>
      </c>
      <c r="C12" s="161"/>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row>
    <row r="13" spans="1:27" x14ac:dyDescent="0.25">
      <c r="A13" s="85" t="s">
        <v>289</v>
      </c>
      <c r="B13" s="161">
        <v>1</v>
      </c>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row>
    <row r="14" spans="1:27" x14ac:dyDescent="0.25">
      <c r="A14" s="85" t="s">
        <v>291</v>
      </c>
      <c r="B14" s="161">
        <v>722</v>
      </c>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row>
    <row r="15" spans="1:27" x14ac:dyDescent="0.25">
      <c r="A15" s="85" t="s">
        <v>293</v>
      </c>
      <c r="B15" s="161" t="s">
        <v>577</v>
      </c>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row>
    <row r="16" spans="1:27" x14ac:dyDescent="0.25">
      <c r="A16" s="85" t="s">
        <v>295</v>
      </c>
      <c r="B16" s="161" t="str">
        <f>INDEX('Factor List'!$J:$J,MATCH(B$15,'Factor List'!$J:$J,0))</f>
        <v>1-722</v>
      </c>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row>
    <row r="17" spans="1:27" x14ac:dyDescent="0.25">
      <c r="A17" s="69" t="s">
        <v>725</v>
      </c>
      <c r="B17" s="161"/>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row>
    <row r="18" spans="1:27" x14ac:dyDescent="0.25">
      <c r="A18" s="85" t="s">
        <v>299</v>
      </c>
      <c r="B18" s="162">
        <v>45202</v>
      </c>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row>
    <row r="19" spans="1:27" x14ac:dyDescent="0.25">
      <c r="A19" s="85" t="s">
        <v>301</v>
      </c>
      <c r="B19" s="162">
        <v>45202</v>
      </c>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row>
    <row r="20" spans="1:27" x14ac:dyDescent="0.25">
      <c r="A20" s="85" t="s">
        <v>303</v>
      </c>
      <c r="B20" s="161" t="s">
        <v>317</v>
      </c>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row>
    <row r="21" spans="1:27" x14ac:dyDescent="0.25">
      <c r="A21" s="85" t="s">
        <v>309</v>
      </c>
      <c r="B21" s="161" t="s">
        <v>318</v>
      </c>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row>
    <row r="23" spans="1:27" x14ac:dyDescent="0.25">
      <c r="B23" s="103" t="str">
        <f>HYPERLINK("#'Factor List'!A1","Back to Factor List")</f>
        <v>Back to Factor List</v>
      </c>
    </row>
    <row r="24" spans="1:27" x14ac:dyDescent="0.25">
      <c r="B24" s="103" t="s">
        <v>15</v>
      </c>
    </row>
    <row r="26" spans="1:27" ht="13" x14ac:dyDescent="0.25">
      <c r="A26" s="87" t="s">
        <v>408</v>
      </c>
      <c r="B26" s="87">
        <v>30</v>
      </c>
      <c r="C26" s="87">
        <v>31</v>
      </c>
      <c r="D26" s="87">
        <v>32</v>
      </c>
      <c r="E26" s="87">
        <v>33</v>
      </c>
      <c r="F26" s="87">
        <v>34</v>
      </c>
      <c r="G26" s="87">
        <v>35</v>
      </c>
      <c r="H26" s="87">
        <v>36</v>
      </c>
      <c r="I26" s="87">
        <v>37</v>
      </c>
      <c r="J26" s="87">
        <v>38</v>
      </c>
      <c r="K26" s="87">
        <v>39</v>
      </c>
      <c r="L26" s="87">
        <v>40</v>
      </c>
      <c r="M26" s="87">
        <v>41</v>
      </c>
      <c r="N26" s="87">
        <v>42</v>
      </c>
      <c r="O26" s="87">
        <v>43</v>
      </c>
      <c r="P26" s="87">
        <v>44</v>
      </c>
      <c r="Q26" s="87">
        <v>45</v>
      </c>
      <c r="R26" s="87">
        <v>46</v>
      </c>
      <c r="S26" s="87">
        <v>47</v>
      </c>
      <c r="T26" s="87">
        <v>48</v>
      </c>
      <c r="U26" s="87">
        <v>49</v>
      </c>
      <c r="V26" s="87">
        <v>50</v>
      </c>
      <c r="W26" s="87">
        <v>51</v>
      </c>
      <c r="X26" s="87">
        <v>52</v>
      </c>
      <c r="Y26" s="87">
        <v>53</v>
      </c>
      <c r="Z26" s="87">
        <v>54</v>
      </c>
      <c r="AA26" s="87">
        <v>55</v>
      </c>
    </row>
    <row r="27" spans="1:27" x14ac:dyDescent="0.25">
      <c r="A27" s="88">
        <v>22</v>
      </c>
      <c r="B27" s="91">
        <v>8.57</v>
      </c>
      <c r="C27" s="91">
        <v>7.91</v>
      </c>
      <c r="D27" s="91">
        <v>7.32</v>
      </c>
      <c r="E27" s="91">
        <v>6.78</v>
      </c>
      <c r="F27" s="91">
        <v>6.29</v>
      </c>
      <c r="G27" s="91">
        <v>5.85</v>
      </c>
      <c r="H27" s="91">
        <v>5.45</v>
      </c>
      <c r="I27" s="91">
        <v>5.08</v>
      </c>
      <c r="J27" s="91">
        <v>4.74</v>
      </c>
      <c r="K27" s="91">
        <v>4.43</v>
      </c>
      <c r="L27" s="91">
        <v>4.1500000000000004</v>
      </c>
      <c r="M27" s="91">
        <v>3.89</v>
      </c>
      <c r="N27" s="91">
        <v>3.64</v>
      </c>
      <c r="O27" s="91">
        <v>3.42</v>
      </c>
      <c r="P27" s="91">
        <v>3.21</v>
      </c>
      <c r="Q27" s="91">
        <v>3.02</v>
      </c>
      <c r="R27" s="91">
        <v>2.84</v>
      </c>
      <c r="S27" s="91">
        <v>2.67</v>
      </c>
      <c r="T27" s="91">
        <v>2.5099999999999998</v>
      </c>
      <c r="U27" s="91">
        <v>2.37</v>
      </c>
      <c r="V27" s="91">
        <v>2.23</v>
      </c>
      <c r="W27" s="91">
        <v>2.1</v>
      </c>
      <c r="X27" s="91">
        <v>1.98</v>
      </c>
      <c r="Y27" s="91">
        <v>1.87</v>
      </c>
      <c r="Z27" s="91">
        <v>1.76</v>
      </c>
      <c r="AA27" s="91">
        <v>1.66</v>
      </c>
    </row>
    <row r="28" spans="1:27" x14ac:dyDescent="0.25">
      <c r="A28" s="88">
        <v>23</v>
      </c>
      <c r="B28" s="91">
        <v>9.06</v>
      </c>
      <c r="C28" s="91">
        <v>8.35</v>
      </c>
      <c r="D28" s="91">
        <v>7.7</v>
      </c>
      <c r="E28" s="91">
        <v>7.12</v>
      </c>
      <c r="F28" s="91">
        <v>6.6</v>
      </c>
      <c r="G28" s="91">
        <v>6.12</v>
      </c>
      <c r="H28" s="91">
        <v>5.69</v>
      </c>
      <c r="I28" s="91">
        <v>5.29</v>
      </c>
      <c r="J28" s="91">
        <v>4.93</v>
      </c>
      <c r="K28" s="91">
        <v>4.6100000000000003</v>
      </c>
      <c r="L28" s="91">
        <v>4.3</v>
      </c>
      <c r="M28" s="91">
        <v>4.03</v>
      </c>
      <c r="N28" s="91">
        <v>3.77</v>
      </c>
      <c r="O28" s="91">
        <v>3.53</v>
      </c>
      <c r="P28" s="91">
        <v>3.31</v>
      </c>
      <c r="Q28" s="91">
        <v>3.11</v>
      </c>
      <c r="R28" s="91">
        <v>2.92</v>
      </c>
      <c r="S28" s="91">
        <v>2.75</v>
      </c>
      <c r="T28" s="91">
        <v>2.58</v>
      </c>
      <c r="U28" s="91">
        <v>2.4300000000000002</v>
      </c>
      <c r="V28" s="91">
        <v>2.29</v>
      </c>
      <c r="W28" s="91">
        <v>2.15</v>
      </c>
      <c r="X28" s="91">
        <v>2.0299999999999998</v>
      </c>
      <c r="Y28" s="91">
        <v>1.91</v>
      </c>
      <c r="Z28" s="91">
        <v>1.8</v>
      </c>
      <c r="AA28" s="91">
        <v>1.7</v>
      </c>
    </row>
    <row r="29" spans="1:27" x14ac:dyDescent="0.25">
      <c r="A29" s="88">
        <v>24</v>
      </c>
      <c r="B29" s="91">
        <v>9.6</v>
      </c>
      <c r="C29" s="91">
        <v>8.82</v>
      </c>
      <c r="D29" s="91">
        <v>8.1300000000000008</v>
      </c>
      <c r="E29" s="91">
        <v>7.5</v>
      </c>
      <c r="F29" s="91">
        <v>6.93</v>
      </c>
      <c r="G29" s="91">
        <v>6.42</v>
      </c>
      <c r="H29" s="91">
        <v>5.95</v>
      </c>
      <c r="I29" s="91">
        <v>5.53</v>
      </c>
      <c r="J29" s="91">
        <v>5.14</v>
      </c>
      <c r="K29" s="91">
        <v>4.79</v>
      </c>
      <c r="L29" s="91">
        <v>4.47</v>
      </c>
      <c r="M29" s="91">
        <v>4.18</v>
      </c>
      <c r="N29" s="91">
        <v>3.91</v>
      </c>
      <c r="O29" s="91">
        <v>3.66</v>
      </c>
      <c r="P29" s="91">
        <v>3.42</v>
      </c>
      <c r="Q29" s="91">
        <v>3.21</v>
      </c>
      <c r="R29" s="91">
        <v>3.01</v>
      </c>
      <c r="S29" s="91">
        <v>2.83</v>
      </c>
      <c r="T29" s="91">
        <v>2.66</v>
      </c>
      <c r="U29" s="91">
        <v>2.5</v>
      </c>
      <c r="V29" s="91">
        <v>2.35</v>
      </c>
      <c r="W29" s="91">
        <v>2.21</v>
      </c>
      <c r="X29" s="91">
        <v>2.08</v>
      </c>
      <c r="Y29" s="91">
        <v>1.96</v>
      </c>
      <c r="Z29" s="91">
        <v>1.84</v>
      </c>
      <c r="AA29" s="91">
        <v>1.73</v>
      </c>
    </row>
    <row r="30" spans="1:27" x14ac:dyDescent="0.25">
      <c r="A30" s="88">
        <v>25</v>
      </c>
      <c r="B30" s="91">
        <v>10.199999999999999</v>
      </c>
      <c r="C30" s="91">
        <v>9.35</v>
      </c>
      <c r="D30" s="91">
        <v>8.59</v>
      </c>
      <c r="E30" s="91">
        <v>7.91</v>
      </c>
      <c r="F30" s="91">
        <v>7.29</v>
      </c>
      <c r="G30" s="91">
        <v>6.74</v>
      </c>
      <c r="H30" s="91">
        <v>6.24</v>
      </c>
      <c r="I30" s="91">
        <v>5.79</v>
      </c>
      <c r="J30" s="91">
        <v>5.37</v>
      </c>
      <c r="K30" s="91">
        <v>5</v>
      </c>
      <c r="L30" s="91">
        <v>4.6500000000000004</v>
      </c>
      <c r="M30" s="91">
        <v>4.34</v>
      </c>
      <c r="N30" s="91">
        <v>4.05</v>
      </c>
      <c r="O30" s="91">
        <v>3.79</v>
      </c>
      <c r="P30" s="91">
        <v>3.54</v>
      </c>
      <c r="Q30" s="91">
        <v>3.32</v>
      </c>
      <c r="R30" s="91">
        <v>3.11</v>
      </c>
      <c r="S30" s="91">
        <v>2.92</v>
      </c>
      <c r="T30" s="91">
        <v>2.74</v>
      </c>
      <c r="U30" s="91">
        <v>2.57</v>
      </c>
      <c r="V30" s="91">
        <v>2.41</v>
      </c>
      <c r="W30" s="91">
        <v>2.27</v>
      </c>
      <c r="X30" s="91">
        <v>2.13</v>
      </c>
      <c r="Y30" s="91">
        <v>2.0099999999999998</v>
      </c>
      <c r="Z30" s="91">
        <v>1.89</v>
      </c>
      <c r="AA30" s="91">
        <v>1.77</v>
      </c>
    </row>
    <row r="31" spans="1:27" x14ac:dyDescent="0.25">
      <c r="A31" s="88">
        <v>26</v>
      </c>
      <c r="B31" s="91">
        <v>10.86</v>
      </c>
      <c r="C31" s="91">
        <v>9.94</v>
      </c>
      <c r="D31" s="91">
        <v>9.11</v>
      </c>
      <c r="E31" s="91">
        <v>8.36</v>
      </c>
      <c r="F31" s="91">
        <v>7.7</v>
      </c>
      <c r="G31" s="91">
        <v>7.1</v>
      </c>
      <c r="H31" s="91">
        <v>6.56</v>
      </c>
      <c r="I31" s="91">
        <v>6.07</v>
      </c>
      <c r="J31" s="91">
        <v>5.62</v>
      </c>
      <c r="K31" s="91">
        <v>5.22</v>
      </c>
      <c r="L31" s="91">
        <v>4.8499999999999996</v>
      </c>
      <c r="M31" s="91">
        <v>4.5199999999999996</v>
      </c>
      <c r="N31" s="91">
        <v>4.21</v>
      </c>
      <c r="O31" s="91">
        <v>3.93</v>
      </c>
      <c r="P31" s="91">
        <v>3.67</v>
      </c>
      <c r="Q31" s="91">
        <v>3.43</v>
      </c>
      <c r="R31" s="91">
        <v>3.21</v>
      </c>
      <c r="S31" s="91">
        <v>3.01</v>
      </c>
      <c r="T31" s="91">
        <v>2.82</v>
      </c>
      <c r="U31" s="91">
        <v>2.65</v>
      </c>
      <c r="V31" s="91">
        <v>2.48</v>
      </c>
      <c r="W31" s="91">
        <v>2.33</v>
      </c>
      <c r="X31" s="91">
        <v>2.19</v>
      </c>
      <c r="Y31" s="91">
        <v>2.06</v>
      </c>
      <c r="Z31" s="91">
        <v>1.93</v>
      </c>
      <c r="AA31" s="91">
        <v>1.82</v>
      </c>
    </row>
    <row r="32" spans="1:27" x14ac:dyDescent="0.25">
      <c r="A32" s="88">
        <v>27</v>
      </c>
      <c r="B32" s="91">
        <v>11.6</v>
      </c>
      <c r="C32" s="91">
        <v>10.58</v>
      </c>
      <c r="D32" s="91">
        <v>9.68</v>
      </c>
      <c r="E32" s="91">
        <v>8.8699999999999992</v>
      </c>
      <c r="F32" s="91">
        <v>8.14</v>
      </c>
      <c r="G32" s="91">
        <v>7.49</v>
      </c>
      <c r="H32" s="91">
        <v>6.9</v>
      </c>
      <c r="I32" s="91">
        <v>6.37</v>
      </c>
      <c r="J32" s="91">
        <v>5.9</v>
      </c>
      <c r="K32" s="91">
        <v>5.46</v>
      </c>
      <c r="L32" s="91">
        <v>5.07</v>
      </c>
      <c r="M32" s="91">
        <v>4.71</v>
      </c>
      <c r="N32" s="91">
        <v>4.38</v>
      </c>
      <c r="O32" s="91">
        <v>4.08</v>
      </c>
      <c r="P32" s="91">
        <v>3.81</v>
      </c>
      <c r="Q32" s="91">
        <v>3.56</v>
      </c>
      <c r="R32" s="91">
        <v>3.33</v>
      </c>
      <c r="S32" s="91">
        <v>3.11</v>
      </c>
      <c r="T32" s="91">
        <v>2.91</v>
      </c>
      <c r="U32" s="91">
        <v>2.73</v>
      </c>
      <c r="V32" s="91">
        <v>2.56</v>
      </c>
      <c r="W32" s="91">
        <v>2.4</v>
      </c>
      <c r="X32" s="91">
        <v>2.25</v>
      </c>
      <c r="Y32" s="91">
        <v>2.11</v>
      </c>
      <c r="Z32" s="91">
        <v>1.98</v>
      </c>
      <c r="AA32" s="91">
        <v>1.86</v>
      </c>
    </row>
    <row r="33" spans="1:27" x14ac:dyDescent="0.25">
      <c r="A33" s="88">
        <v>28</v>
      </c>
      <c r="B33" s="91">
        <v>12.41</v>
      </c>
      <c r="C33" s="91">
        <v>11.3</v>
      </c>
      <c r="D33" s="91">
        <v>10.31</v>
      </c>
      <c r="E33" s="91">
        <v>9.42</v>
      </c>
      <c r="F33" s="91">
        <v>8.6300000000000008</v>
      </c>
      <c r="G33" s="91">
        <v>7.92</v>
      </c>
      <c r="H33" s="91">
        <v>7.28</v>
      </c>
      <c r="I33" s="91">
        <v>6.71</v>
      </c>
      <c r="J33" s="91">
        <v>6.19</v>
      </c>
      <c r="K33" s="91">
        <v>5.73</v>
      </c>
      <c r="L33" s="91">
        <v>5.31</v>
      </c>
      <c r="M33" s="91">
        <v>4.92</v>
      </c>
      <c r="N33" s="91">
        <v>4.57</v>
      </c>
      <c r="O33" s="91">
        <v>4.25</v>
      </c>
      <c r="P33" s="91">
        <v>3.96</v>
      </c>
      <c r="Q33" s="91">
        <v>3.69</v>
      </c>
      <c r="R33" s="91">
        <v>3.45</v>
      </c>
      <c r="S33" s="91">
        <v>3.22</v>
      </c>
      <c r="T33" s="91">
        <v>3.01</v>
      </c>
      <c r="U33" s="91">
        <v>2.82</v>
      </c>
      <c r="V33" s="91">
        <v>2.64</v>
      </c>
      <c r="W33" s="91">
        <v>2.4700000000000002</v>
      </c>
      <c r="X33" s="91">
        <v>2.3199999999999998</v>
      </c>
      <c r="Y33" s="91">
        <v>2.17</v>
      </c>
      <c r="Z33" s="91">
        <v>2.04</v>
      </c>
      <c r="AA33" s="91">
        <v>1.91</v>
      </c>
    </row>
    <row r="34" spans="1:27" x14ac:dyDescent="0.25">
      <c r="A34" s="88">
        <v>29</v>
      </c>
      <c r="B34" s="91">
        <v>13.32</v>
      </c>
      <c r="C34" s="91">
        <v>12.09</v>
      </c>
      <c r="D34" s="91">
        <v>11.01</v>
      </c>
      <c r="E34" s="91">
        <v>10.039999999999999</v>
      </c>
      <c r="F34" s="91">
        <v>9.17</v>
      </c>
      <c r="G34" s="91">
        <v>8.4</v>
      </c>
      <c r="H34" s="91">
        <v>7.7</v>
      </c>
      <c r="I34" s="91">
        <v>7.08</v>
      </c>
      <c r="J34" s="91">
        <v>6.52</v>
      </c>
      <c r="K34" s="91">
        <v>6.02</v>
      </c>
      <c r="L34" s="91">
        <v>5.56</v>
      </c>
      <c r="M34" s="91">
        <v>5.15</v>
      </c>
      <c r="N34" s="91">
        <v>4.78</v>
      </c>
      <c r="O34" s="91">
        <v>4.43</v>
      </c>
      <c r="P34" s="91">
        <v>4.12</v>
      </c>
      <c r="Q34" s="91">
        <v>3.84</v>
      </c>
      <c r="R34" s="91">
        <v>3.58</v>
      </c>
      <c r="S34" s="91">
        <v>3.34</v>
      </c>
      <c r="T34" s="91">
        <v>3.12</v>
      </c>
      <c r="U34" s="91">
        <v>2.91</v>
      </c>
      <c r="V34" s="91">
        <v>2.72</v>
      </c>
      <c r="W34" s="91">
        <v>2.5499999999999998</v>
      </c>
      <c r="X34" s="91">
        <v>2.39</v>
      </c>
      <c r="Y34" s="91">
        <v>2.23</v>
      </c>
      <c r="Z34" s="91">
        <v>2.09</v>
      </c>
      <c r="AA34" s="91">
        <v>1.96</v>
      </c>
    </row>
    <row r="35" spans="1:27" x14ac:dyDescent="0.25">
      <c r="A35" s="88">
        <v>30</v>
      </c>
      <c r="B35" s="91">
        <v>14.32</v>
      </c>
      <c r="C35" s="91">
        <v>12.97</v>
      </c>
      <c r="D35" s="91">
        <v>11.78</v>
      </c>
      <c r="E35" s="91">
        <v>10.72</v>
      </c>
      <c r="F35" s="91">
        <v>9.77</v>
      </c>
      <c r="G35" s="91">
        <v>8.92</v>
      </c>
      <c r="H35" s="91">
        <v>8.17</v>
      </c>
      <c r="I35" s="91">
        <v>7.49</v>
      </c>
      <c r="J35" s="91">
        <v>6.89</v>
      </c>
      <c r="K35" s="91">
        <v>6.34</v>
      </c>
      <c r="L35" s="91">
        <v>5.85</v>
      </c>
      <c r="M35" s="91">
        <v>5.4</v>
      </c>
      <c r="N35" s="91">
        <v>5</v>
      </c>
      <c r="O35" s="91">
        <v>4.63</v>
      </c>
      <c r="P35" s="91">
        <v>4.3</v>
      </c>
      <c r="Q35" s="91">
        <v>4</v>
      </c>
      <c r="R35" s="91">
        <v>3.72</v>
      </c>
      <c r="S35" s="91">
        <v>3.46</v>
      </c>
      <c r="T35" s="91">
        <v>3.23</v>
      </c>
      <c r="U35" s="91">
        <v>3.01</v>
      </c>
      <c r="V35" s="91">
        <v>2.81</v>
      </c>
      <c r="W35" s="91">
        <v>2.63</v>
      </c>
      <c r="X35" s="91">
        <v>2.46</v>
      </c>
      <c r="Y35" s="91">
        <v>2.2999999999999998</v>
      </c>
      <c r="Z35" s="91">
        <v>2.15</v>
      </c>
      <c r="AA35" s="91">
        <v>2.02</v>
      </c>
    </row>
    <row r="36" spans="1:27" x14ac:dyDescent="0.25">
      <c r="A36" s="88">
        <v>31</v>
      </c>
      <c r="B36" s="91">
        <v>15.43</v>
      </c>
      <c r="C36" s="91">
        <v>13.95</v>
      </c>
      <c r="D36" s="91">
        <v>12.64</v>
      </c>
      <c r="E36" s="91">
        <v>11.47</v>
      </c>
      <c r="F36" s="91">
        <v>10.43</v>
      </c>
      <c r="G36" s="91">
        <v>9.51</v>
      </c>
      <c r="H36" s="91">
        <v>8.68</v>
      </c>
      <c r="I36" s="91">
        <v>7.94</v>
      </c>
      <c r="J36" s="91">
        <v>7.28</v>
      </c>
      <c r="K36" s="91">
        <v>6.69</v>
      </c>
      <c r="L36" s="91">
        <v>6.16</v>
      </c>
      <c r="M36" s="91">
        <v>5.68</v>
      </c>
      <c r="N36" s="91">
        <v>5.24</v>
      </c>
      <c r="O36" s="91">
        <v>4.8499999999999996</v>
      </c>
      <c r="P36" s="91">
        <v>4.49</v>
      </c>
      <c r="Q36" s="91">
        <v>4.17</v>
      </c>
      <c r="R36" s="91">
        <v>3.87</v>
      </c>
      <c r="S36" s="91">
        <v>3.6</v>
      </c>
      <c r="T36" s="91">
        <v>3.35</v>
      </c>
      <c r="U36" s="91">
        <v>3.12</v>
      </c>
      <c r="V36" s="91">
        <v>2.91</v>
      </c>
      <c r="W36" s="91">
        <v>2.72</v>
      </c>
      <c r="X36" s="91">
        <v>2.54</v>
      </c>
      <c r="Y36" s="91">
        <v>2.37</v>
      </c>
      <c r="Z36" s="91">
        <v>2.2200000000000002</v>
      </c>
      <c r="AA36" s="91">
        <v>2.08</v>
      </c>
    </row>
    <row r="37" spans="1:27" x14ac:dyDescent="0.25">
      <c r="A37" s="88">
        <v>32</v>
      </c>
      <c r="B37" s="91">
        <v>16.66</v>
      </c>
      <c r="C37" s="91">
        <v>15.04</v>
      </c>
      <c r="D37" s="91">
        <v>13.59</v>
      </c>
      <c r="E37" s="91">
        <v>12.31</v>
      </c>
      <c r="F37" s="91">
        <v>11.17</v>
      </c>
      <c r="G37" s="91">
        <v>10.15</v>
      </c>
      <c r="H37" s="91">
        <v>9.25</v>
      </c>
      <c r="I37" s="91">
        <v>8.4499999999999993</v>
      </c>
      <c r="J37" s="91">
        <v>7.72</v>
      </c>
      <c r="K37" s="91">
        <v>7.08</v>
      </c>
      <c r="L37" s="91">
        <v>6.5</v>
      </c>
      <c r="M37" s="91">
        <v>5.98</v>
      </c>
      <c r="N37" s="91">
        <v>5.51</v>
      </c>
      <c r="O37" s="91">
        <v>5.09</v>
      </c>
      <c r="P37" s="91">
        <v>4.7</v>
      </c>
      <c r="Q37" s="91">
        <v>4.3499999999999996</v>
      </c>
      <c r="R37" s="91">
        <v>4.04</v>
      </c>
      <c r="S37" s="91">
        <v>3.75</v>
      </c>
      <c r="T37" s="91">
        <v>3.48</v>
      </c>
      <c r="U37" s="91">
        <v>3.24</v>
      </c>
      <c r="V37" s="91">
        <v>3.02</v>
      </c>
      <c r="W37" s="91">
        <v>2.81</v>
      </c>
      <c r="X37" s="91">
        <v>2.63</v>
      </c>
      <c r="Y37" s="91">
        <v>2.4500000000000002</v>
      </c>
      <c r="Z37" s="91">
        <v>2.29</v>
      </c>
      <c r="AA37" s="91">
        <v>2.14</v>
      </c>
    </row>
    <row r="38" spans="1:27" x14ac:dyDescent="0.25">
      <c r="A38" s="88">
        <v>33</v>
      </c>
      <c r="B38" s="91">
        <v>18.02</v>
      </c>
      <c r="C38" s="91">
        <v>16.239999999999998</v>
      </c>
      <c r="D38" s="91">
        <v>14.65</v>
      </c>
      <c r="E38" s="91">
        <v>13.24</v>
      </c>
      <c r="F38" s="91">
        <v>11.99</v>
      </c>
      <c r="G38" s="91">
        <v>10.87</v>
      </c>
      <c r="H38" s="91">
        <v>9.8800000000000008</v>
      </c>
      <c r="I38" s="91">
        <v>9</v>
      </c>
      <c r="J38" s="91">
        <v>8.2100000000000009</v>
      </c>
      <c r="K38" s="91">
        <v>7.51</v>
      </c>
      <c r="L38" s="91">
        <v>6.88</v>
      </c>
      <c r="M38" s="91">
        <v>6.31</v>
      </c>
      <c r="N38" s="91">
        <v>5.81</v>
      </c>
      <c r="O38" s="91">
        <v>5.35</v>
      </c>
      <c r="P38" s="91">
        <v>4.93</v>
      </c>
      <c r="Q38" s="91">
        <v>4.5599999999999996</v>
      </c>
      <c r="R38" s="91">
        <v>4.22</v>
      </c>
      <c r="S38" s="91">
        <v>3.91</v>
      </c>
      <c r="T38" s="91">
        <v>3.63</v>
      </c>
      <c r="U38" s="91">
        <v>3.37</v>
      </c>
      <c r="V38" s="91">
        <v>3.13</v>
      </c>
      <c r="W38" s="91">
        <v>2.92</v>
      </c>
      <c r="X38" s="91">
        <v>2.72</v>
      </c>
      <c r="Y38" s="91">
        <v>2.5299999999999998</v>
      </c>
      <c r="Z38" s="91">
        <v>2.36</v>
      </c>
      <c r="AA38" s="91">
        <v>2.21</v>
      </c>
    </row>
    <row r="39" spans="1:27" x14ac:dyDescent="0.25">
      <c r="A39" s="88">
        <v>34</v>
      </c>
      <c r="B39" s="91">
        <v>19.53</v>
      </c>
      <c r="C39" s="91">
        <v>17.57</v>
      </c>
      <c r="D39" s="91">
        <v>15.83</v>
      </c>
      <c r="E39" s="91">
        <v>14.27</v>
      </c>
      <c r="F39" s="91">
        <v>12.9</v>
      </c>
      <c r="G39" s="91">
        <v>11.67</v>
      </c>
      <c r="H39" s="91">
        <v>10.58</v>
      </c>
      <c r="I39" s="91">
        <v>9.61</v>
      </c>
      <c r="J39" s="91">
        <v>8.75</v>
      </c>
      <c r="K39" s="91">
        <v>7.98</v>
      </c>
      <c r="L39" s="91">
        <v>7.3</v>
      </c>
      <c r="M39" s="91">
        <v>6.68</v>
      </c>
      <c r="N39" s="91">
        <v>6.13</v>
      </c>
      <c r="O39" s="91">
        <v>5.63</v>
      </c>
      <c r="P39" s="91">
        <v>5.19</v>
      </c>
      <c r="Q39" s="91">
        <v>4.78</v>
      </c>
      <c r="R39" s="91">
        <v>4.42</v>
      </c>
      <c r="S39" s="91">
        <v>4.09</v>
      </c>
      <c r="T39" s="91">
        <v>3.79</v>
      </c>
      <c r="U39" s="91">
        <v>3.51</v>
      </c>
      <c r="V39" s="91">
        <v>3.26</v>
      </c>
      <c r="W39" s="91">
        <v>3.03</v>
      </c>
      <c r="X39" s="91">
        <v>2.82</v>
      </c>
      <c r="Y39" s="91">
        <v>2.62</v>
      </c>
      <c r="Z39" s="91">
        <v>2.44</v>
      </c>
      <c r="AA39" s="91">
        <v>2.2799999999999998</v>
      </c>
    </row>
    <row r="40" spans="1:27" x14ac:dyDescent="0.25">
      <c r="A40" s="88">
        <v>35</v>
      </c>
      <c r="B40" s="91">
        <v>21.2</v>
      </c>
      <c r="C40" s="91">
        <v>19.05</v>
      </c>
      <c r="D40" s="91">
        <v>17.13</v>
      </c>
      <c r="E40" s="91">
        <v>15.42</v>
      </c>
      <c r="F40" s="91">
        <v>13.9</v>
      </c>
      <c r="G40" s="91">
        <v>12.56</v>
      </c>
      <c r="H40" s="91">
        <v>11.36</v>
      </c>
      <c r="I40" s="91">
        <v>10.3</v>
      </c>
      <c r="J40" s="91">
        <v>9.35</v>
      </c>
      <c r="K40" s="91">
        <v>8.51</v>
      </c>
      <c r="L40" s="91">
        <v>7.76</v>
      </c>
      <c r="M40" s="91">
        <v>7.09</v>
      </c>
      <c r="N40" s="91">
        <v>6.49</v>
      </c>
      <c r="O40" s="91">
        <v>5.95</v>
      </c>
      <c r="P40" s="91">
        <v>5.46</v>
      </c>
      <c r="Q40" s="91">
        <v>5.03</v>
      </c>
      <c r="R40" s="91">
        <v>4.6399999999999997</v>
      </c>
      <c r="S40" s="91">
        <v>4.28</v>
      </c>
      <c r="T40" s="91">
        <v>3.96</v>
      </c>
      <c r="U40" s="91">
        <v>3.66</v>
      </c>
      <c r="V40" s="91">
        <v>3.39</v>
      </c>
      <c r="W40" s="91">
        <v>3.15</v>
      </c>
      <c r="X40" s="91">
        <v>2.93</v>
      </c>
      <c r="Y40" s="91">
        <v>2.72</v>
      </c>
      <c r="Z40" s="91">
        <v>2.5299999999999998</v>
      </c>
      <c r="AA40" s="91">
        <v>2.36</v>
      </c>
    </row>
    <row r="41" spans="1:27" x14ac:dyDescent="0.25">
      <c r="A41" s="88">
        <v>36</v>
      </c>
      <c r="B41" s="91">
        <v>23.05</v>
      </c>
      <c r="C41" s="91">
        <v>20.68</v>
      </c>
      <c r="D41" s="91">
        <v>18.57</v>
      </c>
      <c r="E41" s="91">
        <v>16.690000000000001</v>
      </c>
      <c r="F41" s="91">
        <v>15.02</v>
      </c>
      <c r="G41" s="91">
        <v>13.54</v>
      </c>
      <c r="H41" s="91">
        <v>12.22</v>
      </c>
      <c r="I41" s="91">
        <v>11.06</v>
      </c>
      <c r="J41" s="91">
        <v>10.02</v>
      </c>
      <c r="K41" s="91">
        <v>9.09</v>
      </c>
      <c r="L41" s="91">
        <v>8.27</v>
      </c>
      <c r="M41" s="91">
        <v>7.54</v>
      </c>
      <c r="N41" s="91">
        <v>6.88</v>
      </c>
      <c r="O41" s="91">
        <v>6.3</v>
      </c>
      <c r="P41" s="91">
        <v>5.77</v>
      </c>
      <c r="Q41" s="91">
        <v>5.3</v>
      </c>
      <c r="R41" s="91">
        <v>4.87</v>
      </c>
      <c r="S41" s="91">
        <v>4.49</v>
      </c>
      <c r="T41" s="91">
        <v>4.1399999999999997</v>
      </c>
      <c r="U41" s="91">
        <v>3.83</v>
      </c>
      <c r="V41" s="91">
        <v>3.54</v>
      </c>
      <c r="W41" s="91">
        <v>3.28</v>
      </c>
      <c r="X41" s="91">
        <v>3.04</v>
      </c>
      <c r="Y41" s="91">
        <v>2.82</v>
      </c>
      <c r="Z41" s="91">
        <v>2.62</v>
      </c>
      <c r="AA41" s="91">
        <v>2.44</v>
      </c>
    </row>
    <row r="42" spans="1:27" x14ac:dyDescent="0.25">
      <c r="A42" s="88">
        <v>37</v>
      </c>
      <c r="B42" s="91">
        <v>25.08</v>
      </c>
      <c r="C42" s="91">
        <v>22.48</v>
      </c>
      <c r="D42" s="91">
        <v>20.170000000000002</v>
      </c>
      <c r="E42" s="91">
        <v>18.100000000000001</v>
      </c>
      <c r="F42" s="91">
        <v>16.27</v>
      </c>
      <c r="G42" s="91">
        <v>14.63</v>
      </c>
      <c r="H42" s="91">
        <v>13.18</v>
      </c>
      <c r="I42" s="91">
        <v>11.9</v>
      </c>
      <c r="J42" s="91">
        <v>10.76</v>
      </c>
      <c r="K42" s="91">
        <v>9.74</v>
      </c>
      <c r="L42" s="91">
        <v>8.84</v>
      </c>
      <c r="M42" s="91">
        <v>8.0299999999999994</v>
      </c>
      <c r="N42" s="91">
        <v>7.32</v>
      </c>
      <c r="O42" s="91">
        <v>6.68</v>
      </c>
      <c r="P42" s="91">
        <v>6.11</v>
      </c>
      <c r="Q42" s="91">
        <v>5.6</v>
      </c>
      <c r="R42" s="91">
        <v>5.14</v>
      </c>
      <c r="S42" s="91">
        <v>4.72</v>
      </c>
      <c r="T42" s="91">
        <v>4.3499999999999996</v>
      </c>
      <c r="U42" s="91">
        <v>4.01</v>
      </c>
      <c r="V42" s="91">
        <v>3.7</v>
      </c>
      <c r="W42" s="91">
        <v>3.42</v>
      </c>
      <c r="X42" s="91">
        <v>3.17</v>
      </c>
      <c r="Y42" s="91">
        <v>2.94</v>
      </c>
      <c r="Z42" s="91">
        <v>2.72</v>
      </c>
      <c r="AA42" s="91">
        <v>2.5299999999999998</v>
      </c>
    </row>
    <row r="43" spans="1:27" x14ac:dyDescent="0.25">
      <c r="A43" s="88">
        <v>38</v>
      </c>
      <c r="B43" s="91">
        <v>27.31</v>
      </c>
      <c r="C43" s="91">
        <v>24.47</v>
      </c>
      <c r="D43" s="91">
        <v>21.93</v>
      </c>
      <c r="E43" s="91">
        <v>19.66</v>
      </c>
      <c r="F43" s="91">
        <v>17.64</v>
      </c>
      <c r="G43" s="91">
        <v>15.85</v>
      </c>
      <c r="H43" s="91">
        <v>14.25</v>
      </c>
      <c r="I43" s="91">
        <v>12.84</v>
      </c>
      <c r="J43" s="91">
        <v>11.58</v>
      </c>
      <c r="K43" s="91">
        <v>10.46</v>
      </c>
      <c r="L43" s="91">
        <v>9.4700000000000006</v>
      </c>
      <c r="M43" s="91">
        <v>8.59</v>
      </c>
      <c r="N43" s="91">
        <v>7.8</v>
      </c>
      <c r="O43" s="91">
        <v>7.1</v>
      </c>
      <c r="P43" s="91">
        <v>6.48</v>
      </c>
      <c r="Q43" s="91">
        <v>5.92</v>
      </c>
      <c r="R43" s="91">
        <v>5.42</v>
      </c>
      <c r="S43" s="91">
        <v>4.9800000000000004</v>
      </c>
      <c r="T43" s="91">
        <v>4.57</v>
      </c>
      <c r="U43" s="91">
        <v>4.21</v>
      </c>
      <c r="V43" s="91">
        <v>3.88</v>
      </c>
      <c r="W43" s="91">
        <v>3.58</v>
      </c>
      <c r="X43" s="91">
        <v>3.31</v>
      </c>
      <c r="Y43" s="91">
        <v>3.06</v>
      </c>
      <c r="Z43" s="91">
        <v>2.83</v>
      </c>
      <c r="AA43" s="91">
        <v>2.63</v>
      </c>
    </row>
    <row r="44" spans="1:27" x14ac:dyDescent="0.25">
      <c r="A44" s="88">
        <v>39</v>
      </c>
      <c r="B44" s="91">
        <v>29.24</v>
      </c>
      <c r="C44" s="91">
        <v>26.66</v>
      </c>
      <c r="D44" s="91">
        <v>23.88</v>
      </c>
      <c r="E44" s="91">
        <v>21.39</v>
      </c>
      <c r="F44" s="91">
        <v>19.170000000000002</v>
      </c>
      <c r="G44" s="91">
        <v>17.2</v>
      </c>
      <c r="H44" s="91">
        <v>15.44</v>
      </c>
      <c r="I44" s="91">
        <v>13.88</v>
      </c>
      <c r="J44" s="91">
        <v>12.49</v>
      </c>
      <c r="K44" s="91">
        <v>11.26</v>
      </c>
      <c r="L44" s="91">
        <v>10.17</v>
      </c>
      <c r="M44" s="91">
        <v>9.1999999999999993</v>
      </c>
      <c r="N44" s="91">
        <v>8.34</v>
      </c>
      <c r="O44" s="91">
        <v>7.58</v>
      </c>
      <c r="P44" s="91">
        <v>6.89</v>
      </c>
      <c r="Q44" s="91">
        <v>6.29</v>
      </c>
      <c r="R44" s="91">
        <v>5.74</v>
      </c>
      <c r="S44" s="91">
        <v>5.26</v>
      </c>
      <c r="T44" s="91">
        <v>4.82</v>
      </c>
      <c r="U44" s="91">
        <v>4.43</v>
      </c>
      <c r="V44" s="91">
        <v>4.07</v>
      </c>
      <c r="W44" s="91">
        <v>3.75</v>
      </c>
      <c r="X44" s="91">
        <v>3.46</v>
      </c>
      <c r="Y44" s="91">
        <v>3.19</v>
      </c>
      <c r="Z44" s="91">
        <v>2.95</v>
      </c>
      <c r="AA44" s="91">
        <v>2.73</v>
      </c>
    </row>
    <row r="45" spans="1:27" x14ac:dyDescent="0.25">
      <c r="A45" s="88">
        <v>40</v>
      </c>
      <c r="B45" s="91">
        <v>30</v>
      </c>
      <c r="C45" s="91">
        <v>28.9</v>
      </c>
      <c r="D45" s="91">
        <v>26.02</v>
      </c>
      <c r="E45" s="91">
        <v>23.3</v>
      </c>
      <c r="F45" s="91">
        <v>20.86</v>
      </c>
      <c r="G45" s="91">
        <v>18.690000000000001</v>
      </c>
      <c r="H45" s="91">
        <v>16.75</v>
      </c>
      <c r="I45" s="91">
        <v>15.03</v>
      </c>
      <c r="J45" s="91">
        <v>13.51</v>
      </c>
      <c r="K45" s="91">
        <v>12.15</v>
      </c>
      <c r="L45" s="91">
        <v>10.95</v>
      </c>
      <c r="M45" s="91">
        <v>9.89</v>
      </c>
      <c r="N45" s="91">
        <v>8.94</v>
      </c>
      <c r="O45" s="91">
        <v>8.1</v>
      </c>
      <c r="P45" s="91">
        <v>7.35</v>
      </c>
      <c r="Q45" s="91">
        <v>6.69</v>
      </c>
      <c r="R45" s="91">
        <v>6.1</v>
      </c>
      <c r="S45" s="91">
        <v>5.57</v>
      </c>
      <c r="T45" s="91">
        <v>5.09</v>
      </c>
      <c r="U45" s="91">
        <v>4.67</v>
      </c>
      <c r="V45" s="91">
        <v>4.28</v>
      </c>
      <c r="W45" s="91">
        <v>3.94</v>
      </c>
      <c r="X45" s="91">
        <v>3.62</v>
      </c>
      <c r="Y45" s="91">
        <v>3.34</v>
      </c>
      <c r="Z45" s="91">
        <v>3.08</v>
      </c>
      <c r="AA45" s="91">
        <v>2.85</v>
      </c>
    </row>
    <row r="46" spans="1:27" x14ac:dyDescent="0.25">
      <c r="A46" s="88">
        <v>41</v>
      </c>
      <c r="B46" s="91">
        <v>30</v>
      </c>
      <c r="C46" s="91">
        <v>30</v>
      </c>
      <c r="D46" s="91">
        <v>28.38</v>
      </c>
      <c r="E46" s="91">
        <v>25.4</v>
      </c>
      <c r="F46" s="91">
        <v>22.73</v>
      </c>
      <c r="G46" s="91">
        <v>20.34</v>
      </c>
      <c r="H46" s="91">
        <v>18.21</v>
      </c>
      <c r="I46" s="91">
        <v>16.32</v>
      </c>
      <c r="J46" s="91">
        <v>14.64</v>
      </c>
      <c r="K46" s="91">
        <v>13.15</v>
      </c>
      <c r="L46" s="91">
        <v>11.82</v>
      </c>
      <c r="M46" s="91">
        <v>10.65</v>
      </c>
      <c r="N46" s="91">
        <v>9.61</v>
      </c>
      <c r="O46" s="91">
        <v>8.68</v>
      </c>
      <c r="P46" s="91">
        <v>7.86</v>
      </c>
      <c r="Q46" s="91">
        <v>7.13</v>
      </c>
      <c r="R46" s="91">
        <v>6.49</v>
      </c>
      <c r="S46" s="91">
        <v>5.91</v>
      </c>
      <c r="T46" s="91">
        <v>5.39</v>
      </c>
      <c r="U46" s="91">
        <v>4.93</v>
      </c>
      <c r="V46" s="91">
        <v>4.51</v>
      </c>
      <c r="W46" s="91">
        <v>4.1399999999999997</v>
      </c>
      <c r="X46" s="91">
        <v>3.8</v>
      </c>
      <c r="Y46" s="91">
        <v>3.5</v>
      </c>
      <c r="Z46" s="91">
        <v>3.22</v>
      </c>
      <c r="AA46" s="91">
        <v>2.97</v>
      </c>
    </row>
    <row r="47" spans="1:27" x14ac:dyDescent="0.25">
      <c r="A47" s="88">
        <v>42</v>
      </c>
      <c r="B47" s="91">
        <v>30</v>
      </c>
      <c r="C47" s="91">
        <v>30</v>
      </c>
      <c r="D47" s="91">
        <v>29.8</v>
      </c>
      <c r="E47" s="91">
        <v>27.7</v>
      </c>
      <c r="F47" s="91">
        <v>24.78</v>
      </c>
      <c r="G47" s="91">
        <v>22.17</v>
      </c>
      <c r="H47" s="91">
        <v>19.829999999999998</v>
      </c>
      <c r="I47" s="91">
        <v>17.75</v>
      </c>
      <c r="J47" s="91">
        <v>15.89</v>
      </c>
      <c r="K47" s="91">
        <v>14.25</v>
      </c>
      <c r="L47" s="91">
        <v>12.79</v>
      </c>
      <c r="M47" s="91">
        <v>11.49</v>
      </c>
      <c r="N47" s="91">
        <v>10.35</v>
      </c>
      <c r="O47" s="91">
        <v>9.33</v>
      </c>
      <c r="P47" s="91">
        <v>8.43</v>
      </c>
      <c r="Q47" s="91">
        <v>7.63</v>
      </c>
      <c r="R47" s="91">
        <v>6.92</v>
      </c>
      <c r="S47" s="91">
        <v>6.29</v>
      </c>
      <c r="T47" s="91">
        <v>5.72</v>
      </c>
      <c r="U47" s="91">
        <v>5.22</v>
      </c>
      <c r="V47" s="91">
        <v>4.7699999999999996</v>
      </c>
      <c r="W47" s="91">
        <v>4.37</v>
      </c>
      <c r="X47" s="91">
        <v>4</v>
      </c>
      <c r="Y47" s="91">
        <v>3.67</v>
      </c>
      <c r="Z47" s="91">
        <v>3.38</v>
      </c>
      <c r="AA47" s="91">
        <v>3.11</v>
      </c>
    </row>
    <row r="48" spans="1:27" x14ac:dyDescent="0.25">
      <c r="A48" s="88">
        <v>43</v>
      </c>
      <c r="B48" s="91">
        <v>30</v>
      </c>
      <c r="C48" s="91">
        <v>30</v>
      </c>
      <c r="D48" s="91">
        <v>30</v>
      </c>
      <c r="E48" s="91">
        <v>29.46</v>
      </c>
      <c r="F48" s="91">
        <v>27.05</v>
      </c>
      <c r="G48" s="91">
        <v>24.18</v>
      </c>
      <c r="H48" s="91">
        <v>21.62</v>
      </c>
      <c r="I48" s="91">
        <v>19.329999999999998</v>
      </c>
      <c r="J48" s="91">
        <v>17.29</v>
      </c>
      <c r="K48" s="91">
        <v>15.47</v>
      </c>
      <c r="L48" s="91">
        <v>13.86</v>
      </c>
      <c r="M48" s="91">
        <v>12.44</v>
      </c>
      <c r="N48" s="91">
        <v>11.17</v>
      </c>
      <c r="O48" s="91">
        <v>10.050000000000001</v>
      </c>
      <c r="P48" s="91">
        <v>9.06</v>
      </c>
      <c r="Q48" s="91">
        <v>8.18</v>
      </c>
      <c r="R48" s="91">
        <v>7.4</v>
      </c>
      <c r="S48" s="91">
        <v>6.71</v>
      </c>
      <c r="T48" s="91">
        <v>6.09</v>
      </c>
      <c r="U48" s="91">
        <v>5.54</v>
      </c>
      <c r="V48" s="91">
        <v>5.05</v>
      </c>
      <c r="W48" s="91">
        <v>4.6100000000000003</v>
      </c>
      <c r="X48" s="91">
        <v>4.22</v>
      </c>
      <c r="Y48" s="91">
        <v>3.87</v>
      </c>
      <c r="Z48" s="91">
        <v>3.55</v>
      </c>
      <c r="AA48" s="91">
        <v>3.26</v>
      </c>
    </row>
    <row r="49" spans="1:27" x14ac:dyDescent="0.25">
      <c r="A49" s="88">
        <v>44</v>
      </c>
      <c r="B49" s="91">
        <v>30</v>
      </c>
      <c r="C49" s="91">
        <v>30</v>
      </c>
      <c r="D49" s="91">
        <v>30</v>
      </c>
      <c r="E49" s="91">
        <v>30</v>
      </c>
      <c r="F49" s="91">
        <v>29.12</v>
      </c>
      <c r="G49" s="91">
        <v>26.4</v>
      </c>
      <c r="H49" s="91">
        <v>23.59</v>
      </c>
      <c r="I49" s="91">
        <v>21.08</v>
      </c>
      <c r="J49" s="91">
        <v>18.829999999999998</v>
      </c>
      <c r="K49" s="91">
        <v>16.84</v>
      </c>
      <c r="L49" s="91">
        <v>15.06</v>
      </c>
      <c r="M49" s="91">
        <v>13.49</v>
      </c>
      <c r="N49" s="91">
        <v>12.09</v>
      </c>
      <c r="O49" s="91">
        <v>10.86</v>
      </c>
      <c r="P49" s="91">
        <v>9.76</v>
      </c>
      <c r="Q49" s="91">
        <v>8.7899999999999991</v>
      </c>
      <c r="R49" s="91">
        <v>7.94</v>
      </c>
      <c r="S49" s="91">
        <v>7.18</v>
      </c>
      <c r="T49" s="91">
        <v>6.5</v>
      </c>
      <c r="U49" s="91">
        <v>5.9</v>
      </c>
      <c r="V49" s="91">
        <v>5.37</v>
      </c>
      <c r="W49" s="91">
        <v>4.8899999999999997</v>
      </c>
      <c r="X49" s="91">
        <v>4.46</v>
      </c>
      <c r="Y49" s="91">
        <v>4.08</v>
      </c>
      <c r="Z49" s="91">
        <v>3.73</v>
      </c>
      <c r="AA49" s="91">
        <v>3.42</v>
      </c>
    </row>
    <row r="50" spans="1:27" x14ac:dyDescent="0.25">
      <c r="A50" s="88">
        <v>45</v>
      </c>
      <c r="B50" s="91">
        <v>30</v>
      </c>
      <c r="C50" s="91">
        <v>30</v>
      </c>
      <c r="D50" s="91">
        <v>30</v>
      </c>
      <c r="E50" s="91">
        <v>30</v>
      </c>
      <c r="F50" s="91">
        <v>30</v>
      </c>
      <c r="G50" s="91">
        <v>28.78</v>
      </c>
      <c r="H50" s="91">
        <v>25.77</v>
      </c>
      <c r="I50" s="91">
        <v>23.01</v>
      </c>
      <c r="J50" s="91">
        <v>20.55</v>
      </c>
      <c r="K50" s="91">
        <v>18.350000000000001</v>
      </c>
      <c r="L50" s="91">
        <v>16.39</v>
      </c>
      <c r="M50" s="91">
        <v>14.65</v>
      </c>
      <c r="N50" s="91">
        <v>13.11</v>
      </c>
      <c r="O50" s="91">
        <v>11.75</v>
      </c>
      <c r="P50" s="91">
        <v>10.54</v>
      </c>
      <c r="Q50" s="91">
        <v>9.48</v>
      </c>
      <c r="R50" s="91">
        <v>8.5299999999999994</v>
      </c>
      <c r="S50" s="91">
        <v>7.7</v>
      </c>
      <c r="T50" s="91">
        <v>6.96</v>
      </c>
      <c r="U50" s="91">
        <v>6.3</v>
      </c>
      <c r="V50" s="91">
        <v>5.71</v>
      </c>
      <c r="W50" s="91">
        <v>5.19</v>
      </c>
      <c r="X50" s="91">
        <v>4.7300000000000004</v>
      </c>
      <c r="Y50" s="91">
        <v>4.3099999999999996</v>
      </c>
      <c r="Z50" s="91">
        <v>3.94</v>
      </c>
      <c r="AA50" s="91">
        <v>3.6</v>
      </c>
    </row>
    <row r="51" spans="1:27" x14ac:dyDescent="0.25">
      <c r="A51" s="88">
        <v>46</v>
      </c>
      <c r="B51" s="91">
        <v>30</v>
      </c>
      <c r="C51" s="91">
        <v>30</v>
      </c>
      <c r="D51" s="91">
        <v>30</v>
      </c>
      <c r="E51" s="91">
        <v>30</v>
      </c>
      <c r="F51" s="91">
        <v>30</v>
      </c>
      <c r="G51" s="91">
        <v>30</v>
      </c>
      <c r="H51" s="91">
        <v>28.16</v>
      </c>
      <c r="I51" s="91">
        <v>25.15</v>
      </c>
      <c r="J51" s="91">
        <v>22.44</v>
      </c>
      <c r="K51" s="91">
        <v>20.02</v>
      </c>
      <c r="L51" s="91">
        <v>17.87</v>
      </c>
      <c r="M51" s="91">
        <v>15.95</v>
      </c>
      <c r="N51" s="91">
        <v>14.25</v>
      </c>
      <c r="O51" s="91">
        <v>12.75</v>
      </c>
      <c r="P51" s="91">
        <v>11.42</v>
      </c>
      <c r="Q51" s="91">
        <v>10.24</v>
      </c>
      <c r="R51" s="91">
        <v>9.1999999999999993</v>
      </c>
      <c r="S51" s="91">
        <v>8.2799999999999994</v>
      </c>
      <c r="T51" s="91">
        <v>7.46</v>
      </c>
      <c r="U51" s="91">
        <v>6.74</v>
      </c>
      <c r="V51" s="91">
        <v>6.1</v>
      </c>
      <c r="W51" s="91">
        <v>5.53</v>
      </c>
      <c r="X51" s="91">
        <v>5.0199999999999996</v>
      </c>
      <c r="Y51" s="91">
        <v>4.57</v>
      </c>
      <c r="Z51" s="91">
        <v>4.16</v>
      </c>
      <c r="AA51" s="91">
        <v>3.8</v>
      </c>
    </row>
    <row r="52" spans="1:27" x14ac:dyDescent="0.25">
      <c r="A52" s="88">
        <v>47</v>
      </c>
      <c r="B52" s="91">
        <v>30</v>
      </c>
      <c r="C52" s="91">
        <v>30</v>
      </c>
      <c r="D52" s="91">
        <v>30</v>
      </c>
      <c r="E52" s="91">
        <v>30</v>
      </c>
      <c r="F52" s="91">
        <v>30</v>
      </c>
      <c r="G52" s="91">
        <v>30</v>
      </c>
      <c r="H52" s="91">
        <v>29.71</v>
      </c>
      <c r="I52" s="91">
        <v>27.5</v>
      </c>
      <c r="J52" s="91">
        <v>24.54</v>
      </c>
      <c r="K52" s="91">
        <v>21.88</v>
      </c>
      <c r="L52" s="91">
        <v>19.510000000000002</v>
      </c>
      <c r="M52" s="91">
        <v>17.399999999999999</v>
      </c>
      <c r="N52" s="91">
        <v>15.52</v>
      </c>
      <c r="O52" s="91">
        <v>13.86</v>
      </c>
      <c r="P52" s="91">
        <v>12.39</v>
      </c>
      <c r="Q52" s="91">
        <v>11.09</v>
      </c>
      <c r="R52" s="91">
        <v>9.94</v>
      </c>
      <c r="S52" s="91">
        <v>8.92</v>
      </c>
      <c r="T52" s="91">
        <v>8.02</v>
      </c>
      <c r="U52" s="91">
        <v>7.23</v>
      </c>
      <c r="V52" s="91">
        <v>6.53</v>
      </c>
      <c r="W52" s="91">
        <v>5.9</v>
      </c>
      <c r="X52" s="91">
        <v>5.34</v>
      </c>
      <c r="Y52" s="91">
        <v>4.8499999999999996</v>
      </c>
      <c r="Z52" s="91">
        <v>4.41</v>
      </c>
      <c r="AA52" s="91">
        <v>4.01</v>
      </c>
    </row>
    <row r="53" spans="1:27" x14ac:dyDescent="0.25">
      <c r="A53" s="88">
        <v>48</v>
      </c>
      <c r="B53" s="91">
        <v>30</v>
      </c>
      <c r="C53" s="91">
        <v>30</v>
      </c>
      <c r="D53" s="91">
        <v>30</v>
      </c>
      <c r="E53" s="91">
        <v>30</v>
      </c>
      <c r="F53" s="91">
        <v>30</v>
      </c>
      <c r="G53" s="91">
        <v>30</v>
      </c>
      <c r="H53" s="91">
        <v>30</v>
      </c>
      <c r="I53" s="91">
        <v>29.37</v>
      </c>
      <c r="J53" s="91">
        <v>26.84</v>
      </c>
      <c r="K53" s="91">
        <v>23.93</v>
      </c>
      <c r="L53" s="91">
        <v>21.33</v>
      </c>
      <c r="M53" s="91">
        <v>19</v>
      </c>
      <c r="N53" s="91">
        <v>16.940000000000001</v>
      </c>
      <c r="O53" s="91">
        <v>15.1</v>
      </c>
      <c r="P53" s="91">
        <v>13.47</v>
      </c>
      <c r="Q53" s="91">
        <v>12.04</v>
      </c>
      <c r="R53" s="91">
        <v>10.77</v>
      </c>
      <c r="S53" s="91">
        <v>9.65</v>
      </c>
      <c r="T53" s="91">
        <v>8.65</v>
      </c>
      <c r="U53" s="91">
        <v>7.78</v>
      </c>
      <c r="V53" s="91">
        <v>7</v>
      </c>
      <c r="W53" s="91">
        <v>6.32</v>
      </c>
      <c r="X53" s="91">
        <v>5.71</v>
      </c>
      <c r="Y53" s="91">
        <v>5.17</v>
      </c>
      <c r="Z53" s="91">
        <v>4.68</v>
      </c>
      <c r="AA53" s="91">
        <v>4.26</v>
      </c>
    </row>
    <row r="54" spans="1:27" x14ac:dyDescent="0.25">
      <c r="A54" s="88">
        <v>49</v>
      </c>
      <c r="B54" s="91">
        <v>30</v>
      </c>
      <c r="C54" s="91">
        <v>30</v>
      </c>
      <c r="D54" s="91">
        <v>30</v>
      </c>
      <c r="E54" s="91">
        <v>30</v>
      </c>
      <c r="F54" s="91">
        <v>30</v>
      </c>
      <c r="G54" s="91">
        <v>30</v>
      </c>
      <c r="H54" s="91">
        <v>30</v>
      </c>
      <c r="I54" s="91">
        <v>30</v>
      </c>
      <c r="J54" s="91">
        <v>29.03</v>
      </c>
      <c r="K54" s="91">
        <v>26.2</v>
      </c>
      <c r="L54" s="91">
        <v>23.34</v>
      </c>
      <c r="M54" s="91">
        <v>20.78</v>
      </c>
      <c r="N54" s="91">
        <v>18.510000000000002</v>
      </c>
      <c r="O54" s="91">
        <v>16.48</v>
      </c>
      <c r="P54" s="91">
        <v>14.68</v>
      </c>
      <c r="Q54" s="91">
        <v>13.1</v>
      </c>
      <c r="R54" s="91">
        <v>11.69</v>
      </c>
      <c r="S54" s="91">
        <v>10.45</v>
      </c>
      <c r="T54" s="91">
        <v>9.36</v>
      </c>
      <c r="U54" s="91">
        <v>8.39</v>
      </c>
      <c r="V54" s="91">
        <v>7.54</v>
      </c>
      <c r="W54" s="91">
        <v>6.78</v>
      </c>
      <c r="X54" s="91">
        <v>6.11</v>
      </c>
      <c r="Y54" s="91">
        <v>5.52</v>
      </c>
      <c r="Z54" s="91">
        <v>4.99</v>
      </c>
      <c r="AA54" s="91">
        <v>4.5199999999999996</v>
      </c>
    </row>
    <row r="55" spans="1:27" x14ac:dyDescent="0.25">
      <c r="A55" s="88">
        <v>50</v>
      </c>
      <c r="B55" s="91">
        <v>30</v>
      </c>
      <c r="C55" s="91">
        <v>30</v>
      </c>
      <c r="D55" s="91">
        <v>30</v>
      </c>
      <c r="E55" s="91">
        <v>30</v>
      </c>
      <c r="F55" s="91">
        <v>30</v>
      </c>
      <c r="G55" s="91">
        <v>30</v>
      </c>
      <c r="H55" s="91">
        <v>30</v>
      </c>
      <c r="I55" s="91">
        <v>30</v>
      </c>
      <c r="J55" s="91">
        <v>30</v>
      </c>
      <c r="K55" s="91">
        <v>28.69</v>
      </c>
      <c r="L55" s="91">
        <v>25.56</v>
      </c>
      <c r="M55" s="91">
        <v>22.75</v>
      </c>
      <c r="N55" s="91">
        <v>20.25</v>
      </c>
      <c r="O55" s="91">
        <v>18.02</v>
      </c>
      <c r="P55" s="91">
        <v>16.03</v>
      </c>
      <c r="Q55" s="91">
        <v>14.28</v>
      </c>
      <c r="R55" s="91">
        <v>12.72</v>
      </c>
      <c r="S55" s="91">
        <v>11.35</v>
      </c>
      <c r="T55" s="91">
        <v>10.14</v>
      </c>
      <c r="U55" s="91">
        <v>9.07</v>
      </c>
      <c r="V55" s="91">
        <v>8.1300000000000008</v>
      </c>
      <c r="W55" s="91">
        <v>7.3</v>
      </c>
      <c r="X55" s="91">
        <v>6.56</v>
      </c>
      <c r="Y55" s="91">
        <v>5.91</v>
      </c>
      <c r="Z55" s="91">
        <v>5.33</v>
      </c>
      <c r="AA55" s="91">
        <v>4.82</v>
      </c>
    </row>
    <row r="56" spans="1:27" x14ac:dyDescent="0.25">
      <c r="A56" s="88">
        <v>51</v>
      </c>
      <c r="B56" s="91">
        <v>30</v>
      </c>
      <c r="C56" s="91">
        <v>30</v>
      </c>
      <c r="D56" s="91">
        <v>30</v>
      </c>
      <c r="E56" s="91">
        <v>30</v>
      </c>
      <c r="F56" s="91">
        <v>30</v>
      </c>
      <c r="G56" s="91">
        <v>30</v>
      </c>
      <c r="H56" s="91">
        <v>30</v>
      </c>
      <c r="I56" s="91">
        <v>30</v>
      </c>
      <c r="J56" s="91">
        <v>30</v>
      </c>
      <c r="K56" s="91">
        <v>30</v>
      </c>
      <c r="L56" s="91">
        <v>28.02</v>
      </c>
      <c r="M56" s="91">
        <v>24.94</v>
      </c>
      <c r="N56" s="91">
        <v>22.18</v>
      </c>
      <c r="O56" s="91">
        <v>19.72</v>
      </c>
      <c r="P56" s="91">
        <v>17.53</v>
      </c>
      <c r="Q56" s="91">
        <v>15.59</v>
      </c>
      <c r="R56" s="91">
        <v>13.88</v>
      </c>
      <c r="S56" s="91">
        <v>12.36</v>
      </c>
      <c r="T56" s="91">
        <v>11.02</v>
      </c>
      <c r="U56" s="91">
        <v>9.84</v>
      </c>
      <c r="V56" s="91">
        <v>8.8000000000000007</v>
      </c>
      <c r="W56" s="91">
        <v>7.88</v>
      </c>
      <c r="X56" s="91">
        <v>7.06</v>
      </c>
      <c r="Y56" s="91">
        <v>6.34</v>
      </c>
      <c r="Z56" s="91">
        <v>5.71</v>
      </c>
      <c r="AA56" s="91">
        <v>5.15</v>
      </c>
    </row>
    <row r="57" spans="1:27" x14ac:dyDescent="0.25">
      <c r="A57" s="88">
        <v>52</v>
      </c>
      <c r="B57" s="91">
        <v>30</v>
      </c>
      <c r="C57" s="91">
        <v>30</v>
      </c>
      <c r="D57" s="91">
        <v>30</v>
      </c>
      <c r="E57" s="91">
        <v>30</v>
      </c>
      <c r="F57" s="91">
        <v>30</v>
      </c>
      <c r="G57" s="91">
        <v>30</v>
      </c>
      <c r="H57" s="91">
        <v>30</v>
      </c>
      <c r="I57" s="91">
        <v>30</v>
      </c>
      <c r="J57" s="91">
        <v>30</v>
      </c>
      <c r="K57" s="91">
        <v>30</v>
      </c>
      <c r="L57" s="91">
        <v>29.65</v>
      </c>
      <c r="M57" s="91">
        <v>27.35</v>
      </c>
      <c r="N57" s="91">
        <v>24.32</v>
      </c>
      <c r="O57" s="91">
        <v>21.62</v>
      </c>
      <c r="P57" s="91">
        <v>19.2</v>
      </c>
      <c r="Q57" s="91">
        <v>17.059999999999999</v>
      </c>
      <c r="R57" s="91">
        <v>15.16</v>
      </c>
      <c r="S57" s="91">
        <v>13.49</v>
      </c>
      <c r="T57" s="91">
        <v>12</v>
      </c>
      <c r="U57" s="91">
        <v>10.7</v>
      </c>
      <c r="V57" s="91">
        <v>9.5399999999999991</v>
      </c>
      <c r="W57" s="91">
        <v>8.52</v>
      </c>
      <c r="X57" s="91">
        <v>7.62</v>
      </c>
      <c r="Y57" s="91">
        <v>6.83</v>
      </c>
      <c r="Z57" s="91">
        <v>6.13</v>
      </c>
      <c r="AA57" s="91">
        <v>5.52</v>
      </c>
    </row>
    <row r="58" spans="1:27" x14ac:dyDescent="0.25">
      <c r="A58" s="88">
        <v>53</v>
      </c>
      <c r="B58" s="91">
        <v>30</v>
      </c>
      <c r="C58" s="91">
        <v>30</v>
      </c>
      <c r="D58" s="91">
        <v>30</v>
      </c>
      <c r="E58" s="91">
        <v>30</v>
      </c>
      <c r="F58" s="91">
        <v>30</v>
      </c>
      <c r="G58" s="91">
        <v>30</v>
      </c>
      <c r="H58" s="91">
        <v>30</v>
      </c>
      <c r="I58" s="91">
        <v>30</v>
      </c>
      <c r="J58" s="91">
        <v>30</v>
      </c>
      <c r="K58" s="91">
        <v>30</v>
      </c>
      <c r="L58" s="91">
        <v>30</v>
      </c>
      <c r="M58" s="91">
        <v>29.31</v>
      </c>
      <c r="N58" s="91">
        <v>26.69</v>
      </c>
      <c r="O58" s="91">
        <v>23.72</v>
      </c>
      <c r="P58" s="91">
        <v>21.06</v>
      </c>
      <c r="Q58" s="91">
        <v>18.7</v>
      </c>
      <c r="R58" s="91">
        <v>16.600000000000001</v>
      </c>
      <c r="S58" s="91">
        <v>14.74</v>
      </c>
      <c r="T58" s="91">
        <v>13.1</v>
      </c>
      <c r="U58" s="91">
        <v>11.65</v>
      </c>
      <c r="V58" s="91">
        <v>10.37</v>
      </c>
      <c r="W58" s="91">
        <v>9.25</v>
      </c>
      <c r="X58" s="91">
        <v>8.25</v>
      </c>
      <c r="Y58" s="91">
        <v>7.38</v>
      </c>
      <c r="Z58" s="91">
        <v>6.61</v>
      </c>
      <c r="AA58" s="91">
        <v>5.93</v>
      </c>
    </row>
    <row r="59" spans="1:27" x14ac:dyDescent="0.25">
      <c r="A59" s="88">
        <v>54</v>
      </c>
      <c r="B59" s="91">
        <v>30</v>
      </c>
      <c r="C59" s="91">
        <v>30</v>
      </c>
      <c r="D59" s="91">
        <v>30</v>
      </c>
      <c r="E59" s="91">
        <v>30</v>
      </c>
      <c r="F59" s="91">
        <v>30</v>
      </c>
      <c r="G59" s="91">
        <v>30</v>
      </c>
      <c r="H59" s="91">
        <v>30</v>
      </c>
      <c r="I59" s="91">
        <v>30</v>
      </c>
      <c r="J59" s="91">
        <v>30</v>
      </c>
      <c r="K59" s="91">
        <v>30</v>
      </c>
      <c r="L59" s="91">
        <v>30</v>
      </c>
      <c r="M59" s="91">
        <v>30</v>
      </c>
      <c r="N59" s="91">
        <v>28.97</v>
      </c>
      <c r="O59" s="91">
        <v>26.05</v>
      </c>
      <c r="P59" s="91">
        <v>23.12</v>
      </c>
      <c r="Q59" s="91">
        <v>20.52</v>
      </c>
      <c r="R59" s="91">
        <v>18.2</v>
      </c>
      <c r="S59" s="91">
        <v>16.149999999999999</v>
      </c>
      <c r="T59" s="91">
        <v>14.33</v>
      </c>
      <c r="U59" s="91">
        <v>12.73</v>
      </c>
      <c r="V59" s="91">
        <v>11.31</v>
      </c>
      <c r="W59" s="91">
        <v>10.06</v>
      </c>
      <c r="X59" s="91">
        <v>8.9600000000000009</v>
      </c>
      <c r="Y59" s="91">
        <v>7.99</v>
      </c>
      <c r="Z59" s="91">
        <v>7.14</v>
      </c>
      <c r="AA59" s="91">
        <v>6.39</v>
      </c>
    </row>
    <row r="60" spans="1:27" x14ac:dyDescent="0.25">
      <c r="A60" s="88">
        <v>55</v>
      </c>
      <c r="B60" s="91">
        <v>30</v>
      </c>
      <c r="C60" s="91">
        <v>30</v>
      </c>
      <c r="D60" s="91">
        <v>30</v>
      </c>
      <c r="E60" s="91">
        <v>30</v>
      </c>
      <c r="F60" s="91">
        <v>30</v>
      </c>
      <c r="G60" s="91">
        <v>30</v>
      </c>
      <c r="H60" s="91">
        <v>30</v>
      </c>
      <c r="I60" s="91">
        <v>30</v>
      </c>
      <c r="J60" s="91">
        <v>30</v>
      </c>
      <c r="K60" s="91">
        <v>30</v>
      </c>
      <c r="L60" s="91">
        <v>30</v>
      </c>
      <c r="M60" s="91">
        <v>30</v>
      </c>
      <c r="N60" s="91">
        <v>30</v>
      </c>
      <c r="O60" s="91">
        <v>28.63</v>
      </c>
      <c r="P60" s="91">
        <v>25.41</v>
      </c>
      <c r="Q60" s="91">
        <v>22.54</v>
      </c>
      <c r="R60" s="91">
        <v>19.989999999999998</v>
      </c>
      <c r="S60" s="91">
        <v>17.72</v>
      </c>
      <c r="T60" s="91">
        <v>15.71</v>
      </c>
      <c r="U60" s="91">
        <v>13.93</v>
      </c>
      <c r="V60" s="91">
        <v>12.36</v>
      </c>
      <c r="W60" s="91">
        <v>10.97</v>
      </c>
      <c r="X60" s="91">
        <v>9.75</v>
      </c>
      <c r="Y60" s="91">
        <v>8.68</v>
      </c>
      <c r="Z60" s="91">
        <v>7.73</v>
      </c>
      <c r="AA60" s="91">
        <v>6.9</v>
      </c>
    </row>
    <row r="61" spans="1:27" x14ac:dyDescent="0.25">
      <c r="A61" s="88">
        <v>56</v>
      </c>
      <c r="B61" s="91">
        <v>30</v>
      </c>
      <c r="C61" s="91">
        <v>30</v>
      </c>
      <c r="D61" s="91">
        <v>30</v>
      </c>
      <c r="E61" s="91">
        <v>30</v>
      </c>
      <c r="F61" s="91">
        <v>30</v>
      </c>
      <c r="G61" s="91">
        <v>30</v>
      </c>
      <c r="H61" s="91">
        <v>30</v>
      </c>
      <c r="I61" s="91">
        <v>30</v>
      </c>
      <c r="J61" s="91">
        <v>30</v>
      </c>
      <c r="K61" s="91">
        <v>30</v>
      </c>
      <c r="L61" s="91">
        <v>30</v>
      </c>
      <c r="M61" s="91">
        <v>30</v>
      </c>
      <c r="N61" s="91">
        <v>30</v>
      </c>
      <c r="O61" s="91">
        <v>29.99</v>
      </c>
      <c r="P61" s="91">
        <v>27.94</v>
      </c>
      <c r="Q61" s="91">
        <v>24.79</v>
      </c>
      <c r="R61" s="91">
        <v>21.97</v>
      </c>
      <c r="S61" s="91">
        <v>19.47</v>
      </c>
      <c r="T61" s="91">
        <v>17.239999999999998</v>
      </c>
      <c r="U61" s="91">
        <v>15.27</v>
      </c>
      <c r="V61" s="91">
        <v>13.53</v>
      </c>
      <c r="W61" s="91">
        <v>11.99</v>
      </c>
      <c r="X61" s="91">
        <v>10.64</v>
      </c>
      <c r="Y61" s="91">
        <v>9.4499999999999993</v>
      </c>
      <c r="Z61" s="91">
        <v>8.4</v>
      </c>
      <c r="AA61" s="91">
        <v>7.48</v>
      </c>
    </row>
    <row r="62" spans="1:27" x14ac:dyDescent="0.25">
      <c r="A62" s="88">
        <v>57</v>
      </c>
      <c r="B62" s="91">
        <v>30</v>
      </c>
      <c r="C62" s="91">
        <v>30</v>
      </c>
      <c r="D62" s="91">
        <v>30</v>
      </c>
      <c r="E62" s="91">
        <v>30</v>
      </c>
      <c r="F62" s="91">
        <v>30</v>
      </c>
      <c r="G62" s="91">
        <v>30</v>
      </c>
      <c r="H62" s="91">
        <v>30</v>
      </c>
      <c r="I62" s="91">
        <v>30</v>
      </c>
      <c r="J62" s="91">
        <v>30</v>
      </c>
      <c r="K62" s="91">
        <v>30</v>
      </c>
      <c r="L62" s="91">
        <v>30</v>
      </c>
      <c r="M62" s="91">
        <v>30</v>
      </c>
      <c r="N62" s="91">
        <v>30</v>
      </c>
      <c r="O62" s="91">
        <v>30</v>
      </c>
      <c r="P62" s="91">
        <v>29.64</v>
      </c>
      <c r="Q62" s="91">
        <v>27.29</v>
      </c>
      <c r="R62" s="91">
        <v>24.18</v>
      </c>
      <c r="S62" s="91">
        <v>21.42</v>
      </c>
      <c r="T62" s="91">
        <v>18.96</v>
      </c>
      <c r="U62" s="91">
        <v>16.78</v>
      </c>
      <c r="V62" s="91">
        <v>14.84</v>
      </c>
      <c r="W62" s="91">
        <v>13.14</v>
      </c>
      <c r="X62" s="91">
        <v>11.64</v>
      </c>
      <c r="Y62" s="91">
        <v>10.31</v>
      </c>
      <c r="Z62" s="91">
        <v>9.15</v>
      </c>
      <c r="AA62" s="91">
        <v>8.1300000000000008</v>
      </c>
    </row>
    <row r="63" spans="1:27" x14ac:dyDescent="0.25">
      <c r="A63" s="88">
        <v>58</v>
      </c>
      <c r="B63" s="91">
        <v>30</v>
      </c>
      <c r="C63" s="91">
        <v>30</v>
      </c>
      <c r="D63" s="91">
        <v>30</v>
      </c>
      <c r="E63" s="91">
        <v>30</v>
      </c>
      <c r="F63" s="91">
        <v>30</v>
      </c>
      <c r="G63" s="91">
        <v>30</v>
      </c>
      <c r="H63" s="91">
        <v>30</v>
      </c>
      <c r="I63" s="91">
        <v>30</v>
      </c>
      <c r="J63" s="91">
        <v>30</v>
      </c>
      <c r="K63" s="91">
        <v>30</v>
      </c>
      <c r="L63" s="91">
        <v>30</v>
      </c>
      <c r="M63" s="91">
        <v>30</v>
      </c>
      <c r="N63" s="91">
        <v>30</v>
      </c>
      <c r="O63" s="91">
        <v>30</v>
      </c>
      <c r="P63" s="91">
        <v>30</v>
      </c>
      <c r="Q63" s="91">
        <v>29.3</v>
      </c>
      <c r="R63" s="91">
        <v>26.64</v>
      </c>
      <c r="S63" s="91">
        <v>23.59</v>
      </c>
      <c r="T63" s="91">
        <v>20.87</v>
      </c>
      <c r="U63" s="91">
        <v>18.46</v>
      </c>
      <c r="V63" s="91">
        <v>16.32</v>
      </c>
      <c r="W63" s="91">
        <v>14.43</v>
      </c>
      <c r="X63" s="91">
        <v>12.76</v>
      </c>
      <c r="Y63" s="91">
        <v>11.29</v>
      </c>
      <c r="Z63" s="91">
        <v>9.99</v>
      </c>
      <c r="AA63" s="91">
        <v>8.86</v>
      </c>
    </row>
    <row r="64" spans="1:27" x14ac:dyDescent="0.25">
      <c r="A64" s="88">
        <v>59</v>
      </c>
      <c r="B64" s="91">
        <v>30</v>
      </c>
      <c r="C64" s="91">
        <v>30</v>
      </c>
      <c r="D64" s="91">
        <v>30</v>
      </c>
      <c r="E64" s="91">
        <v>30</v>
      </c>
      <c r="F64" s="91">
        <v>30</v>
      </c>
      <c r="G64" s="91">
        <v>30</v>
      </c>
      <c r="H64" s="91">
        <v>30</v>
      </c>
      <c r="I64" s="91">
        <v>30</v>
      </c>
      <c r="J64" s="91">
        <v>30</v>
      </c>
      <c r="K64" s="91">
        <v>30</v>
      </c>
      <c r="L64" s="91">
        <v>30</v>
      </c>
      <c r="M64" s="91">
        <v>30</v>
      </c>
      <c r="N64" s="91">
        <v>30</v>
      </c>
      <c r="O64" s="91">
        <v>30</v>
      </c>
      <c r="P64" s="91">
        <v>30</v>
      </c>
      <c r="Q64" s="91">
        <v>30</v>
      </c>
      <c r="R64" s="91">
        <v>28.97</v>
      </c>
      <c r="S64" s="91">
        <v>26.01</v>
      </c>
      <c r="T64" s="91">
        <v>23.01</v>
      </c>
      <c r="U64" s="91">
        <v>20.34</v>
      </c>
      <c r="V64" s="91">
        <v>17.97</v>
      </c>
      <c r="W64" s="91">
        <v>15.87</v>
      </c>
      <c r="X64" s="91">
        <v>14.01</v>
      </c>
      <c r="Y64" s="91">
        <v>12.38</v>
      </c>
      <c r="Z64" s="91">
        <v>10.94</v>
      </c>
      <c r="AA64" s="91">
        <v>9.68</v>
      </c>
    </row>
    <row r="65" spans="1:27" x14ac:dyDescent="0.25">
      <c r="A65" s="88">
        <v>60</v>
      </c>
      <c r="B65" s="91">
        <v>30</v>
      </c>
      <c r="C65" s="91">
        <v>30</v>
      </c>
      <c r="D65" s="91">
        <v>30</v>
      </c>
      <c r="E65" s="91">
        <v>30</v>
      </c>
      <c r="F65" s="91">
        <v>30</v>
      </c>
      <c r="G65" s="91">
        <v>30</v>
      </c>
      <c r="H65" s="91">
        <v>30</v>
      </c>
      <c r="I65" s="91">
        <v>30</v>
      </c>
      <c r="J65" s="91">
        <v>30</v>
      </c>
      <c r="K65" s="91">
        <v>30</v>
      </c>
      <c r="L65" s="91">
        <v>30</v>
      </c>
      <c r="M65" s="91">
        <v>30</v>
      </c>
      <c r="N65" s="91">
        <v>30</v>
      </c>
      <c r="O65" s="91">
        <v>30</v>
      </c>
      <c r="P65" s="91">
        <v>30</v>
      </c>
      <c r="Q65" s="91">
        <v>30</v>
      </c>
      <c r="R65" s="91">
        <v>30</v>
      </c>
      <c r="S65" s="91">
        <v>28.64</v>
      </c>
      <c r="T65" s="91">
        <v>25.39</v>
      </c>
      <c r="U65" s="91">
        <v>22.44</v>
      </c>
      <c r="V65" s="91">
        <v>19.809999999999999</v>
      </c>
      <c r="W65" s="91">
        <v>17.48</v>
      </c>
      <c r="X65" s="91">
        <v>15.42</v>
      </c>
      <c r="Y65" s="91">
        <v>13.61</v>
      </c>
      <c r="Z65" s="91">
        <v>12.01</v>
      </c>
      <c r="AA65" s="91">
        <v>10.61</v>
      </c>
    </row>
    <row r="66" spans="1:27" x14ac:dyDescent="0.25">
      <c r="A66" s="88">
        <v>61</v>
      </c>
      <c r="B66" s="91">
        <v>30</v>
      </c>
      <c r="C66" s="91">
        <v>30</v>
      </c>
      <c r="D66" s="91">
        <v>30</v>
      </c>
      <c r="E66" s="91">
        <v>30</v>
      </c>
      <c r="F66" s="91">
        <v>30</v>
      </c>
      <c r="G66" s="91">
        <v>30</v>
      </c>
      <c r="H66" s="91">
        <v>30</v>
      </c>
      <c r="I66" s="91">
        <v>30</v>
      </c>
      <c r="J66" s="91">
        <v>30</v>
      </c>
      <c r="K66" s="91">
        <v>30</v>
      </c>
      <c r="L66" s="91">
        <v>30</v>
      </c>
      <c r="M66" s="91">
        <v>30</v>
      </c>
      <c r="N66" s="91">
        <v>30</v>
      </c>
      <c r="O66" s="91">
        <v>30</v>
      </c>
      <c r="P66" s="91">
        <v>30</v>
      </c>
      <c r="Q66" s="91">
        <v>30</v>
      </c>
      <c r="R66" s="91">
        <v>30</v>
      </c>
      <c r="S66" s="91">
        <v>30</v>
      </c>
      <c r="T66" s="91">
        <v>28.04</v>
      </c>
      <c r="U66" s="91">
        <v>24.78</v>
      </c>
      <c r="V66" s="91">
        <v>21.87</v>
      </c>
      <c r="W66" s="91">
        <v>19.29</v>
      </c>
      <c r="X66" s="91">
        <v>17.010000000000002</v>
      </c>
      <c r="Y66" s="91">
        <v>14.99</v>
      </c>
      <c r="Z66" s="91">
        <v>13.21</v>
      </c>
      <c r="AA66" s="91">
        <v>11.65</v>
      </c>
    </row>
    <row r="67" spans="1:27" x14ac:dyDescent="0.25">
      <c r="A67" s="88">
        <v>62</v>
      </c>
      <c r="B67" s="91">
        <v>30</v>
      </c>
      <c r="C67" s="91">
        <v>30</v>
      </c>
      <c r="D67" s="91">
        <v>30</v>
      </c>
      <c r="E67" s="91">
        <v>30</v>
      </c>
      <c r="F67" s="91">
        <v>30</v>
      </c>
      <c r="G67" s="91">
        <v>30</v>
      </c>
      <c r="H67" s="91">
        <v>30</v>
      </c>
      <c r="I67" s="91">
        <v>30</v>
      </c>
      <c r="J67" s="91">
        <v>30</v>
      </c>
      <c r="K67" s="91">
        <v>30</v>
      </c>
      <c r="L67" s="91">
        <v>30</v>
      </c>
      <c r="M67" s="91">
        <v>30</v>
      </c>
      <c r="N67" s="91">
        <v>30</v>
      </c>
      <c r="O67" s="91">
        <v>30</v>
      </c>
      <c r="P67" s="91">
        <v>30</v>
      </c>
      <c r="Q67" s="91">
        <v>30</v>
      </c>
      <c r="R67" s="91">
        <v>30</v>
      </c>
      <c r="S67" s="91">
        <v>30</v>
      </c>
      <c r="T67" s="91">
        <v>29.72</v>
      </c>
      <c r="U67" s="91">
        <v>27.39</v>
      </c>
      <c r="V67" s="91">
        <v>24.18</v>
      </c>
      <c r="W67" s="91">
        <v>21.32</v>
      </c>
      <c r="X67" s="91">
        <v>18.78</v>
      </c>
      <c r="Y67" s="91">
        <v>16.54</v>
      </c>
      <c r="Z67" s="91">
        <v>14.56</v>
      </c>
      <c r="AA67" s="91">
        <v>12.82</v>
      </c>
    </row>
    <row r="68" spans="1:27" x14ac:dyDescent="0.25">
      <c r="A68" s="88">
        <v>63</v>
      </c>
      <c r="B68" s="91">
        <v>30</v>
      </c>
      <c r="C68" s="91">
        <v>30</v>
      </c>
      <c r="D68" s="91">
        <v>30</v>
      </c>
      <c r="E68" s="91">
        <v>30</v>
      </c>
      <c r="F68" s="91">
        <v>30</v>
      </c>
      <c r="G68" s="91">
        <v>30</v>
      </c>
      <c r="H68" s="91">
        <v>30</v>
      </c>
      <c r="I68" s="91">
        <v>30</v>
      </c>
      <c r="J68" s="91">
        <v>30</v>
      </c>
      <c r="K68" s="91">
        <v>30</v>
      </c>
      <c r="L68" s="91">
        <v>30</v>
      </c>
      <c r="M68" s="91">
        <v>30</v>
      </c>
      <c r="N68" s="91">
        <v>30</v>
      </c>
      <c r="O68" s="91">
        <v>30</v>
      </c>
      <c r="P68" s="91">
        <v>30</v>
      </c>
      <c r="Q68" s="91">
        <v>30</v>
      </c>
      <c r="R68" s="91">
        <v>30</v>
      </c>
      <c r="S68" s="91">
        <v>30</v>
      </c>
      <c r="T68" s="91">
        <v>30</v>
      </c>
      <c r="U68" s="91">
        <v>29.39</v>
      </c>
      <c r="V68" s="91">
        <v>26.76</v>
      </c>
      <c r="W68" s="91">
        <v>23.59</v>
      </c>
      <c r="X68" s="91">
        <v>20.78</v>
      </c>
      <c r="Y68" s="91">
        <v>18.28</v>
      </c>
      <c r="Z68" s="91">
        <v>16.079999999999998</v>
      </c>
      <c r="AA68" s="91">
        <v>14.14</v>
      </c>
    </row>
    <row r="69" spans="1:27" x14ac:dyDescent="0.25">
      <c r="A69" s="88">
        <v>64</v>
      </c>
      <c r="B69" s="91">
        <v>30</v>
      </c>
      <c r="C69" s="91">
        <v>30</v>
      </c>
      <c r="D69" s="91">
        <v>30</v>
      </c>
      <c r="E69" s="91">
        <v>30</v>
      </c>
      <c r="F69" s="91">
        <v>30</v>
      </c>
      <c r="G69" s="91">
        <v>30</v>
      </c>
      <c r="H69" s="91">
        <v>30</v>
      </c>
      <c r="I69" s="91">
        <v>30</v>
      </c>
      <c r="J69" s="91">
        <v>30</v>
      </c>
      <c r="K69" s="91">
        <v>30</v>
      </c>
      <c r="L69" s="91">
        <v>30</v>
      </c>
      <c r="M69" s="91">
        <v>30</v>
      </c>
      <c r="N69" s="91">
        <v>30</v>
      </c>
      <c r="O69" s="91">
        <v>30</v>
      </c>
      <c r="P69" s="91">
        <v>30</v>
      </c>
      <c r="Q69" s="91">
        <v>30</v>
      </c>
      <c r="R69" s="91">
        <v>30</v>
      </c>
      <c r="S69" s="91">
        <v>30</v>
      </c>
      <c r="T69" s="91">
        <v>30</v>
      </c>
      <c r="U69" s="91">
        <v>30</v>
      </c>
      <c r="V69" s="91">
        <v>29.06</v>
      </c>
      <c r="W69" s="91">
        <v>26.13</v>
      </c>
      <c r="X69" s="91">
        <v>23.01</v>
      </c>
      <c r="Y69" s="91">
        <v>20.239999999999998</v>
      </c>
      <c r="Z69" s="91">
        <v>17.79</v>
      </c>
      <c r="AA69" s="91">
        <v>15.63</v>
      </c>
    </row>
    <row r="70" spans="1:27" x14ac:dyDescent="0.25">
      <c r="A70" s="88">
        <v>65</v>
      </c>
      <c r="B70" s="91">
        <v>30</v>
      </c>
      <c r="C70" s="91">
        <v>30</v>
      </c>
      <c r="D70" s="91">
        <v>30</v>
      </c>
      <c r="E70" s="91">
        <v>30</v>
      </c>
      <c r="F70" s="91">
        <v>30</v>
      </c>
      <c r="G70" s="91">
        <v>30</v>
      </c>
      <c r="H70" s="91">
        <v>30</v>
      </c>
      <c r="I70" s="91">
        <v>30</v>
      </c>
      <c r="J70" s="91">
        <v>30</v>
      </c>
      <c r="K70" s="91">
        <v>30</v>
      </c>
      <c r="L70" s="91">
        <v>30</v>
      </c>
      <c r="M70" s="91">
        <v>30</v>
      </c>
      <c r="N70" s="91">
        <v>30</v>
      </c>
      <c r="O70" s="91">
        <v>30</v>
      </c>
      <c r="P70" s="91">
        <v>30</v>
      </c>
      <c r="Q70" s="91">
        <v>30</v>
      </c>
      <c r="R70" s="91">
        <v>30</v>
      </c>
      <c r="S70" s="91">
        <v>30</v>
      </c>
      <c r="T70" s="91">
        <v>30</v>
      </c>
      <c r="U70" s="91">
        <v>30</v>
      </c>
      <c r="V70" s="91">
        <v>30</v>
      </c>
      <c r="W70" s="91">
        <v>28.74</v>
      </c>
      <c r="X70" s="91">
        <v>25.51</v>
      </c>
      <c r="Y70" s="91">
        <v>22.44</v>
      </c>
      <c r="Z70" s="91">
        <v>19.71</v>
      </c>
      <c r="AA70" s="91">
        <v>17.309999999999999</v>
      </c>
    </row>
    <row r="71" spans="1:27" x14ac:dyDescent="0.25">
      <c r="A71" s="88">
        <v>66</v>
      </c>
      <c r="B71" s="91">
        <v>30</v>
      </c>
      <c r="C71" s="91">
        <v>30</v>
      </c>
      <c r="D71" s="91">
        <v>30</v>
      </c>
      <c r="E71" s="91">
        <v>30</v>
      </c>
      <c r="F71" s="91">
        <v>30</v>
      </c>
      <c r="G71" s="91">
        <v>30</v>
      </c>
      <c r="H71" s="91">
        <v>30</v>
      </c>
      <c r="I71" s="91">
        <v>30</v>
      </c>
      <c r="J71" s="91">
        <v>30</v>
      </c>
      <c r="K71" s="91">
        <v>30</v>
      </c>
      <c r="L71" s="91">
        <v>30</v>
      </c>
      <c r="M71" s="91">
        <v>30</v>
      </c>
      <c r="N71" s="91">
        <v>30</v>
      </c>
      <c r="O71" s="91">
        <v>30</v>
      </c>
      <c r="P71" s="91">
        <v>30</v>
      </c>
      <c r="Q71" s="91">
        <v>30</v>
      </c>
      <c r="R71" s="91">
        <v>30</v>
      </c>
      <c r="S71" s="91">
        <v>30</v>
      </c>
      <c r="T71" s="91">
        <v>30</v>
      </c>
      <c r="U71" s="91">
        <v>30</v>
      </c>
      <c r="V71" s="91">
        <v>30</v>
      </c>
      <c r="W71" s="91">
        <v>30</v>
      </c>
      <c r="X71" s="91">
        <v>28.32</v>
      </c>
      <c r="Y71" s="91">
        <v>24.9</v>
      </c>
      <c r="Z71" s="91">
        <v>21.87</v>
      </c>
      <c r="AA71" s="91">
        <v>19.190000000000001</v>
      </c>
    </row>
    <row r="72" spans="1:27" x14ac:dyDescent="0.25">
      <c r="A72" s="88">
        <v>67</v>
      </c>
      <c r="B72" s="91">
        <v>30</v>
      </c>
      <c r="C72" s="91">
        <v>30</v>
      </c>
      <c r="D72" s="91">
        <v>30</v>
      </c>
      <c r="E72" s="91">
        <v>30</v>
      </c>
      <c r="F72" s="91">
        <v>30</v>
      </c>
      <c r="G72" s="91">
        <v>30</v>
      </c>
      <c r="H72" s="91">
        <v>30</v>
      </c>
      <c r="I72" s="91">
        <v>30</v>
      </c>
      <c r="J72" s="91">
        <v>30</v>
      </c>
      <c r="K72" s="91">
        <v>30</v>
      </c>
      <c r="L72" s="91">
        <v>30</v>
      </c>
      <c r="M72" s="91">
        <v>30</v>
      </c>
      <c r="N72" s="91">
        <v>30</v>
      </c>
      <c r="O72" s="91">
        <v>30</v>
      </c>
      <c r="P72" s="91">
        <v>30</v>
      </c>
      <c r="Q72" s="91">
        <v>30</v>
      </c>
      <c r="R72" s="91">
        <v>30</v>
      </c>
      <c r="S72" s="91">
        <v>30</v>
      </c>
      <c r="T72" s="91">
        <v>30</v>
      </c>
      <c r="U72" s="91">
        <v>30</v>
      </c>
      <c r="V72" s="91">
        <v>30</v>
      </c>
      <c r="W72" s="91">
        <v>30</v>
      </c>
      <c r="X72" s="91">
        <v>29.9</v>
      </c>
      <c r="Y72" s="91">
        <v>27.68</v>
      </c>
      <c r="Z72" s="91">
        <v>24.31</v>
      </c>
      <c r="AA72" s="91">
        <v>21.32</v>
      </c>
    </row>
    <row r="73" spans="1:27" x14ac:dyDescent="0.25">
      <c r="A73" s="88">
        <v>68</v>
      </c>
      <c r="B73" s="91">
        <v>30</v>
      </c>
      <c r="C73" s="91">
        <v>30</v>
      </c>
      <c r="D73" s="91">
        <v>30</v>
      </c>
      <c r="E73" s="91">
        <v>30</v>
      </c>
      <c r="F73" s="91">
        <v>30</v>
      </c>
      <c r="G73" s="91">
        <v>30</v>
      </c>
      <c r="H73" s="91">
        <v>30</v>
      </c>
      <c r="I73" s="91">
        <v>30</v>
      </c>
      <c r="J73" s="91">
        <v>30</v>
      </c>
      <c r="K73" s="91">
        <v>30</v>
      </c>
      <c r="L73" s="91">
        <v>30</v>
      </c>
      <c r="M73" s="91">
        <v>30</v>
      </c>
      <c r="N73" s="91">
        <v>30</v>
      </c>
      <c r="O73" s="91">
        <v>30</v>
      </c>
      <c r="P73" s="91">
        <v>30</v>
      </c>
      <c r="Q73" s="91">
        <v>30</v>
      </c>
      <c r="R73" s="91">
        <v>30</v>
      </c>
      <c r="S73" s="91">
        <v>30</v>
      </c>
      <c r="T73" s="91">
        <v>30</v>
      </c>
      <c r="U73" s="91">
        <v>30</v>
      </c>
      <c r="V73" s="91">
        <v>30</v>
      </c>
      <c r="W73" s="91">
        <v>30</v>
      </c>
      <c r="X73" s="91">
        <v>30</v>
      </c>
      <c r="Y73" s="91">
        <v>29.57</v>
      </c>
      <c r="Z73" s="91">
        <v>27.05</v>
      </c>
      <c r="AA73" s="91">
        <v>23.72</v>
      </c>
    </row>
    <row r="74" spans="1:27" x14ac:dyDescent="0.25">
      <c r="A74" s="88">
        <v>69</v>
      </c>
      <c r="B74" s="91">
        <v>30</v>
      </c>
      <c r="C74" s="91">
        <v>30</v>
      </c>
      <c r="D74" s="91">
        <v>30</v>
      </c>
      <c r="E74" s="91">
        <v>30</v>
      </c>
      <c r="F74" s="91">
        <v>30</v>
      </c>
      <c r="G74" s="91">
        <v>30</v>
      </c>
      <c r="H74" s="91">
        <v>30</v>
      </c>
      <c r="I74" s="91">
        <v>30</v>
      </c>
      <c r="J74" s="91">
        <v>30</v>
      </c>
      <c r="K74" s="91">
        <v>30</v>
      </c>
      <c r="L74" s="91">
        <v>30</v>
      </c>
      <c r="M74" s="91">
        <v>30</v>
      </c>
      <c r="N74" s="91">
        <v>30</v>
      </c>
      <c r="O74" s="91">
        <v>30</v>
      </c>
      <c r="P74" s="91">
        <v>30</v>
      </c>
      <c r="Q74" s="91">
        <v>30</v>
      </c>
      <c r="R74" s="91">
        <v>30</v>
      </c>
      <c r="S74" s="91">
        <v>30</v>
      </c>
      <c r="T74" s="91">
        <v>30</v>
      </c>
      <c r="U74" s="91">
        <v>30</v>
      </c>
      <c r="V74" s="91">
        <v>30</v>
      </c>
      <c r="W74" s="91">
        <v>30</v>
      </c>
      <c r="X74" s="91">
        <v>30</v>
      </c>
      <c r="Y74" s="91">
        <v>30</v>
      </c>
      <c r="Z74" s="91">
        <v>29.25</v>
      </c>
      <c r="AA74" s="91">
        <v>26.43</v>
      </c>
    </row>
    <row r="75" spans="1:27" x14ac:dyDescent="0.25">
      <c r="A75" s="88">
        <v>70</v>
      </c>
      <c r="B75" s="91">
        <v>30</v>
      </c>
      <c r="C75" s="91">
        <v>30</v>
      </c>
      <c r="D75" s="91">
        <v>30</v>
      </c>
      <c r="E75" s="91">
        <v>30</v>
      </c>
      <c r="F75" s="91">
        <v>30</v>
      </c>
      <c r="G75" s="91">
        <v>30</v>
      </c>
      <c r="H75" s="91">
        <v>30</v>
      </c>
      <c r="I75" s="91">
        <v>30</v>
      </c>
      <c r="J75" s="91">
        <v>30</v>
      </c>
      <c r="K75" s="91">
        <v>30</v>
      </c>
      <c r="L75" s="91">
        <v>30</v>
      </c>
      <c r="M75" s="91">
        <v>30</v>
      </c>
      <c r="N75" s="91">
        <v>30</v>
      </c>
      <c r="O75" s="91">
        <v>30</v>
      </c>
      <c r="P75" s="91">
        <v>30</v>
      </c>
      <c r="Q75" s="91">
        <v>30</v>
      </c>
      <c r="R75" s="91">
        <v>30</v>
      </c>
      <c r="S75" s="91">
        <v>30</v>
      </c>
      <c r="T75" s="91">
        <v>30</v>
      </c>
      <c r="U75" s="91">
        <v>30</v>
      </c>
      <c r="V75" s="91">
        <v>30</v>
      </c>
      <c r="W75" s="91">
        <v>30</v>
      </c>
      <c r="X75" s="91">
        <v>30</v>
      </c>
      <c r="Y75" s="91">
        <v>30</v>
      </c>
      <c r="Z75" s="91">
        <v>30</v>
      </c>
      <c r="AA75" s="91">
        <v>28.93</v>
      </c>
    </row>
    <row r="76" spans="1:27" x14ac:dyDescent="0.25">
      <c r="A76" s="88">
        <v>71</v>
      </c>
      <c r="B76" s="91">
        <v>30</v>
      </c>
      <c r="C76" s="91">
        <v>30</v>
      </c>
      <c r="D76" s="91">
        <v>30</v>
      </c>
      <c r="E76" s="91">
        <v>30</v>
      </c>
      <c r="F76" s="91">
        <v>30</v>
      </c>
      <c r="G76" s="91">
        <v>30</v>
      </c>
      <c r="H76" s="91">
        <v>30</v>
      </c>
      <c r="I76" s="91">
        <v>30</v>
      </c>
      <c r="J76" s="91">
        <v>30</v>
      </c>
      <c r="K76" s="91">
        <v>30</v>
      </c>
      <c r="L76" s="91">
        <v>30</v>
      </c>
      <c r="M76" s="91">
        <v>30</v>
      </c>
      <c r="N76" s="91">
        <v>30</v>
      </c>
      <c r="O76" s="91">
        <v>30</v>
      </c>
      <c r="P76" s="91">
        <v>30</v>
      </c>
      <c r="Q76" s="91">
        <v>30</v>
      </c>
      <c r="R76" s="91">
        <v>30</v>
      </c>
      <c r="S76" s="91">
        <v>30</v>
      </c>
      <c r="T76" s="91">
        <v>30</v>
      </c>
      <c r="U76" s="91">
        <v>30</v>
      </c>
      <c r="V76" s="91">
        <v>30</v>
      </c>
      <c r="W76" s="91">
        <v>30</v>
      </c>
      <c r="X76" s="91">
        <v>30</v>
      </c>
      <c r="Y76" s="91">
        <v>30</v>
      </c>
      <c r="Z76" s="91">
        <v>30</v>
      </c>
      <c r="AA76" s="91">
        <v>30</v>
      </c>
    </row>
    <row r="77" spans="1:27" x14ac:dyDescent="0.25">
      <c r="A77" s="88">
        <v>72</v>
      </c>
      <c r="B77" s="91">
        <v>30</v>
      </c>
      <c r="C77" s="91">
        <v>30</v>
      </c>
      <c r="D77" s="91">
        <v>30</v>
      </c>
      <c r="E77" s="91">
        <v>30</v>
      </c>
      <c r="F77" s="91">
        <v>30</v>
      </c>
      <c r="G77" s="91">
        <v>30</v>
      </c>
      <c r="H77" s="91">
        <v>30</v>
      </c>
      <c r="I77" s="91">
        <v>30</v>
      </c>
      <c r="J77" s="91">
        <v>30</v>
      </c>
      <c r="K77" s="91">
        <v>30</v>
      </c>
      <c r="L77" s="91">
        <v>30</v>
      </c>
      <c r="M77" s="91">
        <v>30</v>
      </c>
      <c r="N77" s="91">
        <v>30</v>
      </c>
      <c r="O77" s="91">
        <v>30</v>
      </c>
      <c r="P77" s="91">
        <v>30</v>
      </c>
      <c r="Q77" s="91">
        <v>30</v>
      </c>
      <c r="R77" s="91">
        <v>30</v>
      </c>
      <c r="S77" s="91">
        <v>30</v>
      </c>
      <c r="T77" s="91">
        <v>30</v>
      </c>
      <c r="U77" s="91">
        <v>30</v>
      </c>
      <c r="V77" s="91">
        <v>30</v>
      </c>
      <c r="W77" s="91">
        <v>30</v>
      </c>
      <c r="X77" s="91">
        <v>30</v>
      </c>
      <c r="Y77" s="91">
        <v>30</v>
      </c>
      <c r="Z77" s="91">
        <v>30</v>
      </c>
      <c r="AA77" s="91">
        <v>30</v>
      </c>
    </row>
    <row r="78" spans="1:27" x14ac:dyDescent="0.25">
      <c r="A78" s="88">
        <v>73</v>
      </c>
      <c r="B78" s="91">
        <v>30</v>
      </c>
      <c r="C78" s="91">
        <v>30</v>
      </c>
      <c r="D78" s="91">
        <v>30</v>
      </c>
      <c r="E78" s="91">
        <v>30</v>
      </c>
      <c r="F78" s="91">
        <v>30</v>
      </c>
      <c r="G78" s="91">
        <v>30</v>
      </c>
      <c r="H78" s="91">
        <v>30</v>
      </c>
      <c r="I78" s="91">
        <v>30</v>
      </c>
      <c r="J78" s="91">
        <v>30</v>
      </c>
      <c r="K78" s="91">
        <v>30</v>
      </c>
      <c r="L78" s="91">
        <v>30</v>
      </c>
      <c r="M78" s="91">
        <v>30</v>
      </c>
      <c r="N78" s="91">
        <v>30</v>
      </c>
      <c r="O78" s="91">
        <v>30</v>
      </c>
      <c r="P78" s="91">
        <v>30</v>
      </c>
      <c r="Q78" s="91">
        <v>30</v>
      </c>
      <c r="R78" s="91">
        <v>30</v>
      </c>
      <c r="S78" s="91">
        <v>30</v>
      </c>
      <c r="T78" s="91">
        <v>30</v>
      </c>
      <c r="U78" s="91">
        <v>30</v>
      </c>
      <c r="V78" s="91">
        <v>30</v>
      </c>
      <c r="W78" s="91">
        <v>30</v>
      </c>
      <c r="X78" s="91">
        <v>30</v>
      </c>
      <c r="Y78" s="91">
        <v>30</v>
      </c>
      <c r="Z78" s="91">
        <v>30</v>
      </c>
      <c r="AA78" s="91">
        <v>30</v>
      </c>
    </row>
    <row r="79" spans="1:27" x14ac:dyDescent="0.25">
      <c r="A79" s="88">
        <v>74</v>
      </c>
      <c r="B79" s="91">
        <v>30</v>
      </c>
      <c r="C79" s="91">
        <v>30</v>
      </c>
      <c r="D79" s="91">
        <v>30</v>
      </c>
      <c r="E79" s="91">
        <v>30</v>
      </c>
      <c r="F79" s="91">
        <v>30</v>
      </c>
      <c r="G79" s="91">
        <v>30</v>
      </c>
      <c r="H79" s="91">
        <v>30</v>
      </c>
      <c r="I79" s="91">
        <v>30</v>
      </c>
      <c r="J79" s="91">
        <v>30</v>
      </c>
      <c r="K79" s="91">
        <v>30</v>
      </c>
      <c r="L79" s="91">
        <v>30</v>
      </c>
      <c r="M79" s="91">
        <v>30</v>
      </c>
      <c r="N79" s="91">
        <v>30</v>
      </c>
      <c r="O79" s="91">
        <v>30</v>
      </c>
      <c r="P79" s="91">
        <v>30</v>
      </c>
      <c r="Q79" s="91">
        <v>30</v>
      </c>
      <c r="R79" s="91">
        <v>30</v>
      </c>
      <c r="S79" s="91">
        <v>30</v>
      </c>
      <c r="T79" s="91">
        <v>30</v>
      </c>
      <c r="U79" s="91">
        <v>30</v>
      </c>
      <c r="V79" s="91">
        <v>30</v>
      </c>
      <c r="W79" s="91">
        <v>30</v>
      </c>
      <c r="X79" s="91">
        <v>30</v>
      </c>
      <c r="Y79" s="91">
        <v>30</v>
      </c>
      <c r="Z79" s="91">
        <v>30</v>
      </c>
      <c r="AA79" s="91">
        <v>30</v>
      </c>
    </row>
    <row r="80" spans="1:27" x14ac:dyDescent="0.25">
      <c r="A80" s="88">
        <v>75</v>
      </c>
      <c r="B80" s="91">
        <v>30</v>
      </c>
      <c r="C80" s="91">
        <v>30</v>
      </c>
      <c r="D80" s="91">
        <v>30</v>
      </c>
      <c r="E80" s="91">
        <v>30</v>
      </c>
      <c r="F80" s="91">
        <v>30</v>
      </c>
      <c r="G80" s="91">
        <v>30</v>
      </c>
      <c r="H80" s="91">
        <v>30</v>
      </c>
      <c r="I80" s="91">
        <v>30</v>
      </c>
      <c r="J80" s="91">
        <v>30</v>
      </c>
      <c r="K80" s="91">
        <v>30</v>
      </c>
      <c r="L80" s="91">
        <v>30</v>
      </c>
      <c r="M80" s="91">
        <v>30</v>
      </c>
      <c r="N80" s="91">
        <v>30</v>
      </c>
      <c r="O80" s="91">
        <v>30</v>
      </c>
      <c r="P80" s="91">
        <v>30</v>
      </c>
      <c r="Q80" s="91">
        <v>30</v>
      </c>
      <c r="R80" s="91">
        <v>30</v>
      </c>
      <c r="S80" s="91">
        <v>30</v>
      </c>
      <c r="T80" s="91">
        <v>30</v>
      </c>
      <c r="U80" s="91">
        <v>30</v>
      </c>
      <c r="V80" s="91">
        <v>30</v>
      </c>
      <c r="W80" s="91">
        <v>30</v>
      </c>
      <c r="X80" s="91">
        <v>30</v>
      </c>
      <c r="Y80" s="91">
        <v>30</v>
      </c>
      <c r="Z80" s="91">
        <v>30</v>
      </c>
      <c r="AA80" s="91">
        <v>30</v>
      </c>
    </row>
    <row r="81" spans="1:27" x14ac:dyDescent="0.25">
      <c r="A81" s="88">
        <v>76</v>
      </c>
      <c r="B81" s="91">
        <v>30</v>
      </c>
      <c r="C81" s="91">
        <v>30</v>
      </c>
      <c r="D81" s="91">
        <v>30</v>
      </c>
      <c r="E81" s="91">
        <v>30</v>
      </c>
      <c r="F81" s="91">
        <v>30</v>
      </c>
      <c r="G81" s="91">
        <v>30</v>
      </c>
      <c r="H81" s="91">
        <v>30</v>
      </c>
      <c r="I81" s="91">
        <v>30</v>
      </c>
      <c r="J81" s="91">
        <v>30</v>
      </c>
      <c r="K81" s="91">
        <v>30</v>
      </c>
      <c r="L81" s="91">
        <v>30</v>
      </c>
      <c r="M81" s="91">
        <v>30</v>
      </c>
      <c r="N81" s="91">
        <v>30</v>
      </c>
      <c r="O81" s="91">
        <v>30</v>
      </c>
      <c r="P81" s="91">
        <v>30</v>
      </c>
      <c r="Q81" s="91">
        <v>30</v>
      </c>
      <c r="R81" s="91">
        <v>30</v>
      </c>
      <c r="S81" s="91">
        <v>30</v>
      </c>
      <c r="T81" s="91">
        <v>30</v>
      </c>
      <c r="U81" s="91">
        <v>30</v>
      </c>
      <c r="V81" s="91">
        <v>30</v>
      </c>
      <c r="W81" s="91">
        <v>30</v>
      </c>
      <c r="X81" s="91">
        <v>30</v>
      </c>
      <c r="Y81" s="91">
        <v>30</v>
      </c>
      <c r="Z81" s="91">
        <v>30</v>
      </c>
      <c r="AA81" s="91">
        <v>30</v>
      </c>
    </row>
    <row r="82" spans="1:27" x14ac:dyDescent="0.25">
      <c r="A82" s="88">
        <v>77</v>
      </c>
      <c r="B82" s="91">
        <v>30</v>
      </c>
      <c r="C82" s="91">
        <v>30</v>
      </c>
      <c r="D82" s="91">
        <v>30</v>
      </c>
      <c r="E82" s="91">
        <v>30</v>
      </c>
      <c r="F82" s="91">
        <v>30</v>
      </c>
      <c r="G82" s="91">
        <v>30</v>
      </c>
      <c r="H82" s="91">
        <v>30</v>
      </c>
      <c r="I82" s="91">
        <v>30</v>
      </c>
      <c r="J82" s="91">
        <v>30</v>
      </c>
      <c r="K82" s="91">
        <v>30</v>
      </c>
      <c r="L82" s="91">
        <v>30</v>
      </c>
      <c r="M82" s="91">
        <v>30</v>
      </c>
      <c r="N82" s="91">
        <v>30</v>
      </c>
      <c r="O82" s="91">
        <v>30</v>
      </c>
      <c r="P82" s="91">
        <v>30</v>
      </c>
      <c r="Q82" s="91">
        <v>30</v>
      </c>
      <c r="R82" s="91">
        <v>30</v>
      </c>
      <c r="S82" s="91">
        <v>30</v>
      </c>
      <c r="T82" s="91">
        <v>30</v>
      </c>
      <c r="U82" s="91">
        <v>30</v>
      </c>
      <c r="V82" s="91">
        <v>30</v>
      </c>
      <c r="W82" s="91">
        <v>30</v>
      </c>
      <c r="X82" s="91">
        <v>30</v>
      </c>
      <c r="Y82" s="91">
        <v>30</v>
      </c>
      <c r="Z82" s="91">
        <v>30</v>
      </c>
      <c r="AA82" s="91">
        <v>30</v>
      </c>
    </row>
    <row r="83" spans="1:27" x14ac:dyDescent="0.25">
      <c r="A83" s="88">
        <v>78</v>
      </c>
      <c r="B83" s="91">
        <v>30</v>
      </c>
      <c r="C83" s="91">
        <v>30</v>
      </c>
      <c r="D83" s="91">
        <v>30</v>
      </c>
      <c r="E83" s="91">
        <v>30</v>
      </c>
      <c r="F83" s="91">
        <v>30</v>
      </c>
      <c r="G83" s="91">
        <v>30</v>
      </c>
      <c r="H83" s="91">
        <v>30</v>
      </c>
      <c r="I83" s="91">
        <v>30</v>
      </c>
      <c r="J83" s="91">
        <v>30</v>
      </c>
      <c r="K83" s="91">
        <v>30</v>
      </c>
      <c r="L83" s="91">
        <v>30</v>
      </c>
      <c r="M83" s="91">
        <v>30</v>
      </c>
      <c r="N83" s="91">
        <v>30</v>
      </c>
      <c r="O83" s="91">
        <v>30</v>
      </c>
      <c r="P83" s="91">
        <v>30</v>
      </c>
      <c r="Q83" s="91">
        <v>30</v>
      </c>
      <c r="R83" s="91">
        <v>30</v>
      </c>
      <c r="S83" s="91">
        <v>30</v>
      </c>
      <c r="T83" s="91">
        <v>30</v>
      </c>
      <c r="U83" s="91">
        <v>30</v>
      </c>
      <c r="V83" s="91">
        <v>30</v>
      </c>
      <c r="W83" s="91">
        <v>30</v>
      </c>
      <c r="X83" s="91">
        <v>30</v>
      </c>
      <c r="Y83" s="91">
        <v>30</v>
      </c>
      <c r="Z83" s="91">
        <v>30</v>
      </c>
      <c r="AA83" s="91">
        <v>30</v>
      </c>
    </row>
    <row r="84" spans="1:27" x14ac:dyDescent="0.25">
      <c r="A84" s="88">
        <v>79</v>
      </c>
      <c r="B84" s="91">
        <v>30</v>
      </c>
      <c r="C84" s="91">
        <v>30</v>
      </c>
      <c r="D84" s="91">
        <v>30</v>
      </c>
      <c r="E84" s="91">
        <v>30</v>
      </c>
      <c r="F84" s="91">
        <v>30</v>
      </c>
      <c r="G84" s="91">
        <v>30</v>
      </c>
      <c r="H84" s="91">
        <v>30</v>
      </c>
      <c r="I84" s="91">
        <v>30</v>
      </c>
      <c r="J84" s="91">
        <v>30</v>
      </c>
      <c r="K84" s="91">
        <v>30</v>
      </c>
      <c r="L84" s="91">
        <v>30</v>
      </c>
      <c r="M84" s="91">
        <v>30</v>
      </c>
      <c r="N84" s="91">
        <v>30</v>
      </c>
      <c r="O84" s="91">
        <v>30</v>
      </c>
      <c r="P84" s="91">
        <v>30</v>
      </c>
      <c r="Q84" s="91">
        <v>30</v>
      </c>
      <c r="R84" s="91">
        <v>30</v>
      </c>
      <c r="S84" s="91">
        <v>30</v>
      </c>
      <c r="T84" s="91">
        <v>30</v>
      </c>
      <c r="U84" s="91">
        <v>30</v>
      </c>
      <c r="V84" s="91">
        <v>30</v>
      </c>
      <c r="W84" s="91">
        <v>30</v>
      </c>
      <c r="X84" s="91">
        <v>30</v>
      </c>
      <c r="Y84" s="91">
        <v>30</v>
      </c>
      <c r="Z84" s="91">
        <v>30</v>
      </c>
      <c r="AA84" s="91">
        <v>30</v>
      </c>
    </row>
    <row r="85" spans="1:27" x14ac:dyDescent="0.25">
      <c r="A85" s="88">
        <v>80</v>
      </c>
      <c r="B85" s="91">
        <v>30</v>
      </c>
      <c r="C85" s="91">
        <v>30</v>
      </c>
      <c r="D85" s="91">
        <v>30</v>
      </c>
      <c r="E85" s="91">
        <v>30</v>
      </c>
      <c r="F85" s="91">
        <v>30</v>
      </c>
      <c r="G85" s="91">
        <v>30</v>
      </c>
      <c r="H85" s="91">
        <v>30</v>
      </c>
      <c r="I85" s="91">
        <v>30</v>
      </c>
      <c r="J85" s="91">
        <v>30</v>
      </c>
      <c r="K85" s="91">
        <v>30</v>
      </c>
      <c r="L85" s="91">
        <v>30</v>
      </c>
      <c r="M85" s="91">
        <v>30</v>
      </c>
      <c r="N85" s="91">
        <v>30</v>
      </c>
      <c r="O85" s="91">
        <v>30</v>
      </c>
      <c r="P85" s="91">
        <v>30</v>
      </c>
      <c r="Q85" s="91">
        <v>30</v>
      </c>
      <c r="R85" s="91">
        <v>30</v>
      </c>
      <c r="S85" s="91">
        <v>30</v>
      </c>
      <c r="T85" s="91">
        <v>30</v>
      </c>
      <c r="U85" s="91">
        <v>30</v>
      </c>
      <c r="V85" s="91">
        <v>30</v>
      </c>
      <c r="W85" s="91">
        <v>30</v>
      </c>
      <c r="X85" s="91">
        <v>30</v>
      </c>
      <c r="Y85" s="91">
        <v>30</v>
      </c>
      <c r="Z85" s="91">
        <v>30</v>
      </c>
      <c r="AA85" s="91">
        <v>30</v>
      </c>
    </row>
    <row r="86" spans="1:27" x14ac:dyDescent="0.25">
      <c r="A86" s="88">
        <v>81</v>
      </c>
      <c r="B86" s="91">
        <v>30</v>
      </c>
      <c r="C86" s="91">
        <v>30</v>
      </c>
      <c r="D86" s="91">
        <v>30</v>
      </c>
      <c r="E86" s="91">
        <v>30</v>
      </c>
      <c r="F86" s="91">
        <v>30</v>
      </c>
      <c r="G86" s="91">
        <v>30</v>
      </c>
      <c r="H86" s="91">
        <v>30</v>
      </c>
      <c r="I86" s="91">
        <v>30</v>
      </c>
      <c r="J86" s="91">
        <v>30</v>
      </c>
      <c r="K86" s="91">
        <v>30</v>
      </c>
      <c r="L86" s="91">
        <v>30</v>
      </c>
      <c r="M86" s="91">
        <v>30</v>
      </c>
      <c r="N86" s="91">
        <v>30</v>
      </c>
      <c r="O86" s="91">
        <v>30</v>
      </c>
      <c r="P86" s="91">
        <v>30</v>
      </c>
      <c r="Q86" s="91">
        <v>30</v>
      </c>
      <c r="R86" s="91">
        <v>30</v>
      </c>
      <c r="S86" s="91">
        <v>30</v>
      </c>
      <c r="T86" s="91">
        <v>30</v>
      </c>
      <c r="U86" s="91">
        <v>30</v>
      </c>
      <c r="V86" s="91">
        <v>30</v>
      </c>
      <c r="W86" s="91">
        <v>30</v>
      </c>
      <c r="X86" s="91">
        <v>30</v>
      </c>
      <c r="Y86" s="91">
        <v>30</v>
      </c>
      <c r="Z86" s="91">
        <v>30</v>
      </c>
      <c r="AA86" s="91">
        <v>30</v>
      </c>
    </row>
    <row r="87" spans="1:27" x14ac:dyDescent="0.25">
      <c r="A87" s="88">
        <v>82</v>
      </c>
      <c r="B87" s="91">
        <v>30</v>
      </c>
      <c r="C87" s="91">
        <v>30</v>
      </c>
      <c r="D87" s="91">
        <v>30</v>
      </c>
      <c r="E87" s="91">
        <v>30</v>
      </c>
      <c r="F87" s="91">
        <v>30</v>
      </c>
      <c r="G87" s="91">
        <v>30</v>
      </c>
      <c r="H87" s="91">
        <v>30</v>
      </c>
      <c r="I87" s="91">
        <v>30</v>
      </c>
      <c r="J87" s="91">
        <v>30</v>
      </c>
      <c r="K87" s="91">
        <v>30</v>
      </c>
      <c r="L87" s="91">
        <v>30</v>
      </c>
      <c r="M87" s="91">
        <v>30</v>
      </c>
      <c r="N87" s="91">
        <v>30</v>
      </c>
      <c r="O87" s="91">
        <v>30</v>
      </c>
      <c r="P87" s="91">
        <v>30</v>
      </c>
      <c r="Q87" s="91">
        <v>30</v>
      </c>
      <c r="R87" s="91">
        <v>30</v>
      </c>
      <c r="S87" s="91">
        <v>30</v>
      </c>
      <c r="T87" s="91">
        <v>30</v>
      </c>
      <c r="U87" s="91">
        <v>30</v>
      </c>
      <c r="V87" s="91">
        <v>30</v>
      </c>
      <c r="W87" s="91">
        <v>30</v>
      </c>
      <c r="X87" s="91">
        <v>30</v>
      </c>
      <c r="Y87" s="91">
        <v>30</v>
      </c>
      <c r="Z87" s="91">
        <v>30</v>
      </c>
      <c r="AA87" s="91">
        <v>30</v>
      </c>
    </row>
    <row r="88" spans="1:27" x14ac:dyDescent="0.25">
      <c r="A88" s="88">
        <v>83</v>
      </c>
      <c r="B88" s="91">
        <v>30</v>
      </c>
      <c r="C88" s="91">
        <v>30</v>
      </c>
      <c r="D88" s="91">
        <v>30</v>
      </c>
      <c r="E88" s="91">
        <v>30</v>
      </c>
      <c r="F88" s="91">
        <v>30</v>
      </c>
      <c r="G88" s="91">
        <v>30</v>
      </c>
      <c r="H88" s="91">
        <v>30</v>
      </c>
      <c r="I88" s="91">
        <v>30</v>
      </c>
      <c r="J88" s="91">
        <v>30</v>
      </c>
      <c r="K88" s="91">
        <v>30</v>
      </c>
      <c r="L88" s="91">
        <v>30</v>
      </c>
      <c r="M88" s="91">
        <v>30</v>
      </c>
      <c r="N88" s="91">
        <v>30</v>
      </c>
      <c r="O88" s="91">
        <v>30</v>
      </c>
      <c r="P88" s="91">
        <v>30</v>
      </c>
      <c r="Q88" s="91">
        <v>30</v>
      </c>
      <c r="R88" s="91">
        <v>30</v>
      </c>
      <c r="S88" s="91">
        <v>30</v>
      </c>
      <c r="T88" s="91">
        <v>30</v>
      </c>
      <c r="U88" s="91">
        <v>30</v>
      </c>
      <c r="V88" s="91">
        <v>30</v>
      </c>
      <c r="W88" s="91">
        <v>30</v>
      </c>
      <c r="X88" s="91">
        <v>30</v>
      </c>
      <c r="Y88" s="91">
        <v>30</v>
      </c>
      <c r="Z88" s="91">
        <v>30</v>
      </c>
      <c r="AA88" s="91">
        <v>30</v>
      </c>
    </row>
    <row r="89" spans="1:27" x14ac:dyDescent="0.25">
      <c r="A89" s="88">
        <v>84</v>
      </c>
      <c r="B89" s="91">
        <v>30</v>
      </c>
      <c r="C89" s="91">
        <v>30</v>
      </c>
      <c r="D89" s="91">
        <v>30</v>
      </c>
      <c r="E89" s="91">
        <v>30</v>
      </c>
      <c r="F89" s="91">
        <v>30</v>
      </c>
      <c r="G89" s="91">
        <v>30</v>
      </c>
      <c r="H89" s="91">
        <v>30</v>
      </c>
      <c r="I89" s="91">
        <v>30</v>
      </c>
      <c r="J89" s="91">
        <v>30</v>
      </c>
      <c r="K89" s="91">
        <v>30</v>
      </c>
      <c r="L89" s="91">
        <v>30</v>
      </c>
      <c r="M89" s="91">
        <v>30</v>
      </c>
      <c r="N89" s="91">
        <v>30</v>
      </c>
      <c r="O89" s="91">
        <v>30</v>
      </c>
      <c r="P89" s="91">
        <v>30</v>
      </c>
      <c r="Q89" s="91">
        <v>30</v>
      </c>
      <c r="R89" s="91">
        <v>30</v>
      </c>
      <c r="S89" s="91">
        <v>30</v>
      </c>
      <c r="T89" s="91">
        <v>30</v>
      </c>
      <c r="U89" s="91">
        <v>30</v>
      </c>
      <c r="V89" s="91">
        <v>30</v>
      </c>
      <c r="W89" s="91">
        <v>30</v>
      </c>
      <c r="X89" s="91">
        <v>30</v>
      </c>
      <c r="Y89" s="91">
        <v>30</v>
      </c>
      <c r="Z89" s="91">
        <v>30</v>
      </c>
      <c r="AA89" s="91">
        <v>30</v>
      </c>
    </row>
    <row r="90" spans="1:27" x14ac:dyDescent="0.25">
      <c r="A90" s="88">
        <v>85</v>
      </c>
      <c r="B90" s="91">
        <v>30</v>
      </c>
      <c r="C90" s="91">
        <v>30</v>
      </c>
      <c r="D90" s="91">
        <v>30</v>
      </c>
      <c r="E90" s="91">
        <v>30</v>
      </c>
      <c r="F90" s="91">
        <v>30</v>
      </c>
      <c r="G90" s="91">
        <v>30</v>
      </c>
      <c r="H90" s="91">
        <v>30</v>
      </c>
      <c r="I90" s="91">
        <v>30</v>
      </c>
      <c r="J90" s="91">
        <v>30</v>
      </c>
      <c r="K90" s="91">
        <v>30</v>
      </c>
      <c r="L90" s="91">
        <v>30</v>
      </c>
      <c r="M90" s="91">
        <v>30</v>
      </c>
      <c r="N90" s="91">
        <v>30</v>
      </c>
      <c r="O90" s="91">
        <v>30</v>
      </c>
      <c r="P90" s="91">
        <v>30</v>
      </c>
      <c r="Q90" s="91">
        <v>30</v>
      </c>
      <c r="R90" s="91">
        <v>30</v>
      </c>
      <c r="S90" s="91">
        <v>30</v>
      </c>
      <c r="T90" s="91">
        <v>30</v>
      </c>
      <c r="U90" s="91">
        <v>30</v>
      </c>
      <c r="V90" s="91">
        <v>30</v>
      </c>
      <c r="W90" s="91">
        <v>30</v>
      </c>
      <c r="X90" s="91">
        <v>30</v>
      </c>
      <c r="Y90" s="91">
        <v>30</v>
      </c>
      <c r="Z90" s="91">
        <v>30</v>
      </c>
      <c r="AA90" s="91">
        <v>30</v>
      </c>
    </row>
    <row r="91" spans="1:27" x14ac:dyDescent="0.25">
      <c r="A91" s="88">
        <v>86</v>
      </c>
      <c r="B91" s="91">
        <v>30</v>
      </c>
      <c r="C91" s="91">
        <v>30</v>
      </c>
      <c r="D91" s="91">
        <v>30</v>
      </c>
      <c r="E91" s="91">
        <v>30</v>
      </c>
      <c r="F91" s="91">
        <v>30</v>
      </c>
      <c r="G91" s="91">
        <v>30</v>
      </c>
      <c r="H91" s="91">
        <v>30</v>
      </c>
      <c r="I91" s="91">
        <v>30</v>
      </c>
      <c r="J91" s="91">
        <v>30</v>
      </c>
      <c r="K91" s="91">
        <v>30</v>
      </c>
      <c r="L91" s="91">
        <v>30</v>
      </c>
      <c r="M91" s="91">
        <v>30</v>
      </c>
      <c r="N91" s="91">
        <v>30</v>
      </c>
      <c r="O91" s="91">
        <v>30</v>
      </c>
      <c r="P91" s="91">
        <v>30</v>
      </c>
      <c r="Q91" s="91">
        <v>30</v>
      </c>
      <c r="R91" s="91">
        <v>30</v>
      </c>
      <c r="S91" s="91">
        <v>30</v>
      </c>
      <c r="T91" s="91">
        <v>30</v>
      </c>
      <c r="U91" s="91">
        <v>30</v>
      </c>
      <c r="V91" s="91">
        <v>30</v>
      </c>
      <c r="W91" s="91">
        <v>30</v>
      </c>
      <c r="X91" s="91">
        <v>30</v>
      </c>
      <c r="Y91" s="91">
        <v>30</v>
      </c>
      <c r="Z91" s="91">
        <v>30</v>
      </c>
      <c r="AA91" s="91">
        <v>30</v>
      </c>
    </row>
    <row r="92" spans="1:27" x14ac:dyDescent="0.25">
      <c r="A92" s="88">
        <v>87</v>
      </c>
      <c r="B92" s="91">
        <v>30</v>
      </c>
      <c r="C92" s="91">
        <v>30</v>
      </c>
      <c r="D92" s="91">
        <v>30</v>
      </c>
      <c r="E92" s="91">
        <v>30</v>
      </c>
      <c r="F92" s="91">
        <v>30</v>
      </c>
      <c r="G92" s="91">
        <v>30</v>
      </c>
      <c r="H92" s="91">
        <v>30</v>
      </c>
      <c r="I92" s="91">
        <v>30</v>
      </c>
      <c r="J92" s="91">
        <v>30</v>
      </c>
      <c r="K92" s="91">
        <v>30</v>
      </c>
      <c r="L92" s="91">
        <v>30</v>
      </c>
      <c r="M92" s="91">
        <v>30</v>
      </c>
      <c r="N92" s="91">
        <v>30</v>
      </c>
      <c r="O92" s="91">
        <v>30</v>
      </c>
      <c r="P92" s="91">
        <v>30</v>
      </c>
      <c r="Q92" s="91">
        <v>30</v>
      </c>
      <c r="R92" s="91">
        <v>30</v>
      </c>
      <c r="S92" s="91">
        <v>30</v>
      </c>
      <c r="T92" s="91">
        <v>30</v>
      </c>
      <c r="U92" s="91">
        <v>30</v>
      </c>
      <c r="V92" s="91">
        <v>30</v>
      </c>
      <c r="W92" s="91">
        <v>30</v>
      </c>
      <c r="X92" s="91">
        <v>30</v>
      </c>
      <c r="Y92" s="91">
        <v>30</v>
      </c>
      <c r="Z92" s="91">
        <v>30</v>
      </c>
      <c r="AA92" s="91">
        <v>30</v>
      </c>
    </row>
    <row r="93" spans="1:27" x14ac:dyDescent="0.25">
      <c r="A93" s="88">
        <v>88</v>
      </c>
      <c r="B93" s="91">
        <v>30</v>
      </c>
      <c r="C93" s="91">
        <v>30</v>
      </c>
      <c r="D93" s="91">
        <v>30</v>
      </c>
      <c r="E93" s="91">
        <v>30</v>
      </c>
      <c r="F93" s="91">
        <v>30</v>
      </c>
      <c r="G93" s="91">
        <v>30</v>
      </c>
      <c r="H93" s="91">
        <v>30</v>
      </c>
      <c r="I93" s="91">
        <v>30</v>
      </c>
      <c r="J93" s="91">
        <v>30</v>
      </c>
      <c r="K93" s="91">
        <v>30</v>
      </c>
      <c r="L93" s="91">
        <v>30</v>
      </c>
      <c r="M93" s="91">
        <v>30</v>
      </c>
      <c r="N93" s="91">
        <v>30</v>
      </c>
      <c r="O93" s="91">
        <v>30</v>
      </c>
      <c r="P93" s="91">
        <v>30</v>
      </c>
      <c r="Q93" s="91">
        <v>30</v>
      </c>
      <c r="R93" s="91">
        <v>30</v>
      </c>
      <c r="S93" s="91">
        <v>30</v>
      </c>
      <c r="T93" s="91">
        <v>30</v>
      </c>
      <c r="U93" s="91">
        <v>30</v>
      </c>
      <c r="V93" s="91">
        <v>30</v>
      </c>
      <c r="W93" s="91">
        <v>30</v>
      </c>
      <c r="X93" s="91">
        <v>30</v>
      </c>
      <c r="Y93" s="91">
        <v>30</v>
      </c>
      <c r="Z93" s="91">
        <v>30</v>
      </c>
      <c r="AA93" s="91">
        <v>30</v>
      </c>
    </row>
    <row r="94" spans="1:27" x14ac:dyDescent="0.25">
      <c r="A94" s="88">
        <v>89</v>
      </c>
      <c r="B94" s="91">
        <v>30</v>
      </c>
      <c r="C94" s="91">
        <v>30</v>
      </c>
      <c r="D94" s="91">
        <v>30</v>
      </c>
      <c r="E94" s="91">
        <v>30</v>
      </c>
      <c r="F94" s="91">
        <v>30</v>
      </c>
      <c r="G94" s="91">
        <v>30</v>
      </c>
      <c r="H94" s="91">
        <v>30</v>
      </c>
      <c r="I94" s="91">
        <v>30</v>
      </c>
      <c r="J94" s="91">
        <v>30</v>
      </c>
      <c r="K94" s="91">
        <v>30</v>
      </c>
      <c r="L94" s="91">
        <v>30</v>
      </c>
      <c r="M94" s="91">
        <v>30</v>
      </c>
      <c r="N94" s="91">
        <v>30</v>
      </c>
      <c r="O94" s="91">
        <v>30</v>
      </c>
      <c r="P94" s="91">
        <v>30</v>
      </c>
      <c r="Q94" s="91">
        <v>30</v>
      </c>
      <c r="R94" s="91">
        <v>30</v>
      </c>
      <c r="S94" s="91">
        <v>30</v>
      </c>
      <c r="T94" s="91">
        <v>30</v>
      </c>
      <c r="U94" s="91">
        <v>30</v>
      </c>
      <c r="V94" s="91">
        <v>30</v>
      </c>
      <c r="W94" s="91">
        <v>30</v>
      </c>
      <c r="X94" s="91">
        <v>30</v>
      </c>
      <c r="Y94" s="91">
        <v>30</v>
      </c>
      <c r="Z94" s="91">
        <v>30</v>
      </c>
      <c r="AA94" s="91">
        <v>30</v>
      </c>
    </row>
    <row r="95" spans="1:27" x14ac:dyDescent="0.25">
      <c r="A95" s="88">
        <v>90</v>
      </c>
      <c r="B95" s="91">
        <v>30</v>
      </c>
      <c r="C95" s="91">
        <v>30</v>
      </c>
      <c r="D95" s="91">
        <v>30</v>
      </c>
      <c r="E95" s="91">
        <v>30</v>
      </c>
      <c r="F95" s="91">
        <v>30</v>
      </c>
      <c r="G95" s="91">
        <v>30</v>
      </c>
      <c r="H95" s="91">
        <v>30</v>
      </c>
      <c r="I95" s="91">
        <v>30</v>
      </c>
      <c r="J95" s="91">
        <v>30</v>
      </c>
      <c r="K95" s="91">
        <v>30</v>
      </c>
      <c r="L95" s="91">
        <v>30</v>
      </c>
      <c r="M95" s="91">
        <v>30</v>
      </c>
      <c r="N95" s="91">
        <v>30</v>
      </c>
      <c r="O95" s="91">
        <v>30</v>
      </c>
      <c r="P95" s="91">
        <v>30</v>
      </c>
      <c r="Q95" s="91">
        <v>30</v>
      </c>
      <c r="R95" s="91">
        <v>30</v>
      </c>
      <c r="S95" s="91">
        <v>30</v>
      </c>
      <c r="T95" s="91">
        <v>30</v>
      </c>
      <c r="U95" s="91">
        <v>30</v>
      </c>
      <c r="V95" s="91">
        <v>30</v>
      </c>
      <c r="W95" s="91">
        <v>30</v>
      </c>
      <c r="X95" s="91">
        <v>30</v>
      </c>
      <c r="Y95" s="91">
        <v>30</v>
      </c>
      <c r="Z95" s="91">
        <v>30</v>
      </c>
      <c r="AA95" s="91">
        <v>30</v>
      </c>
    </row>
    <row r="96" spans="1:27" x14ac:dyDescent="0.25">
      <c r="A96" s="88">
        <v>91</v>
      </c>
      <c r="B96" s="91">
        <v>30</v>
      </c>
      <c r="C96" s="91">
        <v>30</v>
      </c>
      <c r="D96" s="91">
        <v>30</v>
      </c>
      <c r="E96" s="91">
        <v>30</v>
      </c>
      <c r="F96" s="91">
        <v>30</v>
      </c>
      <c r="G96" s="91">
        <v>30</v>
      </c>
      <c r="H96" s="91">
        <v>30</v>
      </c>
      <c r="I96" s="91">
        <v>30</v>
      </c>
      <c r="J96" s="91">
        <v>30</v>
      </c>
      <c r="K96" s="91">
        <v>30</v>
      </c>
      <c r="L96" s="91">
        <v>30</v>
      </c>
      <c r="M96" s="91">
        <v>30</v>
      </c>
      <c r="N96" s="91">
        <v>30</v>
      </c>
      <c r="O96" s="91">
        <v>30</v>
      </c>
      <c r="P96" s="91">
        <v>30</v>
      </c>
      <c r="Q96" s="91">
        <v>30</v>
      </c>
      <c r="R96" s="91">
        <v>30</v>
      </c>
      <c r="S96" s="91">
        <v>30</v>
      </c>
      <c r="T96" s="91">
        <v>30</v>
      </c>
      <c r="U96" s="91">
        <v>30</v>
      </c>
      <c r="V96" s="91">
        <v>30</v>
      </c>
      <c r="W96" s="91">
        <v>30</v>
      </c>
      <c r="X96" s="91">
        <v>30</v>
      </c>
      <c r="Y96" s="91">
        <v>30</v>
      </c>
      <c r="Z96" s="91">
        <v>30</v>
      </c>
      <c r="AA96" s="91">
        <v>30</v>
      </c>
    </row>
    <row r="97" spans="1:27" x14ac:dyDescent="0.25">
      <c r="A97" s="88">
        <v>92</v>
      </c>
      <c r="B97" s="91">
        <v>30</v>
      </c>
      <c r="C97" s="91">
        <v>30</v>
      </c>
      <c r="D97" s="91">
        <v>30</v>
      </c>
      <c r="E97" s="91">
        <v>30</v>
      </c>
      <c r="F97" s="91">
        <v>30</v>
      </c>
      <c r="G97" s="91">
        <v>30</v>
      </c>
      <c r="H97" s="91">
        <v>30</v>
      </c>
      <c r="I97" s="91">
        <v>30</v>
      </c>
      <c r="J97" s="91">
        <v>30</v>
      </c>
      <c r="K97" s="91">
        <v>30</v>
      </c>
      <c r="L97" s="91">
        <v>30</v>
      </c>
      <c r="M97" s="91">
        <v>30</v>
      </c>
      <c r="N97" s="91">
        <v>30</v>
      </c>
      <c r="O97" s="91">
        <v>30</v>
      </c>
      <c r="P97" s="91">
        <v>30</v>
      </c>
      <c r="Q97" s="91">
        <v>30</v>
      </c>
      <c r="R97" s="91">
        <v>30</v>
      </c>
      <c r="S97" s="91">
        <v>30</v>
      </c>
      <c r="T97" s="91">
        <v>30</v>
      </c>
      <c r="U97" s="91">
        <v>30</v>
      </c>
      <c r="V97" s="91">
        <v>30</v>
      </c>
      <c r="W97" s="91">
        <v>30</v>
      </c>
      <c r="X97" s="91">
        <v>30</v>
      </c>
      <c r="Y97" s="91">
        <v>30</v>
      </c>
      <c r="Z97" s="91">
        <v>30</v>
      </c>
      <c r="AA97" s="91">
        <v>30</v>
      </c>
    </row>
    <row r="98" spans="1:27" x14ac:dyDescent="0.25">
      <c r="A98" s="88">
        <v>93</v>
      </c>
      <c r="B98" s="91">
        <v>30</v>
      </c>
      <c r="C98" s="91">
        <v>30</v>
      </c>
      <c r="D98" s="91">
        <v>30</v>
      </c>
      <c r="E98" s="91">
        <v>30</v>
      </c>
      <c r="F98" s="91">
        <v>30</v>
      </c>
      <c r="G98" s="91">
        <v>30</v>
      </c>
      <c r="H98" s="91">
        <v>30</v>
      </c>
      <c r="I98" s="91">
        <v>30</v>
      </c>
      <c r="J98" s="91">
        <v>30</v>
      </c>
      <c r="K98" s="91">
        <v>30</v>
      </c>
      <c r="L98" s="91">
        <v>30</v>
      </c>
      <c r="M98" s="91">
        <v>30</v>
      </c>
      <c r="N98" s="91">
        <v>30</v>
      </c>
      <c r="O98" s="91">
        <v>30</v>
      </c>
      <c r="P98" s="91">
        <v>30</v>
      </c>
      <c r="Q98" s="91">
        <v>30</v>
      </c>
      <c r="R98" s="91">
        <v>30</v>
      </c>
      <c r="S98" s="91">
        <v>30</v>
      </c>
      <c r="T98" s="91">
        <v>30</v>
      </c>
      <c r="U98" s="91">
        <v>30</v>
      </c>
      <c r="V98" s="91">
        <v>30</v>
      </c>
      <c r="W98" s="91">
        <v>30</v>
      </c>
      <c r="X98" s="91">
        <v>30</v>
      </c>
      <c r="Y98" s="91">
        <v>30</v>
      </c>
      <c r="Z98" s="91">
        <v>30</v>
      </c>
      <c r="AA98" s="91">
        <v>30</v>
      </c>
    </row>
    <row r="99" spans="1:27" x14ac:dyDescent="0.25">
      <c r="A99" s="88">
        <v>94</v>
      </c>
      <c r="B99" s="91">
        <v>30</v>
      </c>
      <c r="C99" s="91">
        <v>30</v>
      </c>
      <c r="D99" s="91">
        <v>30</v>
      </c>
      <c r="E99" s="91">
        <v>30</v>
      </c>
      <c r="F99" s="91">
        <v>30</v>
      </c>
      <c r="G99" s="91">
        <v>30</v>
      </c>
      <c r="H99" s="91">
        <v>30</v>
      </c>
      <c r="I99" s="91">
        <v>30</v>
      </c>
      <c r="J99" s="91">
        <v>30</v>
      </c>
      <c r="K99" s="91">
        <v>30</v>
      </c>
      <c r="L99" s="91">
        <v>30</v>
      </c>
      <c r="M99" s="91">
        <v>30</v>
      </c>
      <c r="N99" s="91">
        <v>30</v>
      </c>
      <c r="O99" s="91">
        <v>30</v>
      </c>
      <c r="P99" s="91">
        <v>30</v>
      </c>
      <c r="Q99" s="91">
        <v>30</v>
      </c>
      <c r="R99" s="91">
        <v>30</v>
      </c>
      <c r="S99" s="91">
        <v>30</v>
      </c>
      <c r="T99" s="91">
        <v>30</v>
      </c>
      <c r="U99" s="91">
        <v>30</v>
      </c>
      <c r="V99" s="91">
        <v>30</v>
      </c>
      <c r="W99" s="91">
        <v>30</v>
      </c>
      <c r="X99" s="91">
        <v>30</v>
      </c>
      <c r="Y99" s="91">
        <v>30</v>
      </c>
      <c r="Z99" s="91">
        <v>30</v>
      </c>
      <c r="AA99" s="91">
        <v>30</v>
      </c>
    </row>
    <row r="100" spans="1:27" x14ac:dyDescent="0.25">
      <c r="A100" s="88">
        <v>95</v>
      </c>
      <c r="B100" s="91">
        <v>30</v>
      </c>
      <c r="C100" s="91">
        <v>30</v>
      </c>
      <c r="D100" s="91">
        <v>30</v>
      </c>
      <c r="E100" s="91">
        <v>30</v>
      </c>
      <c r="F100" s="91">
        <v>30</v>
      </c>
      <c r="G100" s="91">
        <v>30</v>
      </c>
      <c r="H100" s="91">
        <v>30</v>
      </c>
      <c r="I100" s="91">
        <v>30</v>
      </c>
      <c r="J100" s="91">
        <v>30</v>
      </c>
      <c r="K100" s="91">
        <v>30</v>
      </c>
      <c r="L100" s="91">
        <v>30</v>
      </c>
      <c r="M100" s="91">
        <v>30</v>
      </c>
      <c r="N100" s="91">
        <v>30</v>
      </c>
      <c r="O100" s="91">
        <v>30</v>
      </c>
      <c r="P100" s="91">
        <v>30</v>
      </c>
      <c r="Q100" s="91">
        <v>30</v>
      </c>
      <c r="R100" s="91">
        <v>30</v>
      </c>
      <c r="S100" s="91">
        <v>30</v>
      </c>
      <c r="T100" s="91">
        <v>30</v>
      </c>
      <c r="U100" s="91">
        <v>30</v>
      </c>
      <c r="V100" s="91">
        <v>30</v>
      </c>
      <c r="W100" s="91">
        <v>30</v>
      </c>
      <c r="X100" s="91">
        <v>30</v>
      </c>
      <c r="Y100" s="91">
        <v>30</v>
      </c>
      <c r="Z100" s="91">
        <v>30</v>
      </c>
      <c r="AA100" s="91">
        <v>30</v>
      </c>
    </row>
    <row r="101" spans="1:27" x14ac:dyDescent="0.25">
      <c r="A101" s="88">
        <v>96</v>
      </c>
      <c r="B101" s="91">
        <v>30</v>
      </c>
      <c r="C101" s="91">
        <v>30</v>
      </c>
      <c r="D101" s="91">
        <v>30</v>
      </c>
      <c r="E101" s="91">
        <v>30</v>
      </c>
      <c r="F101" s="91">
        <v>30</v>
      </c>
      <c r="G101" s="91">
        <v>30</v>
      </c>
      <c r="H101" s="91">
        <v>30</v>
      </c>
      <c r="I101" s="91">
        <v>30</v>
      </c>
      <c r="J101" s="91">
        <v>30</v>
      </c>
      <c r="K101" s="91">
        <v>30</v>
      </c>
      <c r="L101" s="91">
        <v>30</v>
      </c>
      <c r="M101" s="91">
        <v>30</v>
      </c>
      <c r="N101" s="91">
        <v>30</v>
      </c>
      <c r="O101" s="91">
        <v>30</v>
      </c>
      <c r="P101" s="91">
        <v>30</v>
      </c>
      <c r="Q101" s="91">
        <v>30</v>
      </c>
      <c r="R101" s="91">
        <v>30</v>
      </c>
      <c r="S101" s="91">
        <v>30</v>
      </c>
      <c r="T101" s="91">
        <v>30</v>
      </c>
      <c r="U101" s="91">
        <v>30</v>
      </c>
      <c r="V101" s="91">
        <v>30</v>
      </c>
      <c r="W101" s="91">
        <v>30</v>
      </c>
      <c r="X101" s="91">
        <v>30</v>
      </c>
      <c r="Y101" s="91">
        <v>30</v>
      </c>
      <c r="Z101" s="91">
        <v>30</v>
      </c>
      <c r="AA101" s="91">
        <v>30</v>
      </c>
    </row>
    <row r="102" spans="1:27" x14ac:dyDescent="0.25">
      <c r="A102" s="88">
        <v>97</v>
      </c>
      <c r="B102" s="91">
        <v>30</v>
      </c>
      <c r="C102" s="91">
        <v>30</v>
      </c>
      <c r="D102" s="91">
        <v>30</v>
      </c>
      <c r="E102" s="91">
        <v>30</v>
      </c>
      <c r="F102" s="91">
        <v>30</v>
      </c>
      <c r="G102" s="91">
        <v>30</v>
      </c>
      <c r="H102" s="91">
        <v>30</v>
      </c>
      <c r="I102" s="91">
        <v>30</v>
      </c>
      <c r="J102" s="91">
        <v>30</v>
      </c>
      <c r="K102" s="91">
        <v>30</v>
      </c>
      <c r="L102" s="91">
        <v>30</v>
      </c>
      <c r="M102" s="91">
        <v>30</v>
      </c>
      <c r="N102" s="91">
        <v>30</v>
      </c>
      <c r="O102" s="91">
        <v>30</v>
      </c>
      <c r="P102" s="91">
        <v>30</v>
      </c>
      <c r="Q102" s="91">
        <v>30</v>
      </c>
      <c r="R102" s="91">
        <v>30</v>
      </c>
      <c r="S102" s="91">
        <v>30</v>
      </c>
      <c r="T102" s="91">
        <v>30</v>
      </c>
      <c r="U102" s="91">
        <v>30</v>
      </c>
      <c r="V102" s="91">
        <v>30</v>
      </c>
      <c r="W102" s="91">
        <v>30</v>
      </c>
      <c r="X102" s="91">
        <v>30</v>
      </c>
      <c r="Y102" s="91">
        <v>30</v>
      </c>
      <c r="Z102" s="91">
        <v>30</v>
      </c>
      <c r="AA102" s="91">
        <v>30</v>
      </c>
    </row>
    <row r="103" spans="1:27" x14ac:dyDescent="0.25">
      <c r="A103" s="88">
        <v>98</v>
      </c>
      <c r="B103" s="91">
        <v>30</v>
      </c>
      <c r="C103" s="91">
        <v>30</v>
      </c>
      <c r="D103" s="91">
        <v>30</v>
      </c>
      <c r="E103" s="91">
        <v>30</v>
      </c>
      <c r="F103" s="91">
        <v>30</v>
      </c>
      <c r="G103" s="91">
        <v>30</v>
      </c>
      <c r="H103" s="91">
        <v>30</v>
      </c>
      <c r="I103" s="91">
        <v>30</v>
      </c>
      <c r="J103" s="91">
        <v>30</v>
      </c>
      <c r="K103" s="91">
        <v>30</v>
      </c>
      <c r="L103" s="91">
        <v>30</v>
      </c>
      <c r="M103" s="91">
        <v>30</v>
      </c>
      <c r="N103" s="91">
        <v>30</v>
      </c>
      <c r="O103" s="91">
        <v>30</v>
      </c>
      <c r="P103" s="91">
        <v>30</v>
      </c>
      <c r="Q103" s="91">
        <v>30</v>
      </c>
      <c r="R103" s="91">
        <v>30</v>
      </c>
      <c r="S103" s="91">
        <v>30</v>
      </c>
      <c r="T103" s="91">
        <v>30</v>
      </c>
      <c r="U103" s="91">
        <v>30</v>
      </c>
      <c r="V103" s="91">
        <v>30</v>
      </c>
      <c r="W103" s="91">
        <v>30</v>
      </c>
      <c r="X103" s="91">
        <v>30</v>
      </c>
      <c r="Y103" s="91">
        <v>30</v>
      </c>
      <c r="Z103" s="91">
        <v>30</v>
      </c>
      <c r="AA103" s="91">
        <v>30</v>
      </c>
    </row>
    <row r="104" spans="1:27" x14ac:dyDescent="0.25">
      <c r="A104" s="94" t="s">
        <v>801</v>
      </c>
      <c r="B104" s="91">
        <v>30</v>
      </c>
      <c r="C104" s="91">
        <v>30</v>
      </c>
      <c r="D104" s="91">
        <v>30</v>
      </c>
      <c r="E104" s="91">
        <v>30</v>
      </c>
      <c r="F104" s="91">
        <v>30</v>
      </c>
      <c r="G104" s="91">
        <v>30</v>
      </c>
      <c r="H104" s="91">
        <v>30</v>
      </c>
      <c r="I104" s="91">
        <v>30</v>
      </c>
      <c r="J104" s="91">
        <v>30</v>
      </c>
      <c r="K104" s="91">
        <v>30</v>
      </c>
      <c r="L104" s="91">
        <v>30</v>
      </c>
      <c r="M104" s="91">
        <v>30</v>
      </c>
      <c r="N104" s="91">
        <v>30</v>
      </c>
      <c r="O104" s="91">
        <v>30</v>
      </c>
      <c r="P104" s="91">
        <v>30</v>
      </c>
      <c r="Q104" s="91">
        <v>30</v>
      </c>
      <c r="R104" s="91">
        <v>30</v>
      </c>
      <c r="S104" s="91">
        <v>30</v>
      </c>
      <c r="T104" s="91">
        <v>30</v>
      </c>
      <c r="U104" s="91">
        <v>30</v>
      </c>
      <c r="V104" s="91">
        <v>30</v>
      </c>
      <c r="W104" s="91">
        <v>30</v>
      </c>
      <c r="X104" s="91">
        <v>30</v>
      </c>
      <c r="Y104" s="91">
        <v>30</v>
      </c>
      <c r="Z104" s="91">
        <v>30</v>
      </c>
      <c r="AA104" s="91">
        <v>30</v>
      </c>
    </row>
  </sheetData>
  <sheetProtection algorithmName="SHA-512" hashValue="e9KqXeK1NWuAYDKmQbgql0iMZSpvRQoVUCaQmRpaUi2mqjWTcHVD+mQbJj40dQYTt9HnL60rGceTPLKVo9bRvQ==" saltValue="RTQE+GsQdZr+awe+V4qSeA==" spinCount="100000" sheet="1" objects="1" scenarios="1"/>
  <conditionalFormatting sqref="A6:A21">
    <cfRule type="expression" dxfId="287" priority="7" stopIfTrue="1">
      <formula>MOD(ROW(),2)=0</formula>
    </cfRule>
    <cfRule type="expression" dxfId="286" priority="8" stopIfTrue="1">
      <formula>MOD(ROW(),2)&lt;&gt;0</formula>
    </cfRule>
  </conditionalFormatting>
  <conditionalFormatting sqref="A26:A104">
    <cfRule type="expression" dxfId="285" priority="11" stopIfTrue="1">
      <formula>MOD(ROW(),2)=0</formula>
    </cfRule>
    <cfRule type="expression" dxfId="284" priority="12" stopIfTrue="1">
      <formula>MOD(ROW(),2)&lt;&gt;0</formula>
    </cfRule>
  </conditionalFormatting>
  <conditionalFormatting sqref="B16:B21">
    <cfRule type="expression" dxfId="283" priority="1" stopIfTrue="1">
      <formula>MOD(ROW(),2)=0</formula>
    </cfRule>
    <cfRule type="expression" dxfId="282" priority="2" stopIfTrue="1">
      <formula>MOD(ROW(),2)&lt;&gt;0</formula>
    </cfRule>
  </conditionalFormatting>
  <conditionalFormatting sqref="B6:AA21">
    <cfRule type="expression" dxfId="281" priority="27" stopIfTrue="1">
      <formula>MOD(ROW(),2)=0</formula>
    </cfRule>
    <cfRule type="expression" dxfId="280" priority="28" stopIfTrue="1">
      <formula>MOD(ROW(),2)&lt;&gt;0</formula>
    </cfRule>
  </conditionalFormatting>
  <conditionalFormatting sqref="B26:AA104">
    <cfRule type="expression" dxfId="279" priority="15" stopIfTrue="1">
      <formula>MOD(ROW(),2)=0</formula>
    </cfRule>
    <cfRule type="expression" dxfId="278" priority="16" stopIfTrue="1">
      <formula>MOD(ROW(),2)&lt;&gt;0</formula>
    </cfRule>
  </conditionalFormatting>
  <hyperlinks>
    <hyperlink ref="B24" location="Assumptions!A1" display="Assumptions" xr:uid="{F62A1D2E-03AA-4035-9298-F272C3CBF231}"/>
  </hyperlinks>
  <pageMargins left="0.59055118110236227" right="0.59055118110236227" top="0.59055118110236227" bottom="0.59055118110236227" header="0.51181102362204722" footer="0.51181102362204722"/>
  <pageSetup paperSize="9" scale="38" fitToWidth="2"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17"/>
  <dimension ref="A1:AU104"/>
  <sheetViews>
    <sheetView showGridLines="0" zoomScale="85" zoomScaleNormal="85" workbookViewId="0">
      <selection activeCell="A4" sqref="A4"/>
    </sheetView>
  </sheetViews>
  <sheetFormatPr defaultColWidth="10" defaultRowHeight="12.5" x14ac:dyDescent="0.25"/>
  <cols>
    <col min="1" max="1" width="31.90625" style="25" customWidth="1"/>
    <col min="2" max="47" width="22.90625" style="25" customWidth="1"/>
    <col min="48" max="16384" width="10" style="25"/>
  </cols>
  <sheetData>
    <row r="1" spans="1:47" ht="20" x14ac:dyDescent="0.4">
      <c r="A1" s="36" t="s">
        <v>0</v>
      </c>
      <c r="B1" s="37"/>
      <c r="C1" s="37"/>
      <c r="D1" s="37"/>
      <c r="E1" s="37"/>
      <c r="F1" s="37"/>
      <c r="G1" s="37"/>
      <c r="H1" s="37"/>
      <c r="I1" s="37"/>
    </row>
    <row r="2" spans="1:47" ht="15.5" x14ac:dyDescent="0.35">
      <c r="A2" s="38" t="str">
        <f>IF(title="&gt; Enter workbook title here","Enter workbook title in Cover sheet",title)</f>
        <v>NHSPS_NI - Consolidated Factor Spreadsheet</v>
      </c>
      <c r="B2" s="39"/>
      <c r="C2" s="39"/>
      <c r="D2" s="39"/>
      <c r="E2" s="39"/>
      <c r="F2" s="39"/>
      <c r="G2" s="39"/>
      <c r="H2" s="39"/>
      <c r="I2" s="39"/>
    </row>
    <row r="3" spans="1:47" ht="15.5" x14ac:dyDescent="0.35">
      <c r="A3" s="40" t="str">
        <f>TABLE_FACTOR_TYPE_1&amp;" - x-"&amp;TABLE_SERIES_NUMBER_1</f>
        <v>Allocation - x-723</v>
      </c>
      <c r="B3" s="39"/>
      <c r="C3" s="39"/>
      <c r="D3" s="39"/>
      <c r="E3" s="39"/>
      <c r="F3" s="39"/>
      <c r="G3" s="39"/>
      <c r="H3" s="39"/>
      <c r="I3" s="39"/>
    </row>
    <row r="4" spans="1:47" x14ac:dyDescent="0.25">
      <c r="A4" s="41"/>
    </row>
    <row r="6" spans="1:47" ht="13" x14ac:dyDescent="0.3">
      <c r="A6" s="83" t="s">
        <v>276</v>
      </c>
      <c r="B6" s="161" t="s">
        <v>277</v>
      </c>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row>
    <row r="7" spans="1:47" x14ac:dyDescent="0.25">
      <c r="A7" s="85" t="s">
        <v>278</v>
      </c>
      <c r="B7" s="161" t="s">
        <v>310</v>
      </c>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row>
    <row r="8" spans="1:47" x14ac:dyDescent="0.25">
      <c r="A8" s="85" t="s">
        <v>280</v>
      </c>
      <c r="B8" s="161" t="s">
        <v>74</v>
      </c>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row>
    <row r="9" spans="1:47" x14ac:dyDescent="0.25">
      <c r="A9" s="85" t="s">
        <v>282</v>
      </c>
      <c r="B9" s="161" t="s">
        <v>573</v>
      </c>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row>
    <row r="10" spans="1:47" x14ac:dyDescent="0.25">
      <c r="A10" s="85" t="s">
        <v>6</v>
      </c>
      <c r="B10" s="161" t="s">
        <v>578</v>
      </c>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row>
    <row r="11" spans="1:47" x14ac:dyDescent="0.25">
      <c r="A11" s="85" t="s">
        <v>285</v>
      </c>
      <c r="B11" s="161" t="s">
        <v>359</v>
      </c>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row>
    <row r="12" spans="1:47" x14ac:dyDescent="0.25">
      <c r="A12" s="85" t="s">
        <v>287</v>
      </c>
      <c r="B12" s="161" t="s">
        <v>575</v>
      </c>
      <c r="C12" s="161"/>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row>
    <row r="13" spans="1:47" x14ac:dyDescent="0.25">
      <c r="A13" s="85" t="s">
        <v>289</v>
      </c>
      <c r="B13" s="161">
        <v>0</v>
      </c>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row>
    <row r="14" spans="1:47" x14ac:dyDescent="0.25">
      <c r="A14" s="85" t="s">
        <v>291</v>
      </c>
      <c r="B14" s="161">
        <v>723</v>
      </c>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row>
    <row r="15" spans="1:47" x14ac:dyDescent="0.25">
      <c r="A15" s="85" t="s">
        <v>293</v>
      </c>
      <c r="B15" s="161" t="s">
        <v>579</v>
      </c>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row>
    <row r="16" spans="1:47" x14ac:dyDescent="0.25">
      <c r="A16" s="85" t="s">
        <v>295</v>
      </c>
      <c r="B16" s="161" t="str">
        <f>INDEX('Factor List'!$J:$J,MATCH(B$15,'Factor List'!$J:$J,0))</f>
        <v>0-723</v>
      </c>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row>
    <row r="17" spans="1:47" x14ac:dyDescent="0.25">
      <c r="A17" s="69" t="s">
        <v>725</v>
      </c>
      <c r="B17" s="161"/>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row>
    <row r="18" spans="1:47" x14ac:dyDescent="0.25">
      <c r="A18" s="85" t="s">
        <v>299</v>
      </c>
      <c r="B18" s="162">
        <v>45202</v>
      </c>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row>
    <row r="19" spans="1:47" x14ac:dyDescent="0.25">
      <c r="A19" s="85" t="s">
        <v>301</v>
      </c>
      <c r="B19" s="162">
        <v>45202</v>
      </c>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row>
    <row r="20" spans="1:47" x14ac:dyDescent="0.25">
      <c r="A20" s="85" t="s">
        <v>303</v>
      </c>
      <c r="B20" s="161" t="s">
        <v>317</v>
      </c>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row>
    <row r="21" spans="1:47" x14ac:dyDescent="0.25">
      <c r="A21" s="85" t="s">
        <v>309</v>
      </c>
      <c r="B21" s="161" t="s">
        <v>318</v>
      </c>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row>
    <row r="23" spans="1:47" x14ac:dyDescent="0.25">
      <c r="B23" s="103" t="str">
        <f>HYPERLINK("#'Factor List'!A1","Back to Factor List")</f>
        <v>Back to Factor List</v>
      </c>
    </row>
    <row r="24" spans="1:47" x14ac:dyDescent="0.25">
      <c r="B24" s="103" t="s">
        <v>15</v>
      </c>
    </row>
    <row r="26" spans="1:47" ht="13" x14ac:dyDescent="0.25">
      <c r="A26" s="87" t="s">
        <v>408</v>
      </c>
      <c r="B26" s="87">
        <v>30</v>
      </c>
      <c r="C26" s="87">
        <v>31</v>
      </c>
      <c r="D26" s="87">
        <v>32</v>
      </c>
      <c r="E26" s="87">
        <v>33</v>
      </c>
      <c r="F26" s="87">
        <v>34</v>
      </c>
      <c r="G26" s="87">
        <v>35</v>
      </c>
      <c r="H26" s="87">
        <v>36</v>
      </c>
      <c r="I26" s="87">
        <v>37</v>
      </c>
      <c r="J26" s="87">
        <v>38</v>
      </c>
      <c r="K26" s="87">
        <v>39</v>
      </c>
      <c r="L26" s="87">
        <v>40</v>
      </c>
      <c r="M26" s="87">
        <v>41</v>
      </c>
      <c r="N26" s="87">
        <v>42</v>
      </c>
      <c r="O26" s="87">
        <v>43</v>
      </c>
      <c r="P26" s="87">
        <v>44</v>
      </c>
      <c r="Q26" s="87">
        <v>45</v>
      </c>
      <c r="R26" s="87">
        <v>46</v>
      </c>
      <c r="S26" s="87">
        <v>47</v>
      </c>
      <c r="T26" s="87">
        <v>48</v>
      </c>
      <c r="U26" s="87">
        <v>49</v>
      </c>
      <c r="V26" s="87">
        <v>50</v>
      </c>
      <c r="W26" s="87">
        <v>51</v>
      </c>
      <c r="X26" s="87">
        <v>52</v>
      </c>
      <c r="Y26" s="87">
        <v>53</v>
      </c>
      <c r="Z26" s="87">
        <v>54</v>
      </c>
      <c r="AA26" s="87">
        <v>55</v>
      </c>
      <c r="AB26" s="87">
        <v>56</v>
      </c>
      <c r="AC26" s="87">
        <v>57</v>
      </c>
      <c r="AD26" s="87">
        <v>58</v>
      </c>
      <c r="AE26" s="87">
        <v>59</v>
      </c>
      <c r="AF26" s="87">
        <v>60</v>
      </c>
      <c r="AG26" s="87">
        <v>61</v>
      </c>
      <c r="AH26" s="87">
        <v>62</v>
      </c>
      <c r="AI26" s="87">
        <v>63</v>
      </c>
      <c r="AJ26" s="87">
        <v>64</v>
      </c>
      <c r="AK26" s="87">
        <v>65</v>
      </c>
      <c r="AL26" s="87">
        <v>66</v>
      </c>
      <c r="AM26" s="87">
        <v>67</v>
      </c>
      <c r="AN26" s="87">
        <v>68</v>
      </c>
      <c r="AO26" s="87">
        <v>69</v>
      </c>
      <c r="AP26" s="87">
        <v>70</v>
      </c>
      <c r="AQ26" s="87">
        <v>71</v>
      </c>
      <c r="AR26" s="87">
        <v>72</v>
      </c>
      <c r="AS26" s="87">
        <v>73</v>
      </c>
      <c r="AT26" s="87">
        <v>74</v>
      </c>
      <c r="AU26" s="87">
        <v>75</v>
      </c>
    </row>
    <row r="27" spans="1:47" x14ac:dyDescent="0.25">
      <c r="A27" s="88">
        <v>22</v>
      </c>
      <c r="B27" s="91">
        <v>8.57</v>
      </c>
      <c r="C27" s="91">
        <v>7.91</v>
      </c>
      <c r="D27" s="91">
        <v>7.32</v>
      </c>
      <c r="E27" s="91">
        <v>6.78</v>
      </c>
      <c r="F27" s="91">
        <v>6.29</v>
      </c>
      <c r="G27" s="91">
        <v>5.85</v>
      </c>
      <c r="H27" s="91">
        <v>5.45</v>
      </c>
      <c r="I27" s="91">
        <v>5.08</v>
      </c>
      <c r="J27" s="91">
        <v>4.74</v>
      </c>
      <c r="K27" s="91">
        <v>4.43</v>
      </c>
      <c r="L27" s="91">
        <v>4.1500000000000004</v>
      </c>
      <c r="M27" s="91">
        <v>3.89</v>
      </c>
      <c r="N27" s="91">
        <v>3.64</v>
      </c>
      <c r="O27" s="91">
        <v>3.42</v>
      </c>
      <c r="P27" s="91">
        <v>3.21</v>
      </c>
      <c r="Q27" s="91">
        <v>3.02</v>
      </c>
      <c r="R27" s="91">
        <v>2.84</v>
      </c>
      <c r="S27" s="91">
        <v>2.67</v>
      </c>
      <c r="T27" s="91">
        <v>2.5099999999999998</v>
      </c>
      <c r="U27" s="91">
        <v>2.37</v>
      </c>
      <c r="V27" s="91">
        <v>2.23</v>
      </c>
      <c r="W27" s="91">
        <v>2.1</v>
      </c>
      <c r="X27" s="91">
        <v>1.98</v>
      </c>
      <c r="Y27" s="91">
        <v>1.87</v>
      </c>
      <c r="Z27" s="91">
        <v>1.76</v>
      </c>
      <c r="AA27" s="91">
        <v>1.66</v>
      </c>
      <c r="AB27" s="91">
        <v>1.57</v>
      </c>
      <c r="AC27" s="91">
        <v>1.48</v>
      </c>
      <c r="AD27" s="91">
        <v>1.39</v>
      </c>
      <c r="AE27" s="91">
        <v>1.31</v>
      </c>
      <c r="AF27" s="91">
        <v>1.23</v>
      </c>
      <c r="AG27" s="91">
        <v>1.1599999999999999</v>
      </c>
      <c r="AH27" s="91">
        <v>1.0900000000000001</v>
      </c>
      <c r="AI27" s="91">
        <v>1.03</v>
      </c>
      <c r="AJ27" s="91">
        <v>0.97</v>
      </c>
      <c r="AK27" s="91">
        <v>0.91</v>
      </c>
      <c r="AL27" s="91">
        <v>0.86</v>
      </c>
      <c r="AM27" s="91">
        <v>0.8</v>
      </c>
      <c r="AN27" s="91">
        <v>0.75</v>
      </c>
      <c r="AO27" s="91">
        <v>0.71</v>
      </c>
      <c r="AP27" s="91">
        <v>0.66</v>
      </c>
      <c r="AQ27" s="91">
        <v>0.62</v>
      </c>
      <c r="AR27" s="91">
        <v>0.57999999999999996</v>
      </c>
      <c r="AS27" s="91">
        <v>0.54</v>
      </c>
      <c r="AT27" s="91">
        <v>0.5</v>
      </c>
      <c r="AU27" s="91">
        <v>0.47</v>
      </c>
    </row>
    <row r="28" spans="1:47" x14ac:dyDescent="0.25">
      <c r="A28" s="88">
        <v>23</v>
      </c>
      <c r="B28" s="91">
        <v>9.06</v>
      </c>
      <c r="C28" s="91">
        <v>8.35</v>
      </c>
      <c r="D28" s="91">
        <v>7.7</v>
      </c>
      <c r="E28" s="91">
        <v>7.12</v>
      </c>
      <c r="F28" s="91">
        <v>6.6</v>
      </c>
      <c r="G28" s="91">
        <v>6.12</v>
      </c>
      <c r="H28" s="91">
        <v>5.69</v>
      </c>
      <c r="I28" s="91">
        <v>5.29</v>
      </c>
      <c r="J28" s="91">
        <v>4.93</v>
      </c>
      <c r="K28" s="91">
        <v>4.6100000000000003</v>
      </c>
      <c r="L28" s="91">
        <v>4.3</v>
      </c>
      <c r="M28" s="91">
        <v>4.03</v>
      </c>
      <c r="N28" s="91">
        <v>3.77</v>
      </c>
      <c r="O28" s="91">
        <v>3.53</v>
      </c>
      <c r="P28" s="91">
        <v>3.31</v>
      </c>
      <c r="Q28" s="91">
        <v>3.11</v>
      </c>
      <c r="R28" s="91">
        <v>2.92</v>
      </c>
      <c r="S28" s="91">
        <v>2.75</v>
      </c>
      <c r="T28" s="91">
        <v>2.58</v>
      </c>
      <c r="U28" s="91">
        <v>2.4300000000000002</v>
      </c>
      <c r="V28" s="91">
        <v>2.29</v>
      </c>
      <c r="W28" s="91">
        <v>2.15</v>
      </c>
      <c r="X28" s="91">
        <v>2.0299999999999998</v>
      </c>
      <c r="Y28" s="91">
        <v>1.91</v>
      </c>
      <c r="Z28" s="91">
        <v>1.8</v>
      </c>
      <c r="AA28" s="91">
        <v>1.7</v>
      </c>
      <c r="AB28" s="91">
        <v>1.6</v>
      </c>
      <c r="AC28" s="91">
        <v>1.51</v>
      </c>
      <c r="AD28" s="91">
        <v>1.42</v>
      </c>
      <c r="AE28" s="91">
        <v>1.34</v>
      </c>
      <c r="AF28" s="91">
        <v>1.26</v>
      </c>
      <c r="AG28" s="91">
        <v>1.18</v>
      </c>
      <c r="AH28" s="91">
        <v>1.1100000000000001</v>
      </c>
      <c r="AI28" s="91">
        <v>1.05</v>
      </c>
      <c r="AJ28" s="91">
        <v>0.98</v>
      </c>
      <c r="AK28" s="91">
        <v>0.92</v>
      </c>
      <c r="AL28" s="91">
        <v>0.87</v>
      </c>
      <c r="AM28" s="91">
        <v>0.82</v>
      </c>
      <c r="AN28" s="91">
        <v>0.76</v>
      </c>
      <c r="AO28" s="91">
        <v>0.72</v>
      </c>
      <c r="AP28" s="91">
        <v>0.67</v>
      </c>
      <c r="AQ28" s="91">
        <v>0.63</v>
      </c>
      <c r="AR28" s="91">
        <v>0.59</v>
      </c>
      <c r="AS28" s="91">
        <v>0.55000000000000004</v>
      </c>
      <c r="AT28" s="91">
        <v>0.51</v>
      </c>
      <c r="AU28" s="91">
        <v>0.47</v>
      </c>
    </row>
    <row r="29" spans="1:47" x14ac:dyDescent="0.25">
      <c r="A29" s="88">
        <v>24</v>
      </c>
      <c r="B29" s="91">
        <v>9.6</v>
      </c>
      <c r="C29" s="91">
        <v>8.82</v>
      </c>
      <c r="D29" s="91">
        <v>8.1300000000000008</v>
      </c>
      <c r="E29" s="91">
        <v>7.5</v>
      </c>
      <c r="F29" s="91">
        <v>6.93</v>
      </c>
      <c r="G29" s="91">
        <v>6.42</v>
      </c>
      <c r="H29" s="91">
        <v>5.95</v>
      </c>
      <c r="I29" s="91">
        <v>5.53</v>
      </c>
      <c r="J29" s="91">
        <v>5.14</v>
      </c>
      <c r="K29" s="91">
        <v>4.79</v>
      </c>
      <c r="L29" s="91">
        <v>4.47</v>
      </c>
      <c r="M29" s="91">
        <v>4.18</v>
      </c>
      <c r="N29" s="91">
        <v>3.91</v>
      </c>
      <c r="O29" s="91">
        <v>3.66</v>
      </c>
      <c r="P29" s="91">
        <v>3.42</v>
      </c>
      <c r="Q29" s="91">
        <v>3.21</v>
      </c>
      <c r="R29" s="91">
        <v>3.01</v>
      </c>
      <c r="S29" s="91">
        <v>2.83</v>
      </c>
      <c r="T29" s="91">
        <v>2.66</v>
      </c>
      <c r="U29" s="91">
        <v>2.5</v>
      </c>
      <c r="V29" s="91">
        <v>2.35</v>
      </c>
      <c r="W29" s="91">
        <v>2.21</v>
      </c>
      <c r="X29" s="91">
        <v>2.08</v>
      </c>
      <c r="Y29" s="91">
        <v>1.96</v>
      </c>
      <c r="Z29" s="91">
        <v>1.84</v>
      </c>
      <c r="AA29" s="91">
        <v>1.73</v>
      </c>
      <c r="AB29" s="91">
        <v>1.63</v>
      </c>
      <c r="AC29" s="91">
        <v>1.54</v>
      </c>
      <c r="AD29" s="91">
        <v>1.45</v>
      </c>
      <c r="AE29" s="91">
        <v>1.36</v>
      </c>
      <c r="AF29" s="91">
        <v>1.28</v>
      </c>
      <c r="AG29" s="91">
        <v>1.21</v>
      </c>
      <c r="AH29" s="91">
        <v>1.1299999999999999</v>
      </c>
      <c r="AI29" s="91">
        <v>1.07</v>
      </c>
      <c r="AJ29" s="91">
        <v>1</v>
      </c>
      <c r="AK29" s="91">
        <v>0.94</v>
      </c>
      <c r="AL29" s="91">
        <v>0.88</v>
      </c>
      <c r="AM29" s="91">
        <v>0.83</v>
      </c>
      <c r="AN29" s="91">
        <v>0.78</v>
      </c>
      <c r="AO29" s="91">
        <v>0.73</v>
      </c>
      <c r="AP29" s="91">
        <v>0.68</v>
      </c>
      <c r="AQ29" s="91">
        <v>0.63</v>
      </c>
      <c r="AR29" s="91">
        <v>0.59</v>
      </c>
      <c r="AS29" s="91">
        <v>0.55000000000000004</v>
      </c>
      <c r="AT29" s="91">
        <v>0.52</v>
      </c>
      <c r="AU29" s="91">
        <v>0.48</v>
      </c>
    </row>
    <row r="30" spans="1:47" x14ac:dyDescent="0.25">
      <c r="A30" s="88">
        <v>25</v>
      </c>
      <c r="B30" s="91">
        <v>10.199999999999999</v>
      </c>
      <c r="C30" s="91">
        <v>9.35</v>
      </c>
      <c r="D30" s="91">
        <v>8.59</v>
      </c>
      <c r="E30" s="91">
        <v>7.91</v>
      </c>
      <c r="F30" s="91">
        <v>7.29</v>
      </c>
      <c r="G30" s="91">
        <v>6.74</v>
      </c>
      <c r="H30" s="91">
        <v>6.24</v>
      </c>
      <c r="I30" s="91">
        <v>5.79</v>
      </c>
      <c r="J30" s="91">
        <v>5.37</v>
      </c>
      <c r="K30" s="91">
        <v>5</v>
      </c>
      <c r="L30" s="91">
        <v>4.6500000000000004</v>
      </c>
      <c r="M30" s="91">
        <v>4.34</v>
      </c>
      <c r="N30" s="91">
        <v>4.05</v>
      </c>
      <c r="O30" s="91">
        <v>3.79</v>
      </c>
      <c r="P30" s="91">
        <v>3.54</v>
      </c>
      <c r="Q30" s="91">
        <v>3.32</v>
      </c>
      <c r="R30" s="91">
        <v>3.11</v>
      </c>
      <c r="S30" s="91">
        <v>2.92</v>
      </c>
      <c r="T30" s="91">
        <v>2.74</v>
      </c>
      <c r="U30" s="91">
        <v>2.57</v>
      </c>
      <c r="V30" s="91">
        <v>2.41</v>
      </c>
      <c r="W30" s="91">
        <v>2.27</v>
      </c>
      <c r="X30" s="91">
        <v>2.13</v>
      </c>
      <c r="Y30" s="91">
        <v>2.0099999999999998</v>
      </c>
      <c r="Z30" s="91">
        <v>1.89</v>
      </c>
      <c r="AA30" s="91">
        <v>1.77</v>
      </c>
      <c r="AB30" s="91">
        <v>1.67</v>
      </c>
      <c r="AC30" s="91">
        <v>1.57</v>
      </c>
      <c r="AD30" s="91">
        <v>1.48</v>
      </c>
      <c r="AE30" s="91">
        <v>1.39</v>
      </c>
      <c r="AF30" s="91">
        <v>1.31</v>
      </c>
      <c r="AG30" s="91">
        <v>1.23</v>
      </c>
      <c r="AH30" s="91">
        <v>1.1499999999999999</v>
      </c>
      <c r="AI30" s="91">
        <v>1.0900000000000001</v>
      </c>
      <c r="AJ30" s="91">
        <v>1.02</v>
      </c>
      <c r="AK30" s="91">
        <v>0.96</v>
      </c>
      <c r="AL30" s="91">
        <v>0.9</v>
      </c>
      <c r="AM30" s="91">
        <v>0.84</v>
      </c>
      <c r="AN30" s="91">
        <v>0.79</v>
      </c>
      <c r="AO30" s="91">
        <v>0.74</v>
      </c>
      <c r="AP30" s="91">
        <v>0.69</v>
      </c>
      <c r="AQ30" s="91">
        <v>0.64</v>
      </c>
      <c r="AR30" s="91">
        <v>0.6</v>
      </c>
      <c r="AS30" s="91">
        <v>0.56000000000000005</v>
      </c>
      <c r="AT30" s="91">
        <v>0.52</v>
      </c>
      <c r="AU30" s="91">
        <v>0.49</v>
      </c>
    </row>
    <row r="31" spans="1:47" x14ac:dyDescent="0.25">
      <c r="A31" s="88">
        <v>26</v>
      </c>
      <c r="B31" s="91">
        <v>10.86</v>
      </c>
      <c r="C31" s="91">
        <v>9.94</v>
      </c>
      <c r="D31" s="91">
        <v>9.11</v>
      </c>
      <c r="E31" s="91">
        <v>8.36</v>
      </c>
      <c r="F31" s="91">
        <v>7.7</v>
      </c>
      <c r="G31" s="91">
        <v>7.1</v>
      </c>
      <c r="H31" s="91">
        <v>6.56</v>
      </c>
      <c r="I31" s="91">
        <v>6.07</v>
      </c>
      <c r="J31" s="91">
        <v>5.62</v>
      </c>
      <c r="K31" s="91">
        <v>5.22</v>
      </c>
      <c r="L31" s="91">
        <v>4.8499999999999996</v>
      </c>
      <c r="M31" s="91">
        <v>4.5199999999999996</v>
      </c>
      <c r="N31" s="91">
        <v>4.21</v>
      </c>
      <c r="O31" s="91">
        <v>3.93</v>
      </c>
      <c r="P31" s="91">
        <v>3.67</v>
      </c>
      <c r="Q31" s="91">
        <v>3.43</v>
      </c>
      <c r="R31" s="91">
        <v>3.21</v>
      </c>
      <c r="S31" s="91">
        <v>3.01</v>
      </c>
      <c r="T31" s="91">
        <v>2.82</v>
      </c>
      <c r="U31" s="91">
        <v>2.65</v>
      </c>
      <c r="V31" s="91">
        <v>2.48</v>
      </c>
      <c r="W31" s="91">
        <v>2.33</v>
      </c>
      <c r="X31" s="91">
        <v>2.19</v>
      </c>
      <c r="Y31" s="91">
        <v>2.06</v>
      </c>
      <c r="Z31" s="91">
        <v>1.93</v>
      </c>
      <c r="AA31" s="91">
        <v>1.82</v>
      </c>
      <c r="AB31" s="91">
        <v>1.71</v>
      </c>
      <c r="AC31" s="91">
        <v>1.61</v>
      </c>
      <c r="AD31" s="91">
        <v>1.51</v>
      </c>
      <c r="AE31" s="91">
        <v>1.42</v>
      </c>
      <c r="AF31" s="91">
        <v>1.33</v>
      </c>
      <c r="AG31" s="91">
        <v>1.25</v>
      </c>
      <c r="AH31" s="91">
        <v>1.18</v>
      </c>
      <c r="AI31" s="91">
        <v>1.1100000000000001</v>
      </c>
      <c r="AJ31" s="91">
        <v>1.04</v>
      </c>
      <c r="AK31" s="91">
        <v>0.97</v>
      </c>
      <c r="AL31" s="91">
        <v>0.91</v>
      </c>
      <c r="AM31" s="91">
        <v>0.86</v>
      </c>
      <c r="AN31" s="91">
        <v>0.8</v>
      </c>
      <c r="AO31" s="91">
        <v>0.75</v>
      </c>
      <c r="AP31" s="91">
        <v>0.7</v>
      </c>
      <c r="AQ31" s="91">
        <v>0.65</v>
      </c>
      <c r="AR31" s="91">
        <v>0.61</v>
      </c>
      <c r="AS31" s="91">
        <v>0.56999999999999995</v>
      </c>
      <c r="AT31" s="91">
        <v>0.53</v>
      </c>
      <c r="AU31" s="91">
        <v>0.49</v>
      </c>
    </row>
    <row r="32" spans="1:47" x14ac:dyDescent="0.25">
      <c r="A32" s="88">
        <v>27</v>
      </c>
      <c r="B32" s="91">
        <v>11.6</v>
      </c>
      <c r="C32" s="91">
        <v>10.58</v>
      </c>
      <c r="D32" s="91">
        <v>9.68</v>
      </c>
      <c r="E32" s="91">
        <v>8.8699999999999992</v>
      </c>
      <c r="F32" s="91">
        <v>8.14</v>
      </c>
      <c r="G32" s="91">
        <v>7.49</v>
      </c>
      <c r="H32" s="91">
        <v>6.9</v>
      </c>
      <c r="I32" s="91">
        <v>6.37</v>
      </c>
      <c r="J32" s="91">
        <v>5.9</v>
      </c>
      <c r="K32" s="91">
        <v>5.46</v>
      </c>
      <c r="L32" s="91">
        <v>5.07</v>
      </c>
      <c r="M32" s="91">
        <v>4.71</v>
      </c>
      <c r="N32" s="91">
        <v>4.38</v>
      </c>
      <c r="O32" s="91">
        <v>4.08</v>
      </c>
      <c r="P32" s="91">
        <v>3.81</v>
      </c>
      <c r="Q32" s="91">
        <v>3.56</v>
      </c>
      <c r="R32" s="91">
        <v>3.33</v>
      </c>
      <c r="S32" s="91">
        <v>3.11</v>
      </c>
      <c r="T32" s="91">
        <v>2.91</v>
      </c>
      <c r="U32" s="91">
        <v>2.73</v>
      </c>
      <c r="V32" s="91">
        <v>2.56</v>
      </c>
      <c r="W32" s="91">
        <v>2.4</v>
      </c>
      <c r="X32" s="91">
        <v>2.25</v>
      </c>
      <c r="Y32" s="91">
        <v>2.11</v>
      </c>
      <c r="Z32" s="91">
        <v>1.98</v>
      </c>
      <c r="AA32" s="91">
        <v>1.86</v>
      </c>
      <c r="AB32" s="91">
        <v>1.75</v>
      </c>
      <c r="AC32" s="91">
        <v>1.64</v>
      </c>
      <c r="AD32" s="91">
        <v>1.54</v>
      </c>
      <c r="AE32" s="91">
        <v>1.45</v>
      </c>
      <c r="AF32" s="91">
        <v>1.36</v>
      </c>
      <c r="AG32" s="91">
        <v>1.28</v>
      </c>
      <c r="AH32" s="91">
        <v>1.2</v>
      </c>
      <c r="AI32" s="91">
        <v>1.1299999999999999</v>
      </c>
      <c r="AJ32" s="91">
        <v>1.06</v>
      </c>
      <c r="AK32" s="91">
        <v>0.99</v>
      </c>
      <c r="AL32" s="91">
        <v>0.93</v>
      </c>
      <c r="AM32" s="91">
        <v>0.87</v>
      </c>
      <c r="AN32" s="91">
        <v>0.81</v>
      </c>
      <c r="AO32" s="91">
        <v>0.76</v>
      </c>
      <c r="AP32" s="91">
        <v>0.71</v>
      </c>
      <c r="AQ32" s="91">
        <v>0.66</v>
      </c>
      <c r="AR32" s="91">
        <v>0.62</v>
      </c>
      <c r="AS32" s="91">
        <v>0.57999999999999996</v>
      </c>
      <c r="AT32" s="91">
        <v>0.54</v>
      </c>
      <c r="AU32" s="91">
        <v>0.5</v>
      </c>
    </row>
    <row r="33" spans="1:47" x14ac:dyDescent="0.25">
      <c r="A33" s="88">
        <v>28</v>
      </c>
      <c r="B33" s="91">
        <v>12.41</v>
      </c>
      <c r="C33" s="91">
        <v>11.3</v>
      </c>
      <c r="D33" s="91">
        <v>10.31</v>
      </c>
      <c r="E33" s="91">
        <v>9.42</v>
      </c>
      <c r="F33" s="91">
        <v>8.6300000000000008</v>
      </c>
      <c r="G33" s="91">
        <v>7.92</v>
      </c>
      <c r="H33" s="91">
        <v>7.28</v>
      </c>
      <c r="I33" s="91">
        <v>6.71</v>
      </c>
      <c r="J33" s="91">
        <v>6.19</v>
      </c>
      <c r="K33" s="91">
        <v>5.73</v>
      </c>
      <c r="L33" s="91">
        <v>5.31</v>
      </c>
      <c r="M33" s="91">
        <v>4.92</v>
      </c>
      <c r="N33" s="91">
        <v>4.57</v>
      </c>
      <c r="O33" s="91">
        <v>4.25</v>
      </c>
      <c r="P33" s="91">
        <v>3.96</v>
      </c>
      <c r="Q33" s="91">
        <v>3.69</v>
      </c>
      <c r="R33" s="91">
        <v>3.45</v>
      </c>
      <c r="S33" s="91">
        <v>3.22</v>
      </c>
      <c r="T33" s="91">
        <v>3.01</v>
      </c>
      <c r="U33" s="91">
        <v>2.82</v>
      </c>
      <c r="V33" s="91">
        <v>2.64</v>
      </c>
      <c r="W33" s="91">
        <v>2.4700000000000002</v>
      </c>
      <c r="X33" s="91">
        <v>2.3199999999999998</v>
      </c>
      <c r="Y33" s="91">
        <v>2.17</v>
      </c>
      <c r="Z33" s="91">
        <v>2.04</v>
      </c>
      <c r="AA33" s="91">
        <v>1.91</v>
      </c>
      <c r="AB33" s="91">
        <v>1.79</v>
      </c>
      <c r="AC33" s="91">
        <v>1.68</v>
      </c>
      <c r="AD33" s="91">
        <v>1.58</v>
      </c>
      <c r="AE33" s="91">
        <v>1.48</v>
      </c>
      <c r="AF33" s="91">
        <v>1.39</v>
      </c>
      <c r="AG33" s="91">
        <v>1.31</v>
      </c>
      <c r="AH33" s="91">
        <v>1.23</v>
      </c>
      <c r="AI33" s="91">
        <v>1.1499999999999999</v>
      </c>
      <c r="AJ33" s="91">
        <v>1.08</v>
      </c>
      <c r="AK33" s="91">
        <v>1.01</v>
      </c>
      <c r="AL33" s="91">
        <v>0.95</v>
      </c>
      <c r="AM33" s="91">
        <v>0.89</v>
      </c>
      <c r="AN33" s="91">
        <v>0.83</v>
      </c>
      <c r="AO33" s="91">
        <v>0.77</v>
      </c>
      <c r="AP33" s="91">
        <v>0.72</v>
      </c>
      <c r="AQ33" s="91">
        <v>0.67</v>
      </c>
      <c r="AR33" s="91">
        <v>0.63</v>
      </c>
      <c r="AS33" s="91">
        <v>0.59</v>
      </c>
      <c r="AT33" s="91">
        <v>0.55000000000000004</v>
      </c>
      <c r="AU33" s="91">
        <v>0.51</v>
      </c>
    </row>
    <row r="34" spans="1:47" x14ac:dyDescent="0.25">
      <c r="A34" s="88">
        <v>29</v>
      </c>
      <c r="B34" s="91">
        <v>13.32</v>
      </c>
      <c r="C34" s="91">
        <v>12.09</v>
      </c>
      <c r="D34" s="91">
        <v>11.01</v>
      </c>
      <c r="E34" s="91">
        <v>10.039999999999999</v>
      </c>
      <c r="F34" s="91">
        <v>9.17</v>
      </c>
      <c r="G34" s="91">
        <v>8.4</v>
      </c>
      <c r="H34" s="91">
        <v>7.7</v>
      </c>
      <c r="I34" s="91">
        <v>7.08</v>
      </c>
      <c r="J34" s="91">
        <v>6.52</v>
      </c>
      <c r="K34" s="91">
        <v>6.02</v>
      </c>
      <c r="L34" s="91">
        <v>5.56</v>
      </c>
      <c r="M34" s="91">
        <v>5.15</v>
      </c>
      <c r="N34" s="91">
        <v>4.78</v>
      </c>
      <c r="O34" s="91">
        <v>4.43</v>
      </c>
      <c r="P34" s="91">
        <v>4.12</v>
      </c>
      <c r="Q34" s="91">
        <v>3.84</v>
      </c>
      <c r="R34" s="91">
        <v>3.58</v>
      </c>
      <c r="S34" s="91">
        <v>3.34</v>
      </c>
      <c r="T34" s="91">
        <v>3.12</v>
      </c>
      <c r="U34" s="91">
        <v>2.91</v>
      </c>
      <c r="V34" s="91">
        <v>2.72</v>
      </c>
      <c r="W34" s="91">
        <v>2.5499999999999998</v>
      </c>
      <c r="X34" s="91">
        <v>2.39</v>
      </c>
      <c r="Y34" s="91">
        <v>2.23</v>
      </c>
      <c r="Z34" s="91">
        <v>2.09</v>
      </c>
      <c r="AA34" s="91">
        <v>1.96</v>
      </c>
      <c r="AB34" s="91">
        <v>1.84</v>
      </c>
      <c r="AC34" s="91">
        <v>1.73</v>
      </c>
      <c r="AD34" s="91">
        <v>1.62</v>
      </c>
      <c r="AE34" s="91">
        <v>1.52</v>
      </c>
      <c r="AF34" s="91">
        <v>1.42</v>
      </c>
      <c r="AG34" s="91">
        <v>1.33</v>
      </c>
      <c r="AH34" s="91">
        <v>1.25</v>
      </c>
      <c r="AI34" s="91">
        <v>1.17</v>
      </c>
      <c r="AJ34" s="91">
        <v>1.1000000000000001</v>
      </c>
      <c r="AK34" s="91">
        <v>1.03</v>
      </c>
      <c r="AL34" s="91">
        <v>0.96</v>
      </c>
      <c r="AM34" s="91">
        <v>0.9</v>
      </c>
      <c r="AN34" s="91">
        <v>0.84</v>
      </c>
      <c r="AO34" s="91">
        <v>0.79</v>
      </c>
      <c r="AP34" s="91">
        <v>0.74</v>
      </c>
      <c r="AQ34" s="91">
        <v>0.69</v>
      </c>
      <c r="AR34" s="91">
        <v>0.64</v>
      </c>
      <c r="AS34" s="91">
        <v>0.6</v>
      </c>
      <c r="AT34" s="91">
        <v>0.55000000000000004</v>
      </c>
      <c r="AU34" s="91">
        <v>0.51</v>
      </c>
    </row>
    <row r="35" spans="1:47" x14ac:dyDescent="0.25">
      <c r="A35" s="88">
        <v>30</v>
      </c>
      <c r="B35" s="91">
        <v>14.32</v>
      </c>
      <c r="C35" s="91">
        <v>12.97</v>
      </c>
      <c r="D35" s="91">
        <v>11.78</v>
      </c>
      <c r="E35" s="91">
        <v>10.72</v>
      </c>
      <c r="F35" s="91">
        <v>9.77</v>
      </c>
      <c r="G35" s="91">
        <v>8.92</v>
      </c>
      <c r="H35" s="91">
        <v>8.17</v>
      </c>
      <c r="I35" s="91">
        <v>7.49</v>
      </c>
      <c r="J35" s="91">
        <v>6.89</v>
      </c>
      <c r="K35" s="91">
        <v>6.34</v>
      </c>
      <c r="L35" s="91">
        <v>5.85</v>
      </c>
      <c r="M35" s="91">
        <v>5.4</v>
      </c>
      <c r="N35" s="91">
        <v>5</v>
      </c>
      <c r="O35" s="91">
        <v>4.63</v>
      </c>
      <c r="P35" s="91">
        <v>4.3</v>
      </c>
      <c r="Q35" s="91">
        <v>4</v>
      </c>
      <c r="R35" s="91">
        <v>3.72</v>
      </c>
      <c r="S35" s="91">
        <v>3.46</v>
      </c>
      <c r="T35" s="91">
        <v>3.23</v>
      </c>
      <c r="U35" s="91">
        <v>3.01</v>
      </c>
      <c r="V35" s="91">
        <v>2.81</v>
      </c>
      <c r="W35" s="91">
        <v>2.63</v>
      </c>
      <c r="X35" s="91">
        <v>2.46</v>
      </c>
      <c r="Y35" s="91">
        <v>2.2999999999999998</v>
      </c>
      <c r="Z35" s="91">
        <v>2.15</v>
      </c>
      <c r="AA35" s="91">
        <v>2.02</v>
      </c>
      <c r="AB35" s="91">
        <v>1.89</v>
      </c>
      <c r="AC35" s="91">
        <v>1.77</v>
      </c>
      <c r="AD35" s="91">
        <v>1.66</v>
      </c>
      <c r="AE35" s="91">
        <v>1.55</v>
      </c>
      <c r="AF35" s="91">
        <v>1.46</v>
      </c>
      <c r="AG35" s="91">
        <v>1.36</v>
      </c>
      <c r="AH35" s="91">
        <v>1.28</v>
      </c>
      <c r="AI35" s="91">
        <v>1.2</v>
      </c>
      <c r="AJ35" s="91">
        <v>1.1200000000000001</v>
      </c>
      <c r="AK35" s="91">
        <v>1.05</v>
      </c>
      <c r="AL35" s="91">
        <v>0.98</v>
      </c>
      <c r="AM35" s="91">
        <v>0.92</v>
      </c>
      <c r="AN35" s="91">
        <v>0.86</v>
      </c>
      <c r="AO35" s="91">
        <v>0.8</v>
      </c>
      <c r="AP35" s="91">
        <v>0.75</v>
      </c>
      <c r="AQ35" s="91">
        <v>0.7</v>
      </c>
      <c r="AR35" s="91">
        <v>0.65</v>
      </c>
      <c r="AS35" s="91">
        <v>0.6</v>
      </c>
      <c r="AT35" s="91">
        <v>0.56000000000000005</v>
      </c>
      <c r="AU35" s="91">
        <v>0.52</v>
      </c>
    </row>
    <row r="36" spans="1:47" x14ac:dyDescent="0.25">
      <c r="A36" s="88">
        <v>31</v>
      </c>
      <c r="B36" s="91">
        <v>15.43</v>
      </c>
      <c r="C36" s="91">
        <v>13.95</v>
      </c>
      <c r="D36" s="91">
        <v>12.64</v>
      </c>
      <c r="E36" s="91">
        <v>11.47</v>
      </c>
      <c r="F36" s="91">
        <v>10.43</v>
      </c>
      <c r="G36" s="91">
        <v>9.51</v>
      </c>
      <c r="H36" s="91">
        <v>8.68</v>
      </c>
      <c r="I36" s="91">
        <v>7.94</v>
      </c>
      <c r="J36" s="91">
        <v>7.28</v>
      </c>
      <c r="K36" s="91">
        <v>6.69</v>
      </c>
      <c r="L36" s="91">
        <v>6.16</v>
      </c>
      <c r="M36" s="91">
        <v>5.68</v>
      </c>
      <c r="N36" s="91">
        <v>5.24</v>
      </c>
      <c r="O36" s="91">
        <v>4.8499999999999996</v>
      </c>
      <c r="P36" s="91">
        <v>4.49</v>
      </c>
      <c r="Q36" s="91">
        <v>4.17</v>
      </c>
      <c r="R36" s="91">
        <v>3.87</v>
      </c>
      <c r="S36" s="91">
        <v>3.6</v>
      </c>
      <c r="T36" s="91">
        <v>3.35</v>
      </c>
      <c r="U36" s="91">
        <v>3.12</v>
      </c>
      <c r="V36" s="91">
        <v>2.91</v>
      </c>
      <c r="W36" s="91">
        <v>2.72</v>
      </c>
      <c r="X36" s="91">
        <v>2.54</v>
      </c>
      <c r="Y36" s="91">
        <v>2.37</v>
      </c>
      <c r="Z36" s="91">
        <v>2.2200000000000002</v>
      </c>
      <c r="AA36" s="91">
        <v>2.08</v>
      </c>
      <c r="AB36" s="91">
        <v>1.94</v>
      </c>
      <c r="AC36" s="91">
        <v>1.82</v>
      </c>
      <c r="AD36" s="91">
        <v>1.7</v>
      </c>
      <c r="AE36" s="91">
        <v>1.59</v>
      </c>
      <c r="AF36" s="91">
        <v>1.49</v>
      </c>
      <c r="AG36" s="91">
        <v>1.4</v>
      </c>
      <c r="AH36" s="91">
        <v>1.31</v>
      </c>
      <c r="AI36" s="91">
        <v>1.22</v>
      </c>
      <c r="AJ36" s="91">
        <v>1.1499999999999999</v>
      </c>
      <c r="AK36" s="91">
        <v>1.07</v>
      </c>
      <c r="AL36" s="91">
        <v>1</v>
      </c>
      <c r="AM36" s="91">
        <v>0.94</v>
      </c>
      <c r="AN36" s="91">
        <v>0.88</v>
      </c>
      <c r="AO36" s="91">
        <v>0.82</v>
      </c>
      <c r="AP36" s="91">
        <v>0.76</v>
      </c>
      <c r="AQ36" s="91">
        <v>0.71</v>
      </c>
      <c r="AR36" s="91">
        <v>0.66</v>
      </c>
      <c r="AS36" s="91">
        <v>0.61</v>
      </c>
      <c r="AT36" s="91">
        <v>0.56999999999999995</v>
      </c>
      <c r="AU36" s="91">
        <v>0.53</v>
      </c>
    </row>
    <row r="37" spans="1:47" x14ac:dyDescent="0.25">
      <c r="A37" s="88">
        <v>32</v>
      </c>
      <c r="B37" s="91">
        <v>16.66</v>
      </c>
      <c r="C37" s="91">
        <v>15.04</v>
      </c>
      <c r="D37" s="91">
        <v>13.59</v>
      </c>
      <c r="E37" s="91">
        <v>12.31</v>
      </c>
      <c r="F37" s="91">
        <v>11.17</v>
      </c>
      <c r="G37" s="91">
        <v>10.15</v>
      </c>
      <c r="H37" s="91">
        <v>9.25</v>
      </c>
      <c r="I37" s="91">
        <v>8.4499999999999993</v>
      </c>
      <c r="J37" s="91">
        <v>7.72</v>
      </c>
      <c r="K37" s="91">
        <v>7.08</v>
      </c>
      <c r="L37" s="91">
        <v>6.5</v>
      </c>
      <c r="M37" s="91">
        <v>5.98</v>
      </c>
      <c r="N37" s="91">
        <v>5.51</v>
      </c>
      <c r="O37" s="91">
        <v>5.09</v>
      </c>
      <c r="P37" s="91">
        <v>4.7</v>
      </c>
      <c r="Q37" s="91">
        <v>4.3499999999999996</v>
      </c>
      <c r="R37" s="91">
        <v>4.04</v>
      </c>
      <c r="S37" s="91">
        <v>3.75</v>
      </c>
      <c r="T37" s="91">
        <v>3.48</v>
      </c>
      <c r="U37" s="91">
        <v>3.24</v>
      </c>
      <c r="V37" s="91">
        <v>3.02</v>
      </c>
      <c r="W37" s="91">
        <v>2.81</v>
      </c>
      <c r="X37" s="91">
        <v>2.63</v>
      </c>
      <c r="Y37" s="91">
        <v>2.4500000000000002</v>
      </c>
      <c r="Z37" s="91">
        <v>2.29</v>
      </c>
      <c r="AA37" s="91">
        <v>2.14</v>
      </c>
      <c r="AB37" s="91">
        <v>2</v>
      </c>
      <c r="AC37" s="91">
        <v>1.87</v>
      </c>
      <c r="AD37" s="91">
        <v>1.75</v>
      </c>
      <c r="AE37" s="91">
        <v>1.64</v>
      </c>
      <c r="AF37" s="91">
        <v>1.53</v>
      </c>
      <c r="AG37" s="91">
        <v>1.43</v>
      </c>
      <c r="AH37" s="91">
        <v>1.34</v>
      </c>
      <c r="AI37" s="91">
        <v>1.25</v>
      </c>
      <c r="AJ37" s="91">
        <v>1.17</v>
      </c>
      <c r="AK37" s="91">
        <v>1.1000000000000001</v>
      </c>
      <c r="AL37" s="91">
        <v>1.02</v>
      </c>
      <c r="AM37" s="91">
        <v>0.96</v>
      </c>
      <c r="AN37" s="91">
        <v>0.89</v>
      </c>
      <c r="AO37" s="91">
        <v>0.83</v>
      </c>
      <c r="AP37" s="91">
        <v>0.78</v>
      </c>
      <c r="AQ37" s="91">
        <v>0.72</v>
      </c>
      <c r="AR37" s="91">
        <v>0.67</v>
      </c>
      <c r="AS37" s="91">
        <v>0.63</v>
      </c>
      <c r="AT37" s="91">
        <v>0.57999999999999996</v>
      </c>
      <c r="AU37" s="91">
        <v>0.54</v>
      </c>
    </row>
    <row r="38" spans="1:47" x14ac:dyDescent="0.25">
      <c r="A38" s="88">
        <v>33</v>
      </c>
      <c r="B38" s="91">
        <v>18.02</v>
      </c>
      <c r="C38" s="91">
        <v>16.239999999999998</v>
      </c>
      <c r="D38" s="91">
        <v>14.65</v>
      </c>
      <c r="E38" s="91">
        <v>13.24</v>
      </c>
      <c r="F38" s="91">
        <v>11.99</v>
      </c>
      <c r="G38" s="91">
        <v>10.87</v>
      </c>
      <c r="H38" s="91">
        <v>9.8800000000000008</v>
      </c>
      <c r="I38" s="91">
        <v>9</v>
      </c>
      <c r="J38" s="91">
        <v>8.2100000000000009</v>
      </c>
      <c r="K38" s="91">
        <v>7.51</v>
      </c>
      <c r="L38" s="91">
        <v>6.88</v>
      </c>
      <c r="M38" s="91">
        <v>6.31</v>
      </c>
      <c r="N38" s="91">
        <v>5.81</v>
      </c>
      <c r="O38" s="91">
        <v>5.35</v>
      </c>
      <c r="P38" s="91">
        <v>4.93</v>
      </c>
      <c r="Q38" s="91">
        <v>4.5599999999999996</v>
      </c>
      <c r="R38" s="91">
        <v>4.22</v>
      </c>
      <c r="S38" s="91">
        <v>3.91</v>
      </c>
      <c r="T38" s="91">
        <v>3.63</v>
      </c>
      <c r="U38" s="91">
        <v>3.37</v>
      </c>
      <c r="V38" s="91">
        <v>3.13</v>
      </c>
      <c r="W38" s="91">
        <v>2.92</v>
      </c>
      <c r="X38" s="91">
        <v>2.72</v>
      </c>
      <c r="Y38" s="91">
        <v>2.5299999999999998</v>
      </c>
      <c r="Z38" s="91">
        <v>2.36</v>
      </c>
      <c r="AA38" s="91">
        <v>2.21</v>
      </c>
      <c r="AB38" s="91">
        <v>2.06</v>
      </c>
      <c r="AC38" s="91">
        <v>1.92</v>
      </c>
      <c r="AD38" s="91">
        <v>1.8</v>
      </c>
      <c r="AE38" s="91">
        <v>1.68</v>
      </c>
      <c r="AF38" s="91">
        <v>1.57</v>
      </c>
      <c r="AG38" s="91">
        <v>1.47</v>
      </c>
      <c r="AH38" s="91">
        <v>1.37</v>
      </c>
      <c r="AI38" s="91">
        <v>1.28</v>
      </c>
      <c r="AJ38" s="91">
        <v>1.2</v>
      </c>
      <c r="AK38" s="91">
        <v>1.1200000000000001</v>
      </c>
      <c r="AL38" s="91">
        <v>1.05</v>
      </c>
      <c r="AM38" s="91">
        <v>0.98</v>
      </c>
      <c r="AN38" s="91">
        <v>0.91</v>
      </c>
      <c r="AO38" s="91">
        <v>0.85</v>
      </c>
      <c r="AP38" s="91">
        <v>0.79</v>
      </c>
      <c r="AQ38" s="91">
        <v>0.74</v>
      </c>
      <c r="AR38" s="91">
        <v>0.68</v>
      </c>
      <c r="AS38" s="91">
        <v>0.64</v>
      </c>
      <c r="AT38" s="91">
        <v>0.59</v>
      </c>
      <c r="AU38" s="91">
        <v>0.55000000000000004</v>
      </c>
    </row>
    <row r="39" spans="1:47" x14ac:dyDescent="0.25">
      <c r="A39" s="88">
        <v>34</v>
      </c>
      <c r="B39" s="91">
        <v>19.53</v>
      </c>
      <c r="C39" s="91">
        <v>17.57</v>
      </c>
      <c r="D39" s="91">
        <v>15.83</v>
      </c>
      <c r="E39" s="91">
        <v>14.27</v>
      </c>
      <c r="F39" s="91">
        <v>12.9</v>
      </c>
      <c r="G39" s="91">
        <v>11.67</v>
      </c>
      <c r="H39" s="91">
        <v>10.58</v>
      </c>
      <c r="I39" s="91">
        <v>9.61</v>
      </c>
      <c r="J39" s="91">
        <v>8.75</v>
      </c>
      <c r="K39" s="91">
        <v>7.98</v>
      </c>
      <c r="L39" s="91">
        <v>7.3</v>
      </c>
      <c r="M39" s="91">
        <v>6.68</v>
      </c>
      <c r="N39" s="91">
        <v>6.13</v>
      </c>
      <c r="O39" s="91">
        <v>5.63</v>
      </c>
      <c r="P39" s="91">
        <v>5.19</v>
      </c>
      <c r="Q39" s="91">
        <v>4.78</v>
      </c>
      <c r="R39" s="91">
        <v>4.42</v>
      </c>
      <c r="S39" s="91">
        <v>4.09</v>
      </c>
      <c r="T39" s="91">
        <v>3.79</v>
      </c>
      <c r="U39" s="91">
        <v>3.51</v>
      </c>
      <c r="V39" s="91">
        <v>3.26</v>
      </c>
      <c r="W39" s="91">
        <v>3.03</v>
      </c>
      <c r="X39" s="91">
        <v>2.82</v>
      </c>
      <c r="Y39" s="91">
        <v>2.62</v>
      </c>
      <c r="Z39" s="91">
        <v>2.44</v>
      </c>
      <c r="AA39" s="91">
        <v>2.2799999999999998</v>
      </c>
      <c r="AB39" s="91">
        <v>2.12</v>
      </c>
      <c r="AC39" s="91">
        <v>1.98</v>
      </c>
      <c r="AD39" s="91">
        <v>1.85</v>
      </c>
      <c r="AE39" s="91">
        <v>1.73</v>
      </c>
      <c r="AF39" s="91">
        <v>1.61</v>
      </c>
      <c r="AG39" s="91">
        <v>1.51</v>
      </c>
      <c r="AH39" s="91">
        <v>1.41</v>
      </c>
      <c r="AI39" s="91">
        <v>1.31</v>
      </c>
      <c r="AJ39" s="91">
        <v>1.23</v>
      </c>
      <c r="AK39" s="91">
        <v>1.1499999999999999</v>
      </c>
      <c r="AL39" s="91">
        <v>1.07</v>
      </c>
      <c r="AM39" s="91">
        <v>1</v>
      </c>
      <c r="AN39" s="91">
        <v>0.93</v>
      </c>
      <c r="AO39" s="91">
        <v>0.87</v>
      </c>
      <c r="AP39" s="91">
        <v>0.81</v>
      </c>
      <c r="AQ39" s="91">
        <v>0.75</v>
      </c>
      <c r="AR39" s="91">
        <v>0.7</v>
      </c>
      <c r="AS39" s="91">
        <v>0.65</v>
      </c>
      <c r="AT39" s="91">
        <v>0.6</v>
      </c>
      <c r="AU39" s="91">
        <v>0.56000000000000005</v>
      </c>
    </row>
    <row r="40" spans="1:47" x14ac:dyDescent="0.25">
      <c r="A40" s="88">
        <v>35</v>
      </c>
      <c r="B40" s="91">
        <v>21.2</v>
      </c>
      <c r="C40" s="91">
        <v>19.05</v>
      </c>
      <c r="D40" s="91">
        <v>17.13</v>
      </c>
      <c r="E40" s="91">
        <v>15.42</v>
      </c>
      <c r="F40" s="91">
        <v>13.9</v>
      </c>
      <c r="G40" s="91">
        <v>12.56</v>
      </c>
      <c r="H40" s="91">
        <v>11.36</v>
      </c>
      <c r="I40" s="91">
        <v>10.3</v>
      </c>
      <c r="J40" s="91">
        <v>9.35</v>
      </c>
      <c r="K40" s="91">
        <v>8.51</v>
      </c>
      <c r="L40" s="91">
        <v>7.76</v>
      </c>
      <c r="M40" s="91">
        <v>7.09</v>
      </c>
      <c r="N40" s="91">
        <v>6.49</v>
      </c>
      <c r="O40" s="91">
        <v>5.95</v>
      </c>
      <c r="P40" s="91">
        <v>5.46</v>
      </c>
      <c r="Q40" s="91">
        <v>5.03</v>
      </c>
      <c r="R40" s="91">
        <v>4.6399999999999997</v>
      </c>
      <c r="S40" s="91">
        <v>4.28</v>
      </c>
      <c r="T40" s="91">
        <v>3.96</v>
      </c>
      <c r="U40" s="91">
        <v>3.66</v>
      </c>
      <c r="V40" s="91">
        <v>3.39</v>
      </c>
      <c r="W40" s="91">
        <v>3.15</v>
      </c>
      <c r="X40" s="91">
        <v>2.93</v>
      </c>
      <c r="Y40" s="91">
        <v>2.72</v>
      </c>
      <c r="Z40" s="91">
        <v>2.5299999999999998</v>
      </c>
      <c r="AA40" s="91">
        <v>2.36</v>
      </c>
      <c r="AB40" s="91">
        <v>2.19</v>
      </c>
      <c r="AC40" s="91">
        <v>2.04</v>
      </c>
      <c r="AD40" s="91">
        <v>1.91</v>
      </c>
      <c r="AE40" s="91">
        <v>1.78</v>
      </c>
      <c r="AF40" s="91">
        <v>1.66</v>
      </c>
      <c r="AG40" s="91">
        <v>1.55</v>
      </c>
      <c r="AH40" s="91">
        <v>1.44</v>
      </c>
      <c r="AI40" s="91">
        <v>1.35</v>
      </c>
      <c r="AJ40" s="91">
        <v>1.26</v>
      </c>
      <c r="AK40" s="91">
        <v>1.17</v>
      </c>
      <c r="AL40" s="91">
        <v>1.0900000000000001</v>
      </c>
      <c r="AM40" s="91">
        <v>1.02</v>
      </c>
      <c r="AN40" s="91">
        <v>0.95</v>
      </c>
      <c r="AO40" s="91">
        <v>0.88</v>
      </c>
      <c r="AP40" s="91">
        <v>0.82</v>
      </c>
      <c r="AQ40" s="91">
        <v>0.77</v>
      </c>
      <c r="AR40" s="91">
        <v>0.71</v>
      </c>
      <c r="AS40" s="91">
        <v>0.66</v>
      </c>
      <c r="AT40" s="91">
        <v>0.61</v>
      </c>
      <c r="AU40" s="91">
        <v>0.56999999999999995</v>
      </c>
    </row>
    <row r="41" spans="1:47" x14ac:dyDescent="0.25">
      <c r="A41" s="88">
        <v>36</v>
      </c>
      <c r="B41" s="91">
        <v>23.05</v>
      </c>
      <c r="C41" s="91">
        <v>20.68</v>
      </c>
      <c r="D41" s="91">
        <v>18.57</v>
      </c>
      <c r="E41" s="91">
        <v>16.690000000000001</v>
      </c>
      <c r="F41" s="91">
        <v>15.02</v>
      </c>
      <c r="G41" s="91">
        <v>13.54</v>
      </c>
      <c r="H41" s="91">
        <v>12.22</v>
      </c>
      <c r="I41" s="91">
        <v>11.06</v>
      </c>
      <c r="J41" s="91">
        <v>10.02</v>
      </c>
      <c r="K41" s="91">
        <v>9.09</v>
      </c>
      <c r="L41" s="91">
        <v>8.27</v>
      </c>
      <c r="M41" s="91">
        <v>7.54</v>
      </c>
      <c r="N41" s="91">
        <v>6.88</v>
      </c>
      <c r="O41" s="91">
        <v>6.3</v>
      </c>
      <c r="P41" s="91">
        <v>5.77</v>
      </c>
      <c r="Q41" s="91">
        <v>5.3</v>
      </c>
      <c r="R41" s="91">
        <v>4.87</v>
      </c>
      <c r="S41" s="91">
        <v>4.49</v>
      </c>
      <c r="T41" s="91">
        <v>4.1399999999999997</v>
      </c>
      <c r="U41" s="91">
        <v>3.83</v>
      </c>
      <c r="V41" s="91">
        <v>3.54</v>
      </c>
      <c r="W41" s="91">
        <v>3.28</v>
      </c>
      <c r="X41" s="91">
        <v>3.04</v>
      </c>
      <c r="Y41" s="91">
        <v>2.82</v>
      </c>
      <c r="Z41" s="91">
        <v>2.62</v>
      </c>
      <c r="AA41" s="91">
        <v>2.44</v>
      </c>
      <c r="AB41" s="91">
        <v>2.27</v>
      </c>
      <c r="AC41" s="91">
        <v>2.11</v>
      </c>
      <c r="AD41" s="91">
        <v>1.97</v>
      </c>
      <c r="AE41" s="91">
        <v>1.83</v>
      </c>
      <c r="AF41" s="91">
        <v>1.71</v>
      </c>
      <c r="AG41" s="91">
        <v>1.59</v>
      </c>
      <c r="AH41" s="91">
        <v>1.48</v>
      </c>
      <c r="AI41" s="91">
        <v>1.38</v>
      </c>
      <c r="AJ41" s="91">
        <v>1.29</v>
      </c>
      <c r="AK41" s="91">
        <v>1.2</v>
      </c>
      <c r="AL41" s="91">
        <v>1.1200000000000001</v>
      </c>
      <c r="AM41" s="91">
        <v>1.04</v>
      </c>
      <c r="AN41" s="91">
        <v>0.97</v>
      </c>
      <c r="AO41" s="91">
        <v>0.9</v>
      </c>
      <c r="AP41" s="91">
        <v>0.84</v>
      </c>
      <c r="AQ41" s="91">
        <v>0.78</v>
      </c>
      <c r="AR41" s="91">
        <v>0.73</v>
      </c>
      <c r="AS41" s="91">
        <v>0.67</v>
      </c>
      <c r="AT41" s="91">
        <v>0.62</v>
      </c>
      <c r="AU41" s="91">
        <v>0.57999999999999996</v>
      </c>
    </row>
    <row r="42" spans="1:47" x14ac:dyDescent="0.25">
      <c r="A42" s="88">
        <v>37</v>
      </c>
      <c r="B42" s="91">
        <v>25.08</v>
      </c>
      <c r="C42" s="91">
        <v>22.48</v>
      </c>
      <c r="D42" s="91">
        <v>20.170000000000002</v>
      </c>
      <c r="E42" s="91">
        <v>18.100000000000001</v>
      </c>
      <c r="F42" s="91">
        <v>16.27</v>
      </c>
      <c r="G42" s="91">
        <v>14.63</v>
      </c>
      <c r="H42" s="91">
        <v>13.18</v>
      </c>
      <c r="I42" s="91">
        <v>11.9</v>
      </c>
      <c r="J42" s="91">
        <v>10.76</v>
      </c>
      <c r="K42" s="91">
        <v>9.74</v>
      </c>
      <c r="L42" s="91">
        <v>8.84</v>
      </c>
      <c r="M42" s="91">
        <v>8.0299999999999994</v>
      </c>
      <c r="N42" s="91">
        <v>7.32</v>
      </c>
      <c r="O42" s="91">
        <v>6.68</v>
      </c>
      <c r="P42" s="91">
        <v>6.11</v>
      </c>
      <c r="Q42" s="91">
        <v>5.6</v>
      </c>
      <c r="R42" s="91">
        <v>5.14</v>
      </c>
      <c r="S42" s="91">
        <v>4.72</v>
      </c>
      <c r="T42" s="91">
        <v>4.3499999999999996</v>
      </c>
      <c r="U42" s="91">
        <v>4.01</v>
      </c>
      <c r="V42" s="91">
        <v>3.7</v>
      </c>
      <c r="W42" s="91">
        <v>3.42</v>
      </c>
      <c r="X42" s="91">
        <v>3.17</v>
      </c>
      <c r="Y42" s="91">
        <v>2.94</v>
      </c>
      <c r="Z42" s="91">
        <v>2.72</v>
      </c>
      <c r="AA42" s="91">
        <v>2.5299999999999998</v>
      </c>
      <c r="AB42" s="91">
        <v>2.35</v>
      </c>
      <c r="AC42" s="91">
        <v>2.1800000000000002</v>
      </c>
      <c r="AD42" s="91">
        <v>2.0299999999999998</v>
      </c>
      <c r="AE42" s="91">
        <v>1.89</v>
      </c>
      <c r="AF42" s="91">
        <v>1.76</v>
      </c>
      <c r="AG42" s="91">
        <v>1.64</v>
      </c>
      <c r="AH42" s="91">
        <v>1.53</v>
      </c>
      <c r="AI42" s="91">
        <v>1.42</v>
      </c>
      <c r="AJ42" s="91">
        <v>1.32</v>
      </c>
      <c r="AK42" s="91">
        <v>1.23</v>
      </c>
      <c r="AL42" s="91">
        <v>1.1499999999999999</v>
      </c>
      <c r="AM42" s="91">
        <v>1.07</v>
      </c>
      <c r="AN42" s="91">
        <v>0.99</v>
      </c>
      <c r="AO42" s="91">
        <v>0.92</v>
      </c>
      <c r="AP42" s="91">
        <v>0.86</v>
      </c>
      <c r="AQ42" s="91">
        <v>0.8</v>
      </c>
      <c r="AR42" s="91">
        <v>0.74</v>
      </c>
      <c r="AS42" s="91">
        <v>0.69</v>
      </c>
      <c r="AT42" s="91">
        <v>0.64</v>
      </c>
      <c r="AU42" s="91">
        <v>0.59</v>
      </c>
    </row>
    <row r="43" spans="1:47" x14ac:dyDescent="0.25">
      <c r="A43" s="88">
        <v>38</v>
      </c>
      <c r="B43" s="91">
        <v>27.31</v>
      </c>
      <c r="C43" s="91">
        <v>24.47</v>
      </c>
      <c r="D43" s="91">
        <v>21.93</v>
      </c>
      <c r="E43" s="91">
        <v>19.66</v>
      </c>
      <c r="F43" s="91">
        <v>17.64</v>
      </c>
      <c r="G43" s="91">
        <v>15.85</v>
      </c>
      <c r="H43" s="91">
        <v>14.25</v>
      </c>
      <c r="I43" s="91">
        <v>12.84</v>
      </c>
      <c r="J43" s="91">
        <v>11.58</v>
      </c>
      <c r="K43" s="91">
        <v>10.46</v>
      </c>
      <c r="L43" s="91">
        <v>9.4700000000000006</v>
      </c>
      <c r="M43" s="91">
        <v>8.59</v>
      </c>
      <c r="N43" s="91">
        <v>7.8</v>
      </c>
      <c r="O43" s="91">
        <v>7.1</v>
      </c>
      <c r="P43" s="91">
        <v>6.48</v>
      </c>
      <c r="Q43" s="91">
        <v>5.92</v>
      </c>
      <c r="R43" s="91">
        <v>5.42</v>
      </c>
      <c r="S43" s="91">
        <v>4.9800000000000004</v>
      </c>
      <c r="T43" s="91">
        <v>4.57</v>
      </c>
      <c r="U43" s="91">
        <v>4.21</v>
      </c>
      <c r="V43" s="91">
        <v>3.88</v>
      </c>
      <c r="W43" s="91">
        <v>3.58</v>
      </c>
      <c r="X43" s="91">
        <v>3.31</v>
      </c>
      <c r="Y43" s="91">
        <v>3.06</v>
      </c>
      <c r="Z43" s="91">
        <v>2.83</v>
      </c>
      <c r="AA43" s="91">
        <v>2.63</v>
      </c>
      <c r="AB43" s="91">
        <v>2.44</v>
      </c>
      <c r="AC43" s="91">
        <v>2.2599999999999998</v>
      </c>
      <c r="AD43" s="91">
        <v>2.1</v>
      </c>
      <c r="AE43" s="91">
        <v>1.95</v>
      </c>
      <c r="AF43" s="91">
        <v>1.82</v>
      </c>
      <c r="AG43" s="91">
        <v>1.69</v>
      </c>
      <c r="AH43" s="91">
        <v>1.57</v>
      </c>
      <c r="AI43" s="91">
        <v>1.46</v>
      </c>
      <c r="AJ43" s="91">
        <v>1.36</v>
      </c>
      <c r="AK43" s="91">
        <v>1.27</v>
      </c>
      <c r="AL43" s="91">
        <v>1.18</v>
      </c>
      <c r="AM43" s="91">
        <v>1.1000000000000001</v>
      </c>
      <c r="AN43" s="91">
        <v>1.02</v>
      </c>
      <c r="AO43" s="91">
        <v>0.95</v>
      </c>
      <c r="AP43" s="91">
        <v>0.88</v>
      </c>
      <c r="AQ43" s="91">
        <v>0.82</v>
      </c>
      <c r="AR43" s="91">
        <v>0.76</v>
      </c>
      <c r="AS43" s="91">
        <v>0.7</v>
      </c>
      <c r="AT43" s="91">
        <v>0.65</v>
      </c>
      <c r="AU43" s="91">
        <v>0.6</v>
      </c>
    </row>
    <row r="44" spans="1:47" x14ac:dyDescent="0.25">
      <c r="A44" s="88">
        <v>39</v>
      </c>
      <c r="B44" s="91">
        <v>29.24</v>
      </c>
      <c r="C44" s="91">
        <v>26.66</v>
      </c>
      <c r="D44" s="91">
        <v>23.88</v>
      </c>
      <c r="E44" s="91">
        <v>21.39</v>
      </c>
      <c r="F44" s="91">
        <v>19.170000000000002</v>
      </c>
      <c r="G44" s="91">
        <v>17.2</v>
      </c>
      <c r="H44" s="91">
        <v>15.44</v>
      </c>
      <c r="I44" s="91">
        <v>13.88</v>
      </c>
      <c r="J44" s="91">
        <v>12.49</v>
      </c>
      <c r="K44" s="91">
        <v>11.26</v>
      </c>
      <c r="L44" s="91">
        <v>10.17</v>
      </c>
      <c r="M44" s="91">
        <v>9.1999999999999993</v>
      </c>
      <c r="N44" s="91">
        <v>8.34</v>
      </c>
      <c r="O44" s="91">
        <v>7.58</v>
      </c>
      <c r="P44" s="91">
        <v>6.89</v>
      </c>
      <c r="Q44" s="91">
        <v>6.29</v>
      </c>
      <c r="R44" s="91">
        <v>5.74</v>
      </c>
      <c r="S44" s="91">
        <v>5.26</v>
      </c>
      <c r="T44" s="91">
        <v>4.82</v>
      </c>
      <c r="U44" s="91">
        <v>4.43</v>
      </c>
      <c r="V44" s="91">
        <v>4.07</v>
      </c>
      <c r="W44" s="91">
        <v>3.75</v>
      </c>
      <c r="X44" s="91">
        <v>3.46</v>
      </c>
      <c r="Y44" s="91">
        <v>3.19</v>
      </c>
      <c r="Z44" s="91">
        <v>2.95</v>
      </c>
      <c r="AA44" s="91">
        <v>2.73</v>
      </c>
      <c r="AB44" s="91">
        <v>2.5299999999999998</v>
      </c>
      <c r="AC44" s="91">
        <v>2.35</v>
      </c>
      <c r="AD44" s="91">
        <v>2.1800000000000002</v>
      </c>
      <c r="AE44" s="91">
        <v>2.02</v>
      </c>
      <c r="AF44" s="91">
        <v>1.88</v>
      </c>
      <c r="AG44" s="91">
        <v>1.74</v>
      </c>
      <c r="AH44" s="91">
        <v>1.62</v>
      </c>
      <c r="AI44" s="91">
        <v>1.51</v>
      </c>
      <c r="AJ44" s="91">
        <v>1.4</v>
      </c>
      <c r="AK44" s="91">
        <v>1.3</v>
      </c>
      <c r="AL44" s="91">
        <v>1.21</v>
      </c>
      <c r="AM44" s="91">
        <v>1.1200000000000001</v>
      </c>
      <c r="AN44" s="91">
        <v>1.04</v>
      </c>
      <c r="AO44" s="91">
        <v>0.97</v>
      </c>
      <c r="AP44" s="91">
        <v>0.9</v>
      </c>
      <c r="AQ44" s="91">
        <v>0.83</v>
      </c>
      <c r="AR44" s="91">
        <v>0.77</v>
      </c>
      <c r="AS44" s="91">
        <v>0.72</v>
      </c>
      <c r="AT44" s="91">
        <v>0.66</v>
      </c>
      <c r="AU44" s="91">
        <v>0.61</v>
      </c>
    </row>
    <row r="45" spans="1:47" x14ac:dyDescent="0.25">
      <c r="A45" s="88">
        <v>40</v>
      </c>
      <c r="B45" s="91">
        <v>30</v>
      </c>
      <c r="C45" s="91">
        <v>28.9</v>
      </c>
      <c r="D45" s="91">
        <v>26.02</v>
      </c>
      <c r="E45" s="91">
        <v>23.3</v>
      </c>
      <c r="F45" s="91">
        <v>20.86</v>
      </c>
      <c r="G45" s="91">
        <v>18.690000000000001</v>
      </c>
      <c r="H45" s="91">
        <v>16.75</v>
      </c>
      <c r="I45" s="91">
        <v>15.03</v>
      </c>
      <c r="J45" s="91">
        <v>13.51</v>
      </c>
      <c r="K45" s="91">
        <v>12.15</v>
      </c>
      <c r="L45" s="91">
        <v>10.95</v>
      </c>
      <c r="M45" s="91">
        <v>9.89</v>
      </c>
      <c r="N45" s="91">
        <v>8.94</v>
      </c>
      <c r="O45" s="91">
        <v>8.1</v>
      </c>
      <c r="P45" s="91">
        <v>7.35</v>
      </c>
      <c r="Q45" s="91">
        <v>6.69</v>
      </c>
      <c r="R45" s="91">
        <v>6.1</v>
      </c>
      <c r="S45" s="91">
        <v>5.57</v>
      </c>
      <c r="T45" s="91">
        <v>5.09</v>
      </c>
      <c r="U45" s="91">
        <v>4.67</v>
      </c>
      <c r="V45" s="91">
        <v>4.28</v>
      </c>
      <c r="W45" s="91">
        <v>3.94</v>
      </c>
      <c r="X45" s="91">
        <v>3.62</v>
      </c>
      <c r="Y45" s="91">
        <v>3.34</v>
      </c>
      <c r="Z45" s="91">
        <v>3.08</v>
      </c>
      <c r="AA45" s="91">
        <v>2.85</v>
      </c>
      <c r="AB45" s="91">
        <v>2.63</v>
      </c>
      <c r="AC45" s="91">
        <v>2.44</v>
      </c>
      <c r="AD45" s="91">
        <v>2.2599999999999998</v>
      </c>
      <c r="AE45" s="91">
        <v>2.09</v>
      </c>
      <c r="AF45" s="91">
        <v>1.94</v>
      </c>
      <c r="AG45" s="91">
        <v>1.8</v>
      </c>
      <c r="AH45" s="91">
        <v>1.67</v>
      </c>
      <c r="AI45" s="91">
        <v>1.55</v>
      </c>
      <c r="AJ45" s="91">
        <v>1.44</v>
      </c>
      <c r="AK45" s="91">
        <v>1.34</v>
      </c>
      <c r="AL45" s="91">
        <v>1.24</v>
      </c>
      <c r="AM45" s="91">
        <v>1.1499999999999999</v>
      </c>
      <c r="AN45" s="91">
        <v>1.07</v>
      </c>
      <c r="AO45" s="91">
        <v>0.99</v>
      </c>
      <c r="AP45" s="91">
        <v>0.92</v>
      </c>
      <c r="AQ45" s="91">
        <v>0.85</v>
      </c>
      <c r="AR45" s="91">
        <v>0.79</v>
      </c>
      <c r="AS45" s="91">
        <v>0.73</v>
      </c>
      <c r="AT45" s="91">
        <v>0.68</v>
      </c>
      <c r="AU45" s="91">
        <v>0.63</v>
      </c>
    </row>
    <row r="46" spans="1:47" x14ac:dyDescent="0.25">
      <c r="A46" s="88">
        <v>41</v>
      </c>
      <c r="B46" s="91">
        <v>30</v>
      </c>
      <c r="C46" s="91">
        <v>30</v>
      </c>
      <c r="D46" s="91">
        <v>28.38</v>
      </c>
      <c r="E46" s="91">
        <v>25.4</v>
      </c>
      <c r="F46" s="91">
        <v>22.73</v>
      </c>
      <c r="G46" s="91">
        <v>20.34</v>
      </c>
      <c r="H46" s="91">
        <v>18.21</v>
      </c>
      <c r="I46" s="91">
        <v>16.32</v>
      </c>
      <c r="J46" s="91">
        <v>14.64</v>
      </c>
      <c r="K46" s="91">
        <v>13.15</v>
      </c>
      <c r="L46" s="91">
        <v>11.82</v>
      </c>
      <c r="M46" s="91">
        <v>10.65</v>
      </c>
      <c r="N46" s="91">
        <v>9.61</v>
      </c>
      <c r="O46" s="91">
        <v>8.68</v>
      </c>
      <c r="P46" s="91">
        <v>7.86</v>
      </c>
      <c r="Q46" s="91">
        <v>7.13</v>
      </c>
      <c r="R46" s="91">
        <v>6.49</v>
      </c>
      <c r="S46" s="91">
        <v>5.91</v>
      </c>
      <c r="T46" s="91">
        <v>5.39</v>
      </c>
      <c r="U46" s="91">
        <v>4.93</v>
      </c>
      <c r="V46" s="91">
        <v>4.51</v>
      </c>
      <c r="W46" s="91">
        <v>4.1399999999999997</v>
      </c>
      <c r="X46" s="91">
        <v>3.8</v>
      </c>
      <c r="Y46" s="91">
        <v>3.5</v>
      </c>
      <c r="Z46" s="91">
        <v>3.22</v>
      </c>
      <c r="AA46" s="91">
        <v>2.97</v>
      </c>
      <c r="AB46" s="91">
        <v>2.74</v>
      </c>
      <c r="AC46" s="91">
        <v>2.54</v>
      </c>
      <c r="AD46" s="91">
        <v>2.34</v>
      </c>
      <c r="AE46" s="91">
        <v>2.17</v>
      </c>
      <c r="AF46" s="91">
        <v>2.0099999999999998</v>
      </c>
      <c r="AG46" s="91">
        <v>1.86</v>
      </c>
      <c r="AH46" s="91">
        <v>1.73</v>
      </c>
      <c r="AI46" s="91">
        <v>1.6</v>
      </c>
      <c r="AJ46" s="91">
        <v>1.49</v>
      </c>
      <c r="AK46" s="91">
        <v>1.38</v>
      </c>
      <c r="AL46" s="91">
        <v>1.28</v>
      </c>
      <c r="AM46" s="91">
        <v>1.19</v>
      </c>
      <c r="AN46" s="91">
        <v>1.1000000000000001</v>
      </c>
      <c r="AO46" s="91">
        <v>1.02</v>
      </c>
      <c r="AP46" s="91">
        <v>0.94</v>
      </c>
      <c r="AQ46" s="91">
        <v>0.87</v>
      </c>
      <c r="AR46" s="91">
        <v>0.81</v>
      </c>
      <c r="AS46" s="91">
        <v>0.75</v>
      </c>
      <c r="AT46" s="91">
        <v>0.69</v>
      </c>
      <c r="AU46" s="91">
        <v>0.64</v>
      </c>
    </row>
    <row r="47" spans="1:47" x14ac:dyDescent="0.25">
      <c r="A47" s="88">
        <v>42</v>
      </c>
      <c r="B47" s="91">
        <v>30</v>
      </c>
      <c r="C47" s="91">
        <v>30</v>
      </c>
      <c r="D47" s="91">
        <v>29.8</v>
      </c>
      <c r="E47" s="91">
        <v>27.7</v>
      </c>
      <c r="F47" s="91">
        <v>24.78</v>
      </c>
      <c r="G47" s="91">
        <v>22.17</v>
      </c>
      <c r="H47" s="91">
        <v>19.829999999999998</v>
      </c>
      <c r="I47" s="91">
        <v>17.75</v>
      </c>
      <c r="J47" s="91">
        <v>15.89</v>
      </c>
      <c r="K47" s="91">
        <v>14.25</v>
      </c>
      <c r="L47" s="91">
        <v>12.79</v>
      </c>
      <c r="M47" s="91">
        <v>11.49</v>
      </c>
      <c r="N47" s="91">
        <v>10.35</v>
      </c>
      <c r="O47" s="91">
        <v>9.33</v>
      </c>
      <c r="P47" s="91">
        <v>8.43</v>
      </c>
      <c r="Q47" s="91">
        <v>7.63</v>
      </c>
      <c r="R47" s="91">
        <v>6.92</v>
      </c>
      <c r="S47" s="91">
        <v>6.29</v>
      </c>
      <c r="T47" s="91">
        <v>5.72</v>
      </c>
      <c r="U47" s="91">
        <v>5.22</v>
      </c>
      <c r="V47" s="91">
        <v>4.7699999999999996</v>
      </c>
      <c r="W47" s="91">
        <v>4.37</v>
      </c>
      <c r="X47" s="91">
        <v>4</v>
      </c>
      <c r="Y47" s="91">
        <v>3.67</v>
      </c>
      <c r="Z47" s="91">
        <v>3.38</v>
      </c>
      <c r="AA47" s="91">
        <v>3.11</v>
      </c>
      <c r="AB47" s="91">
        <v>2.86</v>
      </c>
      <c r="AC47" s="91">
        <v>2.64</v>
      </c>
      <c r="AD47" s="91">
        <v>2.44</v>
      </c>
      <c r="AE47" s="91">
        <v>2.2599999999999998</v>
      </c>
      <c r="AF47" s="91">
        <v>2.09</v>
      </c>
      <c r="AG47" s="91">
        <v>1.93</v>
      </c>
      <c r="AH47" s="91">
        <v>1.79</v>
      </c>
      <c r="AI47" s="91">
        <v>1.66</v>
      </c>
      <c r="AJ47" s="91">
        <v>1.53</v>
      </c>
      <c r="AK47" s="91">
        <v>1.42</v>
      </c>
      <c r="AL47" s="91">
        <v>1.32</v>
      </c>
      <c r="AM47" s="91">
        <v>1.22</v>
      </c>
      <c r="AN47" s="91">
        <v>1.1299999999999999</v>
      </c>
      <c r="AO47" s="91">
        <v>1.05</v>
      </c>
      <c r="AP47" s="91">
        <v>0.97</v>
      </c>
      <c r="AQ47" s="91">
        <v>0.9</v>
      </c>
      <c r="AR47" s="91">
        <v>0.83</v>
      </c>
      <c r="AS47" s="91">
        <v>0.77</v>
      </c>
      <c r="AT47" s="91">
        <v>0.71</v>
      </c>
      <c r="AU47" s="91">
        <v>0.65</v>
      </c>
    </row>
    <row r="48" spans="1:47" x14ac:dyDescent="0.25">
      <c r="A48" s="88">
        <v>43</v>
      </c>
      <c r="B48" s="91">
        <v>30</v>
      </c>
      <c r="C48" s="91">
        <v>30</v>
      </c>
      <c r="D48" s="91">
        <v>30</v>
      </c>
      <c r="E48" s="91">
        <v>29.46</v>
      </c>
      <c r="F48" s="91">
        <v>27.05</v>
      </c>
      <c r="G48" s="91">
        <v>24.18</v>
      </c>
      <c r="H48" s="91">
        <v>21.62</v>
      </c>
      <c r="I48" s="91">
        <v>19.329999999999998</v>
      </c>
      <c r="J48" s="91">
        <v>17.29</v>
      </c>
      <c r="K48" s="91">
        <v>15.47</v>
      </c>
      <c r="L48" s="91">
        <v>13.86</v>
      </c>
      <c r="M48" s="91">
        <v>12.44</v>
      </c>
      <c r="N48" s="91">
        <v>11.17</v>
      </c>
      <c r="O48" s="91">
        <v>10.050000000000001</v>
      </c>
      <c r="P48" s="91">
        <v>9.06</v>
      </c>
      <c r="Q48" s="91">
        <v>8.18</v>
      </c>
      <c r="R48" s="91">
        <v>7.4</v>
      </c>
      <c r="S48" s="91">
        <v>6.71</v>
      </c>
      <c r="T48" s="91">
        <v>6.09</v>
      </c>
      <c r="U48" s="91">
        <v>5.54</v>
      </c>
      <c r="V48" s="91">
        <v>5.05</v>
      </c>
      <c r="W48" s="91">
        <v>4.6100000000000003</v>
      </c>
      <c r="X48" s="91">
        <v>4.22</v>
      </c>
      <c r="Y48" s="91">
        <v>3.87</v>
      </c>
      <c r="Z48" s="91">
        <v>3.55</v>
      </c>
      <c r="AA48" s="91">
        <v>3.26</v>
      </c>
      <c r="AB48" s="91">
        <v>3</v>
      </c>
      <c r="AC48" s="91">
        <v>2.76</v>
      </c>
      <c r="AD48" s="91">
        <v>2.54</v>
      </c>
      <c r="AE48" s="91">
        <v>2.35</v>
      </c>
      <c r="AF48" s="91">
        <v>2.17</v>
      </c>
      <c r="AG48" s="91">
        <v>2</v>
      </c>
      <c r="AH48" s="91">
        <v>1.85</v>
      </c>
      <c r="AI48" s="91">
        <v>1.71</v>
      </c>
      <c r="AJ48" s="91">
        <v>1.58</v>
      </c>
      <c r="AK48" s="91">
        <v>1.47</v>
      </c>
      <c r="AL48" s="91">
        <v>1.36</v>
      </c>
      <c r="AM48" s="91">
        <v>1.26</v>
      </c>
      <c r="AN48" s="91">
        <v>1.1599999999999999</v>
      </c>
      <c r="AO48" s="91">
        <v>1.08</v>
      </c>
      <c r="AP48" s="91">
        <v>1</v>
      </c>
      <c r="AQ48" s="91">
        <v>0.92</v>
      </c>
      <c r="AR48" s="91">
        <v>0.85</v>
      </c>
      <c r="AS48" s="91">
        <v>0.79</v>
      </c>
      <c r="AT48" s="91">
        <v>0.73</v>
      </c>
      <c r="AU48" s="91">
        <v>0.67</v>
      </c>
    </row>
    <row r="49" spans="1:47" x14ac:dyDescent="0.25">
      <c r="A49" s="88">
        <v>44</v>
      </c>
      <c r="B49" s="91">
        <v>30</v>
      </c>
      <c r="C49" s="91">
        <v>30</v>
      </c>
      <c r="D49" s="91">
        <v>30</v>
      </c>
      <c r="E49" s="91">
        <v>30</v>
      </c>
      <c r="F49" s="91">
        <v>29.12</v>
      </c>
      <c r="G49" s="91">
        <v>26.4</v>
      </c>
      <c r="H49" s="91">
        <v>23.59</v>
      </c>
      <c r="I49" s="91">
        <v>21.08</v>
      </c>
      <c r="J49" s="91">
        <v>18.829999999999998</v>
      </c>
      <c r="K49" s="91">
        <v>16.84</v>
      </c>
      <c r="L49" s="91">
        <v>15.06</v>
      </c>
      <c r="M49" s="91">
        <v>13.49</v>
      </c>
      <c r="N49" s="91">
        <v>12.09</v>
      </c>
      <c r="O49" s="91">
        <v>10.86</v>
      </c>
      <c r="P49" s="91">
        <v>9.76</v>
      </c>
      <c r="Q49" s="91">
        <v>8.7899999999999991</v>
      </c>
      <c r="R49" s="91">
        <v>7.94</v>
      </c>
      <c r="S49" s="91">
        <v>7.18</v>
      </c>
      <c r="T49" s="91">
        <v>6.5</v>
      </c>
      <c r="U49" s="91">
        <v>5.9</v>
      </c>
      <c r="V49" s="91">
        <v>5.37</v>
      </c>
      <c r="W49" s="91">
        <v>4.8899999999999997</v>
      </c>
      <c r="X49" s="91">
        <v>4.46</v>
      </c>
      <c r="Y49" s="91">
        <v>4.08</v>
      </c>
      <c r="Z49" s="91">
        <v>3.73</v>
      </c>
      <c r="AA49" s="91">
        <v>3.42</v>
      </c>
      <c r="AB49" s="91">
        <v>3.14</v>
      </c>
      <c r="AC49" s="91">
        <v>2.89</v>
      </c>
      <c r="AD49" s="91">
        <v>2.66</v>
      </c>
      <c r="AE49" s="91">
        <v>2.4500000000000002</v>
      </c>
      <c r="AF49" s="91">
        <v>2.2599999999999998</v>
      </c>
      <c r="AG49" s="91">
        <v>2.08</v>
      </c>
      <c r="AH49" s="91">
        <v>1.92</v>
      </c>
      <c r="AI49" s="91">
        <v>1.77</v>
      </c>
      <c r="AJ49" s="91">
        <v>1.64</v>
      </c>
      <c r="AK49" s="91">
        <v>1.52</v>
      </c>
      <c r="AL49" s="91">
        <v>1.4</v>
      </c>
      <c r="AM49" s="91">
        <v>1.3</v>
      </c>
      <c r="AN49" s="91">
        <v>1.2</v>
      </c>
      <c r="AO49" s="91">
        <v>1.1100000000000001</v>
      </c>
      <c r="AP49" s="91">
        <v>1.02</v>
      </c>
      <c r="AQ49" s="91">
        <v>0.95</v>
      </c>
      <c r="AR49" s="91">
        <v>0.87</v>
      </c>
      <c r="AS49" s="91">
        <v>0.81</v>
      </c>
      <c r="AT49" s="91">
        <v>0.74</v>
      </c>
      <c r="AU49" s="91">
        <v>0.69</v>
      </c>
    </row>
    <row r="50" spans="1:47" x14ac:dyDescent="0.25">
      <c r="A50" s="88">
        <v>45</v>
      </c>
      <c r="B50" s="91">
        <v>30</v>
      </c>
      <c r="C50" s="91">
        <v>30</v>
      </c>
      <c r="D50" s="91">
        <v>30</v>
      </c>
      <c r="E50" s="91">
        <v>30</v>
      </c>
      <c r="F50" s="91">
        <v>30</v>
      </c>
      <c r="G50" s="91">
        <v>28.78</v>
      </c>
      <c r="H50" s="91">
        <v>25.77</v>
      </c>
      <c r="I50" s="91">
        <v>23.01</v>
      </c>
      <c r="J50" s="91">
        <v>20.55</v>
      </c>
      <c r="K50" s="91">
        <v>18.350000000000001</v>
      </c>
      <c r="L50" s="91">
        <v>16.39</v>
      </c>
      <c r="M50" s="91">
        <v>14.65</v>
      </c>
      <c r="N50" s="91">
        <v>13.11</v>
      </c>
      <c r="O50" s="91">
        <v>11.75</v>
      </c>
      <c r="P50" s="91">
        <v>10.54</v>
      </c>
      <c r="Q50" s="91">
        <v>9.48</v>
      </c>
      <c r="R50" s="91">
        <v>8.5299999999999994</v>
      </c>
      <c r="S50" s="91">
        <v>7.7</v>
      </c>
      <c r="T50" s="91">
        <v>6.96</v>
      </c>
      <c r="U50" s="91">
        <v>6.3</v>
      </c>
      <c r="V50" s="91">
        <v>5.71</v>
      </c>
      <c r="W50" s="91">
        <v>5.19</v>
      </c>
      <c r="X50" s="91">
        <v>4.7300000000000004</v>
      </c>
      <c r="Y50" s="91">
        <v>4.3099999999999996</v>
      </c>
      <c r="Z50" s="91">
        <v>3.94</v>
      </c>
      <c r="AA50" s="91">
        <v>3.6</v>
      </c>
      <c r="AB50" s="91">
        <v>3.3</v>
      </c>
      <c r="AC50" s="91">
        <v>3.02</v>
      </c>
      <c r="AD50" s="91">
        <v>2.78</v>
      </c>
      <c r="AE50" s="91">
        <v>2.5499999999999998</v>
      </c>
      <c r="AF50" s="91">
        <v>2.35</v>
      </c>
      <c r="AG50" s="91">
        <v>2.17</v>
      </c>
      <c r="AH50" s="91">
        <v>2</v>
      </c>
      <c r="AI50" s="91">
        <v>1.84</v>
      </c>
      <c r="AJ50" s="91">
        <v>1.7</v>
      </c>
      <c r="AK50" s="91">
        <v>1.57</v>
      </c>
      <c r="AL50" s="91">
        <v>1.45</v>
      </c>
      <c r="AM50" s="91">
        <v>1.34</v>
      </c>
      <c r="AN50" s="91">
        <v>1.24</v>
      </c>
      <c r="AO50" s="91">
        <v>1.1399999999999999</v>
      </c>
      <c r="AP50" s="91">
        <v>1.05</v>
      </c>
      <c r="AQ50" s="91">
        <v>0.97</v>
      </c>
      <c r="AR50" s="91">
        <v>0.9</v>
      </c>
      <c r="AS50" s="91">
        <v>0.83</v>
      </c>
      <c r="AT50" s="91">
        <v>0.76</v>
      </c>
      <c r="AU50" s="91">
        <v>0.7</v>
      </c>
    </row>
    <row r="51" spans="1:47" x14ac:dyDescent="0.25">
      <c r="A51" s="88">
        <v>46</v>
      </c>
      <c r="B51" s="91">
        <v>30</v>
      </c>
      <c r="C51" s="91">
        <v>30</v>
      </c>
      <c r="D51" s="91">
        <v>30</v>
      </c>
      <c r="E51" s="91">
        <v>30</v>
      </c>
      <c r="F51" s="91">
        <v>30</v>
      </c>
      <c r="G51" s="91">
        <v>30</v>
      </c>
      <c r="H51" s="91">
        <v>28.16</v>
      </c>
      <c r="I51" s="91">
        <v>25.15</v>
      </c>
      <c r="J51" s="91">
        <v>22.44</v>
      </c>
      <c r="K51" s="91">
        <v>20.02</v>
      </c>
      <c r="L51" s="91">
        <v>17.87</v>
      </c>
      <c r="M51" s="91">
        <v>15.95</v>
      </c>
      <c r="N51" s="91">
        <v>14.25</v>
      </c>
      <c r="O51" s="91">
        <v>12.75</v>
      </c>
      <c r="P51" s="91">
        <v>11.42</v>
      </c>
      <c r="Q51" s="91">
        <v>10.24</v>
      </c>
      <c r="R51" s="91">
        <v>9.1999999999999993</v>
      </c>
      <c r="S51" s="91">
        <v>8.2799999999999994</v>
      </c>
      <c r="T51" s="91">
        <v>7.46</v>
      </c>
      <c r="U51" s="91">
        <v>6.74</v>
      </c>
      <c r="V51" s="91">
        <v>6.1</v>
      </c>
      <c r="W51" s="91">
        <v>5.53</v>
      </c>
      <c r="X51" s="91">
        <v>5.0199999999999996</v>
      </c>
      <c r="Y51" s="91">
        <v>4.57</v>
      </c>
      <c r="Z51" s="91">
        <v>4.16</v>
      </c>
      <c r="AA51" s="91">
        <v>3.8</v>
      </c>
      <c r="AB51" s="91">
        <v>3.47</v>
      </c>
      <c r="AC51" s="91">
        <v>3.18</v>
      </c>
      <c r="AD51" s="91">
        <v>2.91</v>
      </c>
      <c r="AE51" s="91">
        <v>2.67</v>
      </c>
      <c r="AF51" s="91">
        <v>2.46</v>
      </c>
      <c r="AG51" s="91">
        <v>2.2599999999999998</v>
      </c>
      <c r="AH51" s="91">
        <v>2.08</v>
      </c>
      <c r="AI51" s="91">
        <v>1.91</v>
      </c>
      <c r="AJ51" s="91">
        <v>1.76</v>
      </c>
      <c r="AK51" s="91">
        <v>1.63</v>
      </c>
      <c r="AL51" s="91">
        <v>1.5</v>
      </c>
      <c r="AM51" s="91">
        <v>1.38</v>
      </c>
      <c r="AN51" s="91">
        <v>1.28</v>
      </c>
      <c r="AO51" s="91">
        <v>1.18</v>
      </c>
      <c r="AP51" s="91">
        <v>1.0900000000000001</v>
      </c>
      <c r="AQ51" s="91">
        <v>1</v>
      </c>
      <c r="AR51" s="91">
        <v>0.92</v>
      </c>
      <c r="AS51" s="91">
        <v>0.85</v>
      </c>
      <c r="AT51" s="91">
        <v>0.78</v>
      </c>
      <c r="AU51" s="91">
        <v>0.72</v>
      </c>
    </row>
    <row r="52" spans="1:47" x14ac:dyDescent="0.25">
      <c r="A52" s="88">
        <v>47</v>
      </c>
      <c r="B52" s="91">
        <v>30</v>
      </c>
      <c r="C52" s="91">
        <v>30</v>
      </c>
      <c r="D52" s="91">
        <v>30</v>
      </c>
      <c r="E52" s="91">
        <v>30</v>
      </c>
      <c r="F52" s="91">
        <v>30</v>
      </c>
      <c r="G52" s="91">
        <v>30</v>
      </c>
      <c r="H52" s="91">
        <v>29.71</v>
      </c>
      <c r="I52" s="91">
        <v>27.5</v>
      </c>
      <c r="J52" s="91">
        <v>24.54</v>
      </c>
      <c r="K52" s="91">
        <v>21.88</v>
      </c>
      <c r="L52" s="91">
        <v>19.510000000000002</v>
      </c>
      <c r="M52" s="91">
        <v>17.399999999999999</v>
      </c>
      <c r="N52" s="91">
        <v>15.52</v>
      </c>
      <c r="O52" s="91">
        <v>13.86</v>
      </c>
      <c r="P52" s="91">
        <v>12.39</v>
      </c>
      <c r="Q52" s="91">
        <v>11.09</v>
      </c>
      <c r="R52" s="91">
        <v>9.94</v>
      </c>
      <c r="S52" s="91">
        <v>8.92</v>
      </c>
      <c r="T52" s="91">
        <v>8.02</v>
      </c>
      <c r="U52" s="91">
        <v>7.23</v>
      </c>
      <c r="V52" s="91">
        <v>6.53</v>
      </c>
      <c r="W52" s="91">
        <v>5.9</v>
      </c>
      <c r="X52" s="91">
        <v>5.34</v>
      </c>
      <c r="Y52" s="91">
        <v>4.8499999999999996</v>
      </c>
      <c r="Z52" s="91">
        <v>4.41</v>
      </c>
      <c r="AA52" s="91">
        <v>4.01</v>
      </c>
      <c r="AB52" s="91">
        <v>3.66</v>
      </c>
      <c r="AC52" s="91">
        <v>3.34</v>
      </c>
      <c r="AD52" s="91">
        <v>3.06</v>
      </c>
      <c r="AE52" s="91">
        <v>2.8</v>
      </c>
      <c r="AF52" s="91">
        <v>2.57</v>
      </c>
      <c r="AG52" s="91">
        <v>2.36</v>
      </c>
      <c r="AH52" s="91">
        <v>2.17</v>
      </c>
      <c r="AI52" s="91">
        <v>1.99</v>
      </c>
      <c r="AJ52" s="91">
        <v>1.83</v>
      </c>
      <c r="AK52" s="91">
        <v>1.69</v>
      </c>
      <c r="AL52" s="91">
        <v>1.55</v>
      </c>
      <c r="AM52" s="91">
        <v>1.43</v>
      </c>
      <c r="AN52" s="91">
        <v>1.32</v>
      </c>
      <c r="AO52" s="91">
        <v>1.22</v>
      </c>
      <c r="AP52" s="91">
        <v>1.1200000000000001</v>
      </c>
      <c r="AQ52" s="91">
        <v>1.03</v>
      </c>
      <c r="AR52" s="91">
        <v>0.95</v>
      </c>
      <c r="AS52" s="91">
        <v>0.87</v>
      </c>
      <c r="AT52" s="91">
        <v>0.8</v>
      </c>
      <c r="AU52" s="91">
        <v>0.74</v>
      </c>
    </row>
    <row r="53" spans="1:47" x14ac:dyDescent="0.25">
      <c r="A53" s="88">
        <v>48</v>
      </c>
      <c r="B53" s="91">
        <v>30</v>
      </c>
      <c r="C53" s="91">
        <v>30</v>
      </c>
      <c r="D53" s="91">
        <v>30</v>
      </c>
      <c r="E53" s="91">
        <v>30</v>
      </c>
      <c r="F53" s="91">
        <v>30</v>
      </c>
      <c r="G53" s="91">
        <v>30</v>
      </c>
      <c r="H53" s="91">
        <v>30</v>
      </c>
      <c r="I53" s="91">
        <v>29.37</v>
      </c>
      <c r="J53" s="91">
        <v>26.84</v>
      </c>
      <c r="K53" s="91">
        <v>23.93</v>
      </c>
      <c r="L53" s="91">
        <v>21.33</v>
      </c>
      <c r="M53" s="91">
        <v>19</v>
      </c>
      <c r="N53" s="91">
        <v>16.940000000000001</v>
      </c>
      <c r="O53" s="91">
        <v>15.1</v>
      </c>
      <c r="P53" s="91">
        <v>13.47</v>
      </c>
      <c r="Q53" s="91">
        <v>12.04</v>
      </c>
      <c r="R53" s="91">
        <v>10.77</v>
      </c>
      <c r="S53" s="91">
        <v>9.65</v>
      </c>
      <c r="T53" s="91">
        <v>8.65</v>
      </c>
      <c r="U53" s="91">
        <v>7.78</v>
      </c>
      <c r="V53" s="91">
        <v>7</v>
      </c>
      <c r="W53" s="91">
        <v>6.32</v>
      </c>
      <c r="X53" s="91">
        <v>5.71</v>
      </c>
      <c r="Y53" s="91">
        <v>5.17</v>
      </c>
      <c r="Z53" s="91">
        <v>4.68</v>
      </c>
      <c r="AA53" s="91">
        <v>4.26</v>
      </c>
      <c r="AB53" s="91">
        <v>3.87</v>
      </c>
      <c r="AC53" s="91">
        <v>3.53</v>
      </c>
      <c r="AD53" s="91">
        <v>3.22</v>
      </c>
      <c r="AE53" s="91">
        <v>2.94</v>
      </c>
      <c r="AF53" s="91">
        <v>2.69</v>
      </c>
      <c r="AG53" s="91">
        <v>2.4700000000000002</v>
      </c>
      <c r="AH53" s="91">
        <v>2.2599999999999998</v>
      </c>
      <c r="AI53" s="91">
        <v>2.08</v>
      </c>
      <c r="AJ53" s="91">
        <v>1.91</v>
      </c>
      <c r="AK53" s="91">
        <v>1.76</v>
      </c>
      <c r="AL53" s="91">
        <v>1.61</v>
      </c>
      <c r="AM53" s="91">
        <v>1.49</v>
      </c>
      <c r="AN53" s="91">
        <v>1.37</v>
      </c>
      <c r="AO53" s="91">
        <v>1.26</v>
      </c>
      <c r="AP53" s="91">
        <v>1.1599999999999999</v>
      </c>
      <c r="AQ53" s="91">
        <v>1.06</v>
      </c>
      <c r="AR53" s="91">
        <v>0.98</v>
      </c>
      <c r="AS53" s="91">
        <v>0.9</v>
      </c>
      <c r="AT53" s="91">
        <v>0.83</v>
      </c>
      <c r="AU53" s="91">
        <v>0.76</v>
      </c>
    </row>
    <row r="54" spans="1:47" x14ac:dyDescent="0.25">
      <c r="A54" s="88">
        <v>49</v>
      </c>
      <c r="B54" s="91">
        <v>30</v>
      </c>
      <c r="C54" s="91">
        <v>30</v>
      </c>
      <c r="D54" s="91">
        <v>30</v>
      </c>
      <c r="E54" s="91">
        <v>30</v>
      </c>
      <c r="F54" s="91">
        <v>30</v>
      </c>
      <c r="G54" s="91">
        <v>30</v>
      </c>
      <c r="H54" s="91">
        <v>30</v>
      </c>
      <c r="I54" s="91">
        <v>30</v>
      </c>
      <c r="J54" s="91">
        <v>29.03</v>
      </c>
      <c r="K54" s="91">
        <v>26.2</v>
      </c>
      <c r="L54" s="91">
        <v>23.34</v>
      </c>
      <c r="M54" s="91">
        <v>20.78</v>
      </c>
      <c r="N54" s="91">
        <v>18.510000000000002</v>
      </c>
      <c r="O54" s="91">
        <v>16.48</v>
      </c>
      <c r="P54" s="91">
        <v>14.68</v>
      </c>
      <c r="Q54" s="91">
        <v>13.1</v>
      </c>
      <c r="R54" s="91">
        <v>11.69</v>
      </c>
      <c r="S54" s="91">
        <v>10.45</v>
      </c>
      <c r="T54" s="91">
        <v>9.36</v>
      </c>
      <c r="U54" s="91">
        <v>8.39</v>
      </c>
      <c r="V54" s="91">
        <v>7.54</v>
      </c>
      <c r="W54" s="91">
        <v>6.78</v>
      </c>
      <c r="X54" s="91">
        <v>6.11</v>
      </c>
      <c r="Y54" s="91">
        <v>5.52</v>
      </c>
      <c r="Z54" s="91">
        <v>4.99</v>
      </c>
      <c r="AA54" s="91">
        <v>4.5199999999999996</v>
      </c>
      <c r="AB54" s="91">
        <v>4.0999999999999996</v>
      </c>
      <c r="AC54" s="91">
        <v>3.73</v>
      </c>
      <c r="AD54" s="91">
        <v>3.4</v>
      </c>
      <c r="AE54" s="91">
        <v>3.1</v>
      </c>
      <c r="AF54" s="91">
        <v>2.83</v>
      </c>
      <c r="AG54" s="91">
        <v>2.59</v>
      </c>
      <c r="AH54" s="91">
        <v>2.37</v>
      </c>
      <c r="AI54" s="91">
        <v>2.17</v>
      </c>
      <c r="AJ54" s="91">
        <v>1.99</v>
      </c>
      <c r="AK54" s="91">
        <v>1.83</v>
      </c>
      <c r="AL54" s="91">
        <v>1.68</v>
      </c>
      <c r="AM54" s="91">
        <v>1.54</v>
      </c>
      <c r="AN54" s="91">
        <v>1.42</v>
      </c>
      <c r="AO54" s="91">
        <v>1.3</v>
      </c>
      <c r="AP54" s="91">
        <v>1.2</v>
      </c>
      <c r="AQ54" s="91">
        <v>1.1000000000000001</v>
      </c>
      <c r="AR54" s="91">
        <v>1.01</v>
      </c>
      <c r="AS54" s="91">
        <v>0.93</v>
      </c>
      <c r="AT54" s="91">
        <v>0.85</v>
      </c>
      <c r="AU54" s="91">
        <v>0.78</v>
      </c>
    </row>
    <row r="55" spans="1:47" x14ac:dyDescent="0.25">
      <c r="A55" s="88">
        <v>50</v>
      </c>
      <c r="B55" s="91">
        <v>30</v>
      </c>
      <c r="C55" s="91">
        <v>30</v>
      </c>
      <c r="D55" s="91">
        <v>30</v>
      </c>
      <c r="E55" s="91">
        <v>30</v>
      </c>
      <c r="F55" s="91">
        <v>30</v>
      </c>
      <c r="G55" s="91">
        <v>30</v>
      </c>
      <c r="H55" s="91">
        <v>30</v>
      </c>
      <c r="I55" s="91">
        <v>30</v>
      </c>
      <c r="J55" s="91">
        <v>30</v>
      </c>
      <c r="K55" s="91">
        <v>28.69</v>
      </c>
      <c r="L55" s="91">
        <v>25.56</v>
      </c>
      <c r="M55" s="91">
        <v>22.75</v>
      </c>
      <c r="N55" s="91">
        <v>20.25</v>
      </c>
      <c r="O55" s="91">
        <v>18.02</v>
      </c>
      <c r="P55" s="91">
        <v>16.03</v>
      </c>
      <c r="Q55" s="91">
        <v>14.28</v>
      </c>
      <c r="R55" s="91">
        <v>12.72</v>
      </c>
      <c r="S55" s="91">
        <v>11.35</v>
      </c>
      <c r="T55" s="91">
        <v>10.14</v>
      </c>
      <c r="U55" s="91">
        <v>9.07</v>
      </c>
      <c r="V55" s="91">
        <v>8.1300000000000008</v>
      </c>
      <c r="W55" s="91">
        <v>7.3</v>
      </c>
      <c r="X55" s="91">
        <v>6.56</v>
      </c>
      <c r="Y55" s="91">
        <v>5.91</v>
      </c>
      <c r="Z55" s="91">
        <v>5.33</v>
      </c>
      <c r="AA55" s="91">
        <v>4.82</v>
      </c>
      <c r="AB55" s="91">
        <v>4.3600000000000003</v>
      </c>
      <c r="AC55" s="91">
        <v>3.96</v>
      </c>
      <c r="AD55" s="91">
        <v>3.6</v>
      </c>
      <c r="AE55" s="91">
        <v>3.27</v>
      </c>
      <c r="AF55" s="91">
        <v>2.98</v>
      </c>
      <c r="AG55" s="91">
        <v>2.72</v>
      </c>
      <c r="AH55" s="91">
        <v>2.4900000000000002</v>
      </c>
      <c r="AI55" s="91">
        <v>2.27</v>
      </c>
      <c r="AJ55" s="91">
        <v>2.08</v>
      </c>
      <c r="AK55" s="91">
        <v>1.91</v>
      </c>
      <c r="AL55" s="91">
        <v>1.75</v>
      </c>
      <c r="AM55" s="91">
        <v>1.6</v>
      </c>
      <c r="AN55" s="91">
        <v>1.47</v>
      </c>
      <c r="AO55" s="91">
        <v>1.35</v>
      </c>
      <c r="AP55" s="91">
        <v>1.24</v>
      </c>
      <c r="AQ55" s="91">
        <v>1.1399999999999999</v>
      </c>
      <c r="AR55" s="91">
        <v>1.04</v>
      </c>
      <c r="AS55" s="91">
        <v>0.96</v>
      </c>
      <c r="AT55" s="91">
        <v>0.88</v>
      </c>
      <c r="AU55" s="91">
        <v>0.81</v>
      </c>
    </row>
    <row r="56" spans="1:47" x14ac:dyDescent="0.25">
      <c r="A56" s="88">
        <v>51</v>
      </c>
      <c r="B56" s="91">
        <v>30</v>
      </c>
      <c r="C56" s="91">
        <v>30</v>
      </c>
      <c r="D56" s="91">
        <v>30</v>
      </c>
      <c r="E56" s="91">
        <v>30</v>
      </c>
      <c r="F56" s="91">
        <v>30</v>
      </c>
      <c r="G56" s="91">
        <v>30</v>
      </c>
      <c r="H56" s="91">
        <v>30</v>
      </c>
      <c r="I56" s="91">
        <v>30</v>
      </c>
      <c r="J56" s="91">
        <v>30</v>
      </c>
      <c r="K56" s="91">
        <v>30</v>
      </c>
      <c r="L56" s="91">
        <v>28.02</v>
      </c>
      <c r="M56" s="91">
        <v>24.94</v>
      </c>
      <c r="N56" s="91">
        <v>22.18</v>
      </c>
      <c r="O56" s="91">
        <v>19.72</v>
      </c>
      <c r="P56" s="91">
        <v>17.53</v>
      </c>
      <c r="Q56" s="91">
        <v>15.59</v>
      </c>
      <c r="R56" s="91">
        <v>13.88</v>
      </c>
      <c r="S56" s="91">
        <v>12.36</v>
      </c>
      <c r="T56" s="91">
        <v>11.02</v>
      </c>
      <c r="U56" s="91">
        <v>9.84</v>
      </c>
      <c r="V56" s="91">
        <v>8.8000000000000007</v>
      </c>
      <c r="W56" s="91">
        <v>7.88</v>
      </c>
      <c r="X56" s="91">
        <v>7.06</v>
      </c>
      <c r="Y56" s="91">
        <v>6.34</v>
      </c>
      <c r="Z56" s="91">
        <v>5.71</v>
      </c>
      <c r="AA56" s="91">
        <v>5.15</v>
      </c>
      <c r="AB56" s="91">
        <v>4.6500000000000004</v>
      </c>
      <c r="AC56" s="91">
        <v>4.21</v>
      </c>
      <c r="AD56" s="91">
        <v>3.81</v>
      </c>
      <c r="AE56" s="91">
        <v>3.46</v>
      </c>
      <c r="AF56" s="91">
        <v>3.15</v>
      </c>
      <c r="AG56" s="91">
        <v>2.87</v>
      </c>
      <c r="AH56" s="91">
        <v>2.61</v>
      </c>
      <c r="AI56" s="91">
        <v>2.39</v>
      </c>
      <c r="AJ56" s="91">
        <v>2.1800000000000002</v>
      </c>
      <c r="AK56" s="91">
        <v>1.99</v>
      </c>
      <c r="AL56" s="91">
        <v>1.82</v>
      </c>
      <c r="AM56" s="91">
        <v>1.67</v>
      </c>
      <c r="AN56" s="91">
        <v>1.53</v>
      </c>
      <c r="AO56" s="91">
        <v>1.4</v>
      </c>
      <c r="AP56" s="91">
        <v>1.29</v>
      </c>
      <c r="AQ56" s="91">
        <v>1.18</v>
      </c>
      <c r="AR56" s="91">
        <v>1.08</v>
      </c>
      <c r="AS56" s="91">
        <v>0.99</v>
      </c>
      <c r="AT56" s="91">
        <v>0.91</v>
      </c>
      <c r="AU56" s="91">
        <v>0.83</v>
      </c>
    </row>
    <row r="57" spans="1:47" x14ac:dyDescent="0.25">
      <c r="A57" s="88">
        <v>52</v>
      </c>
      <c r="B57" s="91">
        <v>30</v>
      </c>
      <c r="C57" s="91">
        <v>30</v>
      </c>
      <c r="D57" s="91">
        <v>30</v>
      </c>
      <c r="E57" s="91">
        <v>30</v>
      </c>
      <c r="F57" s="91">
        <v>30</v>
      </c>
      <c r="G57" s="91">
        <v>30</v>
      </c>
      <c r="H57" s="91">
        <v>30</v>
      </c>
      <c r="I57" s="91">
        <v>30</v>
      </c>
      <c r="J57" s="91">
        <v>30</v>
      </c>
      <c r="K57" s="91">
        <v>30</v>
      </c>
      <c r="L57" s="91">
        <v>29.65</v>
      </c>
      <c r="M57" s="91">
        <v>27.35</v>
      </c>
      <c r="N57" s="91">
        <v>24.32</v>
      </c>
      <c r="O57" s="91">
        <v>21.62</v>
      </c>
      <c r="P57" s="91">
        <v>19.2</v>
      </c>
      <c r="Q57" s="91">
        <v>17.059999999999999</v>
      </c>
      <c r="R57" s="91">
        <v>15.16</v>
      </c>
      <c r="S57" s="91">
        <v>13.49</v>
      </c>
      <c r="T57" s="91">
        <v>12</v>
      </c>
      <c r="U57" s="91">
        <v>10.7</v>
      </c>
      <c r="V57" s="91">
        <v>9.5399999999999991</v>
      </c>
      <c r="W57" s="91">
        <v>8.52</v>
      </c>
      <c r="X57" s="91">
        <v>7.62</v>
      </c>
      <c r="Y57" s="91">
        <v>6.83</v>
      </c>
      <c r="Z57" s="91">
        <v>6.13</v>
      </c>
      <c r="AA57" s="91">
        <v>5.52</v>
      </c>
      <c r="AB57" s="91">
        <v>4.97</v>
      </c>
      <c r="AC57" s="91">
        <v>4.4800000000000004</v>
      </c>
      <c r="AD57" s="91">
        <v>4.05</v>
      </c>
      <c r="AE57" s="91">
        <v>3.67</v>
      </c>
      <c r="AF57" s="91">
        <v>3.33</v>
      </c>
      <c r="AG57" s="91">
        <v>3.03</v>
      </c>
      <c r="AH57" s="91">
        <v>2.75</v>
      </c>
      <c r="AI57" s="91">
        <v>2.5099999999999998</v>
      </c>
      <c r="AJ57" s="91">
        <v>2.29</v>
      </c>
      <c r="AK57" s="91">
        <v>2.09</v>
      </c>
      <c r="AL57" s="91">
        <v>1.91</v>
      </c>
      <c r="AM57" s="91">
        <v>1.74</v>
      </c>
      <c r="AN57" s="91">
        <v>1.59</v>
      </c>
      <c r="AO57" s="91">
        <v>1.46</v>
      </c>
      <c r="AP57" s="91">
        <v>1.34</v>
      </c>
      <c r="AQ57" s="91">
        <v>1.22</v>
      </c>
      <c r="AR57" s="91">
        <v>1.1200000000000001</v>
      </c>
      <c r="AS57" s="91">
        <v>1.02</v>
      </c>
      <c r="AT57" s="91">
        <v>0.94</v>
      </c>
      <c r="AU57" s="91">
        <v>0.86</v>
      </c>
    </row>
    <row r="58" spans="1:47" x14ac:dyDescent="0.25">
      <c r="A58" s="88">
        <v>53</v>
      </c>
      <c r="B58" s="91">
        <v>30</v>
      </c>
      <c r="C58" s="91">
        <v>30</v>
      </c>
      <c r="D58" s="91">
        <v>30</v>
      </c>
      <c r="E58" s="91">
        <v>30</v>
      </c>
      <c r="F58" s="91">
        <v>30</v>
      </c>
      <c r="G58" s="91">
        <v>30</v>
      </c>
      <c r="H58" s="91">
        <v>30</v>
      </c>
      <c r="I58" s="91">
        <v>30</v>
      </c>
      <c r="J58" s="91">
        <v>30</v>
      </c>
      <c r="K58" s="91">
        <v>30</v>
      </c>
      <c r="L58" s="91">
        <v>30</v>
      </c>
      <c r="M58" s="91">
        <v>29.31</v>
      </c>
      <c r="N58" s="91">
        <v>26.69</v>
      </c>
      <c r="O58" s="91">
        <v>23.72</v>
      </c>
      <c r="P58" s="91">
        <v>21.06</v>
      </c>
      <c r="Q58" s="91">
        <v>18.7</v>
      </c>
      <c r="R58" s="91">
        <v>16.600000000000001</v>
      </c>
      <c r="S58" s="91">
        <v>14.74</v>
      </c>
      <c r="T58" s="91">
        <v>13.1</v>
      </c>
      <c r="U58" s="91">
        <v>11.65</v>
      </c>
      <c r="V58" s="91">
        <v>10.37</v>
      </c>
      <c r="W58" s="91">
        <v>9.25</v>
      </c>
      <c r="X58" s="91">
        <v>8.25</v>
      </c>
      <c r="Y58" s="91">
        <v>7.38</v>
      </c>
      <c r="Z58" s="91">
        <v>6.61</v>
      </c>
      <c r="AA58" s="91">
        <v>5.93</v>
      </c>
      <c r="AB58" s="91">
        <v>5.33</v>
      </c>
      <c r="AC58" s="91">
        <v>4.79</v>
      </c>
      <c r="AD58" s="91">
        <v>4.32</v>
      </c>
      <c r="AE58" s="91">
        <v>3.91</v>
      </c>
      <c r="AF58" s="91">
        <v>3.53</v>
      </c>
      <c r="AG58" s="91">
        <v>3.2</v>
      </c>
      <c r="AH58" s="91">
        <v>2.91</v>
      </c>
      <c r="AI58" s="91">
        <v>2.64</v>
      </c>
      <c r="AJ58" s="91">
        <v>2.41</v>
      </c>
      <c r="AK58" s="91">
        <v>2.19</v>
      </c>
      <c r="AL58" s="91">
        <v>2</v>
      </c>
      <c r="AM58" s="91">
        <v>1.82</v>
      </c>
      <c r="AN58" s="91">
        <v>1.67</v>
      </c>
      <c r="AO58" s="91">
        <v>1.52</v>
      </c>
      <c r="AP58" s="91">
        <v>1.39</v>
      </c>
      <c r="AQ58" s="91">
        <v>1.27</v>
      </c>
      <c r="AR58" s="91">
        <v>1.1599999999999999</v>
      </c>
      <c r="AS58" s="91">
        <v>1.06</v>
      </c>
      <c r="AT58" s="91">
        <v>0.97</v>
      </c>
      <c r="AU58" s="91">
        <v>0.89</v>
      </c>
    </row>
    <row r="59" spans="1:47" x14ac:dyDescent="0.25">
      <c r="A59" s="88">
        <v>54</v>
      </c>
      <c r="B59" s="91">
        <v>30</v>
      </c>
      <c r="C59" s="91">
        <v>30</v>
      </c>
      <c r="D59" s="91">
        <v>30</v>
      </c>
      <c r="E59" s="91">
        <v>30</v>
      </c>
      <c r="F59" s="91">
        <v>30</v>
      </c>
      <c r="G59" s="91">
        <v>30</v>
      </c>
      <c r="H59" s="91">
        <v>30</v>
      </c>
      <c r="I59" s="91">
        <v>30</v>
      </c>
      <c r="J59" s="91">
        <v>30</v>
      </c>
      <c r="K59" s="91">
        <v>30</v>
      </c>
      <c r="L59" s="91">
        <v>30</v>
      </c>
      <c r="M59" s="91">
        <v>30</v>
      </c>
      <c r="N59" s="91">
        <v>28.97</v>
      </c>
      <c r="O59" s="91">
        <v>26.05</v>
      </c>
      <c r="P59" s="91">
        <v>23.12</v>
      </c>
      <c r="Q59" s="91">
        <v>20.52</v>
      </c>
      <c r="R59" s="91">
        <v>18.2</v>
      </c>
      <c r="S59" s="91">
        <v>16.149999999999999</v>
      </c>
      <c r="T59" s="91">
        <v>14.33</v>
      </c>
      <c r="U59" s="91">
        <v>12.73</v>
      </c>
      <c r="V59" s="91">
        <v>11.31</v>
      </c>
      <c r="W59" s="91">
        <v>10.06</v>
      </c>
      <c r="X59" s="91">
        <v>8.9600000000000009</v>
      </c>
      <c r="Y59" s="91">
        <v>7.99</v>
      </c>
      <c r="Z59" s="91">
        <v>7.14</v>
      </c>
      <c r="AA59" s="91">
        <v>6.39</v>
      </c>
      <c r="AB59" s="91">
        <v>5.72</v>
      </c>
      <c r="AC59" s="91">
        <v>5.14</v>
      </c>
      <c r="AD59" s="91">
        <v>4.62</v>
      </c>
      <c r="AE59" s="91">
        <v>4.17</v>
      </c>
      <c r="AF59" s="91">
        <v>3.76</v>
      </c>
      <c r="AG59" s="91">
        <v>3.4</v>
      </c>
      <c r="AH59" s="91">
        <v>3.08</v>
      </c>
      <c r="AI59" s="91">
        <v>2.79</v>
      </c>
      <c r="AJ59" s="91">
        <v>2.54</v>
      </c>
      <c r="AK59" s="91">
        <v>2.31</v>
      </c>
      <c r="AL59" s="91">
        <v>2.1</v>
      </c>
      <c r="AM59" s="91">
        <v>1.91</v>
      </c>
      <c r="AN59" s="91">
        <v>1.74</v>
      </c>
      <c r="AO59" s="91">
        <v>1.59</v>
      </c>
      <c r="AP59" s="91">
        <v>1.45</v>
      </c>
      <c r="AQ59" s="91">
        <v>1.32</v>
      </c>
      <c r="AR59" s="91">
        <v>1.21</v>
      </c>
      <c r="AS59" s="91">
        <v>1.1000000000000001</v>
      </c>
      <c r="AT59" s="91">
        <v>1.01</v>
      </c>
      <c r="AU59" s="91">
        <v>0.92</v>
      </c>
    </row>
    <row r="60" spans="1:47" x14ac:dyDescent="0.25">
      <c r="A60" s="88">
        <v>55</v>
      </c>
      <c r="B60" s="91">
        <v>30</v>
      </c>
      <c r="C60" s="91">
        <v>30</v>
      </c>
      <c r="D60" s="91">
        <v>30</v>
      </c>
      <c r="E60" s="91">
        <v>30</v>
      </c>
      <c r="F60" s="91">
        <v>30</v>
      </c>
      <c r="G60" s="91">
        <v>30</v>
      </c>
      <c r="H60" s="91">
        <v>30</v>
      </c>
      <c r="I60" s="91">
        <v>30</v>
      </c>
      <c r="J60" s="91">
        <v>30</v>
      </c>
      <c r="K60" s="91">
        <v>30</v>
      </c>
      <c r="L60" s="91">
        <v>30</v>
      </c>
      <c r="M60" s="91">
        <v>30</v>
      </c>
      <c r="N60" s="91">
        <v>30</v>
      </c>
      <c r="O60" s="91">
        <v>28.63</v>
      </c>
      <c r="P60" s="91">
        <v>25.41</v>
      </c>
      <c r="Q60" s="91">
        <v>22.54</v>
      </c>
      <c r="R60" s="91">
        <v>19.989999999999998</v>
      </c>
      <c r="S60" s="91">
        <v>17.72</v>
      </c>
      <c r="T60" s="91">
        <v>15.71</v>
      </c>
      <c r="U60" s="91">
        <v>13.93</v>
      </c>
      <c r="V60" s="91">
        <v>12.36</v>
      </c>
      <c r="W60" s="91">
        <v>10.97</v>
      </c>
      <c r="X60" s="91">
        <v>9.75</v>
      </c>
      <c r="Y60" s="91">
        <v>8.68</v>
      </c>
      <c r="Z60" s="91">
        <v>7.73</v>
      </c>
      <c r="AA60" s="91">
        <v>6.9</v>
      </c>
      <c r="AB60" s="91">
        <v>6.17</v>
      </c>
      <c r="AC60" s="91">
        <v>5.53</v>
      </c>
      <c r="AD60" s="91">
        <v>4.96</v>
      </c>
      <c r="AE60" s="91">
        <v>4.46</v>
      </c>
      <c r="AF60" s="91">
        <v>4.01</v>
      </c>
      <c r="AG60" s="91">
        <v>3.62</v>
      </c>
      <c r="AH60" s="91">
        <v>3.27</v>
      </c>
      <c r="AI60" s="91">
        <v>2.96</v>
      </c>
      <c r="AJ60" s="91">
        <v>2.68</v>
      </c>
      <c r="AK60" s="91">
        <v>2.4300000000000002</v>
      </c>
      <c r="AL60" s="91">
        <v>2.21</v>
      </c>
      <c r="AM60" s="91">
        <v>2.0099999999999998</v>
      </c>
      <c r="AN60" s="91">
        <v>1.83</v>
      </c>
      <c r="AO60" s="91">
        <v>1.66</v>
      </c>
      <c r="AP60" s="91">
        <v>1.51</v>
      </c>
      <c r="AQ60" s="91">
        <v>1.38</v>
      </c>
      <c r="AR60" s="91">
        <v>1.26</v>
      </c>
      <c r="AS60" s="91">
        <v>1.1499999999999999</v>
      </c>
      <c r="AT60" s="91">
        <v>1.04</v>
      </c>
      <c r="AU60" s="91">
        <v>0.95</v>
      </c>
    </row>
    <row r="61" spans="1:47" x14ac:dyDescent="0.25">
      <c r="A61" s="88">
        <v>56</v>
      </c>
      <c r="B61" s="91">
        <v>30</v>
      </c>
      <c r="C61" s="91">
        <v>30</v>
      </c>
      <c r="D61" s="91">
        <v>30</v>
      </c>
      <c r="E61" s="91">
        <v>30</v>
      </c>
      <c r="F61" s="91">
        <v>30</v>
      </c>
      <c r="G61" s="91">
        <v>30</v>
      </c>
      <c r="H61" s="91">
        <v>30</v>
      </c>
      <c r="I61" s="91">
        <v>30</v>
      </c>
      <c r="J61" s="91">
        <v>30</v>
      </c>
      <c r="K61" s="91">
        <v>30</v>
      </c>
      <c r="L61" s="91">
        <v>30</v>
      </c>
      <c r="M61" s="91">
        <v>30</v>
      </c>
      <c r="N61" s="91">
        <v>30</v>
      </c>
      <c r="O61" s="91">
        <v>29.99</v>
      </c>
      <c r="P61" s="91">
        <v>27.94</v>
      </c>
      <c r="Q61" s="91">
        <v>24.79</v>
      </c>
      <c r="R61" s="91">
        <v>21.97</v>
      </c>
      <c r="S61" s="91">
        <v>19.47</v>
      </c>
      <c r="T61" s="91">
        <v>17.239999999999998</v>
      </c>
      <c r="U61" s="91">
        <v>15.27</v>
      </c>
      <c r="V61" s="91">
        <v>13.53</v>
      </c>
      <c r="W61" s="91">
        <v>11.99</v>
      </c>
      <c r="X61" s="91">
        <v>10.64</v>
      </c>
      <c r="Y61" s="91">
        <v>9.4499999999999993</v>
      </c>
      <c r="Z61" s="91">
        <v>8.4</v>
      </c>
      <c r="AA61" s="91">
        <v>7.48</v>
      </c>
      <c r="AB61" s="91">
        <v>6.67</v>
      </c>
      <c r="AC61" s="91">
        <v>5.96</v>
      </c>
      <c r="AD61" s="91">
        <v>5.33</v>
      </c>
      <c r="AE61" s="91">
        <v>4.78</v>
      </c>
      <c r="AF61" s="91">
        <v>4.29</v>
      </c>
      <c r="AG61" s="91">
        <v>3.86</v>
      </c>
      <c r="AH61" s="91">
        <v>3.48</v>
      </c>
      <c r="AI61" s="91">
        <v>3.14</v>
      </c>
      <c r="AJ61" s="91">
        <v>2.84</v>
      </c>
      <c r="AK61" s="91">
        <v>2.57</v>
      </c>
      <c r="AL61" s="91">
        <v>2.33</v>
      </c>
      <c r="AM61" s="91">
        <v>2.11</v>
      </c>
      <c r="AN61" s="91">
        <v>1.92</v>
      </c>
      <c r="AO61" s="91">
        <v>1.74</v>
      </c>
      <c r="AP61" s="91">
        <v>1.58</v>
      </c>
      <c r="AQ61" s="91">
        <v>1.44</v>
      </c>
      <c r="AR61" s="91">
        <v>1.31</v>
      </c>
      <c r="AS61" s="91">
        <v>1.19</v>
      </c>
      <c r="AT61" s="91">
        <v>1.0900000000000001</v>
      </c>
      <c r="AU61" s="91">
        <v>0.99</v>
      </c>
    </row>
    <row r="62" spans="1:47" x14ac:dyDescent="0.25">
      <c r="A62" s="88">
        <v>57</v>
      </c>
      <c r="B62" s="91">
        <v>30</v>
      </c>
      <c r="C62" s="91">
        <v>30</v>
      </c>
      <c r="D62" s="91">
        <v>30</v>
      </c>
      <c r="E62" s="91">
        <v>30</v>
      </c>
      <c r="F62" s="91">
        <v>30</v>
      </c>
      <c r="G62" s="91">
        <v>30</v>
      </c>
      <c r="H62" s="91">
        <v>30</v>
      </c>
      <c r="I62" s="91">
        <v>30</v>
      </c>
      <c r="J62" s="91">
        <v>30</v>
      </c>
      <c r="K62" s="91">
        <v>30</v>
      </c>
      <c r="L62" s="91">
        <v>30</v>
      </c>
      <c r="M62" s="91">
        <v>30</v>
      </c>
      <c r="N62" s="91">
        <v>30</v>
      </c>
      <c r="O62" s="91">
        <v>30</v>
      </c>
      <c r="P62" s="91">
        <v>29.64</v>
      </c>
      <c r="Q62" s="91">
        <v>27.29</v>
      </c>
      <c r="R62" s="91">
        <v>24.18</v>
      </c>
      <c r="S62" s="91">
        <v>21.42</v>
      </c>
      <c r="T62" s="91">
        <v>18.96</v>
      </c>
      <c r="U62" s="91">
        <v>16.78</v>
      </c>
      <c r="V62" s="91">
        <v>14.84</v>
      </c>
      <c r="W62" s="91">
        <v>13.14</v>
      </c>
      <c r="X62" s="91">
        <v>11.64</v>
      </c>
      <c r="Y62" s="91">
        <v>10.31</v>
      </c>
      <c r="Z62" s="91">
        <v>9.15</v>
      </c>
      <c r="AA62" s="91">
        <v>8.1300000000000008</v>
      </c>
      <c r="AB62" s="91">
        <v>7.23</v>
      </c>
      <c r="AC62" s="91">
        <v>6.44</v>
      </c>
      <c r="AD62" s="91">
        <v>5.75</v>
      </c>
      <c r="AE62" s="91">
        <v>5.14</v>
      </c>
      <c r="AF62" s="91">
        <v>4.6100000000000003</v>
      </c>
      <c r="AG62" s="91">
        <v>4.13</v>
      </c>
      <c r="AH62" s="91">
        <v>3.72</v>
      </c>
      <c r="AI62" s="91">
        <v>3.34</v>
      </c>
      <c r="AJ62" s="91">
        <v>3.02</v>
      </c>
      <c r="AK62" s="91">
        <v>2.72</v>
      </c>
      <c r="AL62" s="91">
        <v>2.46</v>
      </c>
      <c r="AM62" s="91">
        <v>2.23</v>
      </c>
      <c r="AN62" s="91">
        <v>2.02</v>
      </c>
      <c r="AO62" s="91">
        <v>1.83</v>
      </c>
      <c r="AP62" s="91">
        <v>1.66</v>
      </c>
      <c r="AQ62" s="91">
        <v>1.51</v>
      </c>
      <c r="AR62" s="91">
        <v>1.37</v>
      </c>
      <c r="AS62" s="91">
        <v>1.24</v>
      </c>
      <c r="AT62" s="91">
        <v>1.1299999999999999</v>
      </c>
      <c r="AU62" s="91">
        <v>1.03</v>
      </c>
    </row>
    <row r="63" spans="1:47" x14ac:dyDescent="0.25">
      <c r="A63" s="88">
        <v>58</v>
      </c>
      <c r="B63" s="91">
        <v>30</v>
      </c>
      <c r="C63" s="91">
        <v>30</v>
      </c>
      <c r="D63" s="91">
        <v>30</v>
      </c>
      <c r="E63" s="91">
        <v>30</v>
      </c>
      <c r="F63" s="91">
        <v>30</v>
      </c>
      <c r="G63" s="91">
        <v>30</v>
      </c>
      <c r="H63" s="91">
        <v>30</v>
      </c>
      <c r="I63" s="91">
        <v>30</v>
      </c>
      <c r="J63" s="91">
        <v>30</v>
      </c>
      <c r="K63" s="91">
        <v>30</v>
      </c>
      <c r="L63" s="91">
        <v>30</v>
      </c>
      <c r="M63" s="91">
        <v>30</v>
      </c>
      <c r="N63" s="91">
        <v>30</v>
      </c>
      <c r="O63" s="91">
        <v>30</v>
      </c>
      <c r="P63" s="91">
        <v>30</v>
      </c>
      <c r="Q63" s="91">
        <v>29.3</v>
      </c>
      <c r="R63" s="91">
        <v>26.64</v>
      </c>
      <c r="S63" s="91">
        <v>23.59</v>
      </c>
      <c r="T63" s="91">
        <v>20.87</v>
      </c>
      <c r="U63" s="91">
        <v>18.46</v>
      </c>
      <c r="V63" s="91">
        <v>16.32</v>
      </c>
      <c r="W63" s="91">
        <v>14.43</v>
      </c>
      <c r="X63" s="91">
        <v>12.76</v>
      </c>
      <c r="Y63" s="91">
        <v>11.29</v>
      </c>
      <c r="Z63" s="91">
        <v>9.99</v>
      </c>
      <c r="AA63" s="91">
        <v>8.86</v>
      </c>
      <c r="AB63" s="91">
        <v>7.86</v>
      </c>
      <c r="AC63" s="91">
        <v>6.99</v>
      </c>
      <c r="AD63" s="91">
        <v>6.22</v>
      </c>
      <c r="AE63" s="91">
        <v>5.55</v>
      </c>
      <c r="AF63" s="91">
        <v>4.96</v>
      </c>
      <c r="AG63" s="91">
        <v>4.4400000000000004</v>
      </c>
      <c r="AH63" s="91">
        <v>3.98</v>
      </c>
      <c r="AI63" s="91">
        <v>3.57</v>
      </c>
      <c r="AJ63" s="91">
        <v>3.21</v>
      </c>
      <c r="AK63" s="91">
        <v>2.89</v>
      </c>
      <c r="AL63" s="91">
        <v>2.61</v>
      </c>
      <c r="AM63" s="91">
        <v>2.36</v>
      </c>
      <c r="AN63" s="91">
        <v>2.13</v>
      </c>
      <c r="AO63" s="91">
        <v>1.93</v>
      </c>
      <c r="AP63" s="91">
        <v>1.75</v>
      </c>
      <c r="AQ63" s="91">
        <v>1.58</v>
      </c>
      <c r="AR63" s="91">
        <v>1.43</v>
      </c>
      <c r="AS63" s="91">
        <v>1.3</v>
      </c>
      <c r="AT63" s="91">
        <v>1.18</v>
      </c>
      <c r="AU63" s="91">
        <v>1.07</v>
      </c>
    </row>
    <row r="64" spans="1:47" x14ac:dyDescent="0.25">
      <c r="A64" s="88">
        <v>59</v>
      </c>
      <c r="B64" s="91">
        <v>30</v>
      </c>
      <c r="C64" s="91">
        <v>30</v>
      </c>
      <c r="D64" s="91">
        <v>30</v>
      </c>
      <c r="E64" s="91">
        <v>30</v>
      </c>
      <c r="F64" s="91">
        <v>30</v>
      </c>
      <c r="G64" s="91">
        <v>30</v>
      </c>
      <c r="H64" s="91">
        <v>30</v>
      </c>
      <c r="I64" s="91">
        <v>30</v>
      </c>
      <c r="J64" s="91">
        <v>30</v>
      </c>
      <c r="K64" s="91">
        <v>30</v>
      </c>
      <c r="L64" s="91">
        <v>30</v>
      </c>
      <c r="M64" s="91">
        <v>30</v>
      </c>
      <c r="N64" s="91">
        <v>30</v>
      </c>
      <c r="O64" s="91">
        <v>30</v>
      </c>
      <c r="P64" s="91">
        <v>30</v>
      </c>
      <c r="Q64" s="91">
        <v>30</v>
      </c>
      <c r="R64" s="91">
        <v>28.97</v>
      </c>
      <c r="S64" s="91">
        <v>26.01</v>
      </c>
      <c r="T64" s="91">
        <v>23.01</v>
      </c>
      <c r="U64" s="91">
        <v>20.34</v>
      </c>
      <c r="V64" s="91">
        <v>17.97</v>
      </c>
      <c r="W64" s="91">
        <v>15.87</v>
      </c>
      <c r="X64" s="91">
        <v>14.01</v>
      </c>
      <c r="Y64" s="91">
        <v>12.38</v>
      </c>
      <c r="Z64" s="91">
        <v>10.94</v>
      </c>
      <c r="AA64" s="91">
        <v>9.68</v>
      </c>
      <c r="AB64" s="91">
        <v>8.57</v>
      </c>
      <c r="AC64" s="91">
        <v>7.6</v>
      </c>
      <c r="AD64" s="91">
        <v>6.75</v>
      </c>
      <c r="AE64" s="91">
        <v>6.01</v>
      </c>
      <c r="AF64" s="91">
        <v>5.35</v>
      </c>
      <c r="AG64" s="91">
        <v>4.78</v>
      </c>
      <c r="AH64" s="91">
        <v>4.2699999999999996</v>
      </c>
      <c r="AI64" s="91">
        <v>3.83</v>
      </c>
      <c r="AJ64" s="91">
        <v>3.43</v>
      </c>
      <c r="AK64" s="91">
        <v>3.08</v>
      </c>
      <c r="AL64" s="91">
        <v>2.77</v>
      </c>
      <c r="AM64" s="91">
        <v>2.5</v>
      </c>
      <c r="AN64" s="91">
        <v>2.25</v>
      </c>
      <c r="AO64" s="91">
        <v>2.0299999999999998</v>
      </c>
      <c r="AP64" s="91">
        <v>1.84</v>
      </c>
      <c r="AQ64" s="91">
        <v>1.66</v>
      </c>
      <c r="AR64" s="91">
        <v>1.5</v>
      </c>
      <c r="AS64" s="91">
        <v>1.36</v>
      </c>
      <c r="AT64" s="91">
        <v>1.23</v>
      </c>
      <c r="AU64" s="91">
        <v>1.1200000000000001</v>
      </c>
    </row>
    <row r="65" spans="1:47" x14ac:dyDescent="0.25">
      <c r="A65" s="88">
        <v>60</v>
      </c>
      <c r="B65" s="91">
        <v>30</v>
      </c>
      <c r="C65" s="91">
        <v>30</v>
      </c>
      <c r="D65" s="91">
        <v>30</v>
      </c>
      <c r="E65" s="91">
        <v>30</v>
      </c>
      <c r="F65" s="91">
        <v>30</v>
      </c>
      <c r="G65" s="91">
        <v>30</v>
      </c>
      <c r="H65" s="91">
        <v>30</v>
      </c>
      <c r="I65" s="91">
        <v>30</v>
      </c>
      <c r="J65" s="91">
        <v>30</v>
      </c>
      <c r="K65" s="91">
        <v>30</v>
      </c>
      <c r="L65" s="91">
        <v>30</v>
      </c>
      <c r="M65" s="91">
        <v>30</v>
      </c>
      <c r="N65" s="91">
        <v>30</v>
      </c>
      <c r="O65" s="91">
        <v>30</v>
      </c>
      <c r="P65" s="91">
        <v>30</v>
      </c>
      <c r="Q65" s="91">
        <v>30</v>
      </c>
      <c r="R65" s="91">
        <v>30</v>
      </c>
      <c r="S65" s="91">
        <v>28.64</v>
      </c>
      <c r="T65" s="91">
        <v>25.39</v>
      </c>
      <c r="U65" s="91">
        <v>22.44</v>
      </c>
      <c r="V65" s="91">
        <v>19.809999999999999</v>
      </c>
      <c r="W65" s="91">
        <v>17.48</v>
      </c>
      <c r="X65" s="91">
        <v>15.42</v>
      </c>
      <c r="Y65" s="91">
        <v>13.61</v>
      </c>
      <c r="Z65" s="91">
        <v>12.01</v>
      </c>
      <c r="AA65" s="91">
        <v>10.61</v>
      </c>
      <c r="AB65" s="91">
        <v>9.3699999999999992</v>
      </c>
      <c r="AC65" s="91">
        <v>8.3000000000000007</v>
      </c>
      <c r="AD65" s="91">
        <v>7.35</v>
      </c>
      <c r="AE65" s="91">
        <v>6.52</v>
      </c>
      <c r="AF65" s="91">
        <v>5.8</v>
      </c>
      <c r="AG65" s="91">
        <v>5.16</v>
      </c>
      <c r="AH65" s="91">
        <v>4.5999999999999996</v>
      </c>
      <c r="AI65" s="91">
        <v>4.1100000000000003</v>
      </c>
      <c r="AJ65" s="91">
        <v>3.68</v>
      </c>
      <c r="AK65" s="91">
        <v>3.3</v>
      </c>
      <c r="AL65" s="91">
        <v>2.96</v>
      </c>
      <c r="AM65" s="91">
        <v>2.66</v>
      </c>
      <c r="AN65" s="91">
        <v>2.39</v>
      </c>
      <c r="AO65" s="91">
        <v>2.15</v>
      </c>
      <c r="AP65" s="91">
        <v>1.94</v>
      </c>
      <c r="AQ65" s="91">
        <v>1.75</v>
      </c>
      <c r="AR65" s="91">
        <v>1.58</v>
      </c>
      <c r="AS65" s="91">
        <v>1.43</v>
      </c>
      <c r="AT65" s="91">
        <v>1.29</v>
      </c>
      <c r="AU65" s="91">
        <v>1.17</v>
      </c>
    </row>
    <row r="66" spans="1:47" x14ac:dyDescent="0.25">
      <c r="A66" s="88">
        <v>61</v>
      </c>
      <c r="B66" s="91">
        <v>30</v>
      </c>
      <c r="C66" s="91">
        <v>30</v>
      </c>
      <c r="D66" s="91">
        <v>30</v>
      </c>
      <c r="E66" s="91">
        <v>30</v>
      </c>
      <c r="F66" s="91">
        <v>30</v>
      </c>
      <c r="G66" s="91">
        <v>30</v>
      </c>
      <c r="H66" s="91">
        <v>30</v>
      </c>
      <c r="I66" s="91">
        <v>30</v>
      </c>
      <c r="J66" s="91">
        <v>30</v>
      </c>
      <c r="K66" s="91">
        <v>30</v>
      </c>
      <c r="L66" s="91">
        <v>30</v>
      </c>
      <c r="M66" s="91">
        <v>30</v>
      </c>
      <c r="N66" s="91">
        <v>30</v>
      </c>
      <c r="O66" s="91">
        <v>30</v>
      </c>
      <c r="P66" s="91">
        <v>30</v>
      </c>
      <c r="Q66" s="91">
        <v>30</v>
      </c>
      <c r="R66" s="91">
        <v>30</v>
      </c>
      <c r="S66" s="91">
        <v>30</v>
      </c>
      <c r="T66" s="91">
        <v>28.04</v>
      </c>
      <c r="U66" s="91">
        <v>24.78</v>
      </c>
      <c r="V66" s="91">
        <v>21.87</v>
      </c>
      <c r="W66" s="91">
        <v>19.29</v>
      </c>
      <c r="X66" s="91">
        <v>17.010000000000002</v>
      </c>
      <c r="Y66" s="91">
        <v>14.99</v>
      </c>
      <c r="Z66" s="91">
        <v>13.21</v>
      </c>
      <c r="AA66" s="91">
        <v>11.65</v>
      </c>
      <c r="AB66" s="91">
        <v>10.28</v>
      </c>
      <c r="AC66" s="91">
        <v>9.07</v>
      </c>
      <c r="AD66" s="91">
        <v>8.02</v>
      </c>
      <c r="AE66" s="91">
        <v>7.1</v>
      </c>
      <c r="AF66" s="91">
        <v>6.3</v>
      </c>
      <c r="AG66" s="91">
        <v>5.59</v>
      </c>
      <c r="AH66" s="91">
        <v>4.97</v>
      </c>
      <c r="AI66" s="91">
        <v>4.43</v>
      </c>
      <c r="AJ66" s="91">
        <v>3.95</v>
      </c>
      <c r="AK66" s="91">
        <v>3.53</v>
      </c>
      <c r="AL66" s="91">
        <v>3.16</v>
      </c>
      <c r="AM66" s="91">
        <v>2.83</v>
      </c>
      <c r="AN66" s="91">
        <v>2.54</v>
      </c>
      <c r="AO66" s="91">
        <v>2.29</v>
      </c>
      <c r="AP66" s="91">
        <v>2.06</v>
      </c>
      <c r="AQ66" s="91">
        <v>1.85</v>
      </c>
      <c r="AR66" s="91">
        <v>1.67</v>
      </c>
      <c r="AS66" s="91">
        <v>1.5</v>
      </c>
      <c r="AT66" s="91">
        <v>1.36</v>
      </c>
      <c r="AU66" s="91">
        <v>1.23</v>
      </c>
    </row>
    <row r="67" spans="1:47" x14ac:dyDescent="0.25">
      <c r="A67" s="88">
        <v>62</v>
      </c>
      <c r="B67" s="91">
        <v>30</v>
      </c>
      <c r="C67" s="91">
        <v>30</v>
      </c>
      <c r="D67" s="91">
        <v>30</v>
      </c>
      <c r="E67" s="91">
        <v>30</v>
      </c>
      <c r="F67" s="91">
        <v>30</v>
      </c>
      <c r="G67" s="91">
        <v>30</v>
      </c>
      <c r="H67" s="91">
        <v>30</v>
      </c>
      <c r="I67" s="91">
        <v>30</v>
      </c>
      <c r="J67" s="91">
        <v>30</v>
      </c>
      <c r="K67" s="91">
        <v>30</v>
      </c>
      <c r="L67" s="91">
        <v>30</v>
      </c>
      <c r="M67" s="91">
        <v>30</v>
      </c>
      <c r="N67" s="91">
        <v>30</v>
      </c>
      <c r="O67" s="91">
        <v>30</v>
      </c>
      <c r="P67" s="91">
        <v>30</v>
      </c>
      <c r="Q67" s="91">
        <v>30</v>
      </c>
      <c r="R67" s="91">
        <v>30</v>
      </c>
      <c r="S67" s="91">
        <v>30</v>
      </c>
      <c r="T67" s="91">
        <v>29.72</v>
      </c>
      <c r="U67" s="91">
        <v>27.39</v>
      </c>
      <c r="V67" s="91">
        <v>24.18</v>
      </c>
      <c r="W67" s="91">
        <v>21.32</v>
      </c>
      <c r="X67" s="91">
        <v>18.78</v>
      </c>
      <c r="Y67" s="91">
        <v>16.54</v>
      </c>
      <c r="Z67" s="91">
        <v>14.56</v>
      </c>
      <c r="AA67" s="91">
        <v>12.82</v>
      </c>
      <c r="AB67" s="91">
        <v>11.29</v>
      </c>
      <c r="AC67" s="91">
        <v>9.9499999999999993</v>
      </c>
      <c r="AD67" s="91">
        <v>8.7799999999999994</v>
      </c>
      <c r="AE67" s="91">
        <v>7.76</v>
      </c>
      <c r="AF67" s="91">
        <v>6.86</v>
      </c>
      <c r="AG67" s="91">
        <v>6.08</v>
      </c>
      <c r="AH67" s="91">
        <v>5.39</v>
      </c>
      <c r="AI67" s="91">
        <v>4.79</v>
      </c>
      <c r="AJ67" s="91">
        <v>4.26</v>
      </c>
      <c r="AK67" s="91">
        <v>3.8</v>
      </c>
      <c r="AL67" s="91">
        <v>3.39</v>
      </c>
      <c r="AM67" s="91">
        <v>3.03</v>
      </c>
      <c r="AN67" s="91">
        <v>2.71</v>
      </c>
      <c r="AO67" s="91">
        <v>2.4300000000000002</v>
      </c>
      <c r="AP67" s="91">
        <v>2.1800000000000002</v>
      </c>
      <c r="AQ67" s="91">
        <v>1.96</v>
      </c>
      <c r="AR67" s="91">
        <v>1.76</v>
      </c>
      <c r="AS67" s="91">
        <v>1.59</v>
      </c>
      <c r="AT67" s="91">
        <v>1.43</v>
      </c>
      <c r="AU67" s="91">
        <v>1.29</v>
      </c>
    </row>
    <row r="68" spans="1:47" x14ac:dyDescent="0.25">
      <c r="A68" s="88">
        <v>63</v>
      </c>
      <c r="B68" s="91">
        <v>30</v>
      </c>
      <c r="C68" s="91">
        <v>30</v>
      </c>
      <c r="D68" s="91">
        <v>30</v>
      </c>
      <c r="E68" s="91">
        <v>30</v>
      </c>
      <c r="F68" s="91">
        <v>30</v>
      </c>
      <c r="G68" s="91">
        <v>30</v>
      </c>
      <c r="H68" s="91">
        <v>30</v>
      </c>
      <c r="I68" s="91">
        <v>30</v>
      </c>
      <c r="J68" s="91">
        <v>30</v>
      </c>
      <c r="K68" s="91">
        <v>30</v>
      </c>
      <c r="L68" s="91">
        <v>30</v>
      </c>
      <c r="M68" s="91">
        <v>30</v>
      </c>
      <c r="N68" s="91">
        <v>30</v>
      </c>
      <c r="O68" s="91">
        <v>30</v>
      </c>
      <c r="P68" s="91">
        <v>30</v>
      </c>
      <c r="Q68" s="91">
        <v>30</v>
      </c>
      <c r="R68" s="91">
        <v>30</v>
      </c>
      <c r="S68" s="91">
        <v>30</v>
      </c>
      <c r="T68" s="91">
        <v>30</v>
      </c>
      <c r="U68" s="91">
        <v>29.39</v>
      </c>
      <c r="V68" s="91">
        <v>26.76</v>
      </c>
      <c r="W68" s="91">
        <v>23.59</v>
      </c>
      <c r="X68" s="91">
        <v>20.78</v>
      </c>
      <c r="Y68" s="91">
        <v>18.28</v>
      </c>
      <c r="Z68" s="91">
        <v>16.079999999999998</v>
      </c>
      <c r="AA68" s="91">
        <v>14.14</v>
      </c>
      <c r="AB68" s="91">
        <v>12.44</v>
      </c>
      <c r="AC68" s="91">
        <v>10.94</v>
      </c>
      <c r="AD68" s="91">
        <v>9.64</v>
      </c>
      <c r="AE68" s="91">
        <v>8.5</v>
      </c>
      <c r="AF68" s="91">
        <v>7.5</v>
      </c>
      <c r="AG68" s="91">
        <v>6.62</v>
      </c>
      <c r="AH68" s="91">
        <v>5.86</v>
      </c>
      <c r="AI68" s="91">
        <v>5.19</v>
      </c>
      <c r="AJ68" s="91">
        <v>4.6100000000000003</v>
      </c>
      <c r="AK68" s="91">
        <v>4.0999999999999996</v>
      </c>
      <c r="AL68" s="91">
        <v>3.65</v>
      </c>
      <c r="AM68" s="91">
        <v>3.25</v>
      </c>
      <c r="AN68" s="91">
        <v>2.9</v>
      </c>
      <c r="AO68" s="91">
        <v>2.6</v>
      </c>
      <c r="AP68" s="91">
        <v>2.3199999999999998</v>
      </c>
      <c r="AQ68" s="91">
        <v>2.08</v>
      </c>
      <c r="AR68" s="91">
        <v>1.87</v>
      </c>
      <c r="AS68" s="91">
        <v>1.68</v>
      </c>
      <c r="AT68" s="91">
        <v>1.51</v>
      </c>
      <c r="AU68" s="91">
        <v>1.35</v>
      </c>
    </row>
    <row r="69" spans="1:47" x14ac:dyDescent="0.25">
      <c r="A69" s="88">
        <v>64</v>
      </c>
      <c r="B69" s="91">
        <v>30</v>
      </c>
      <c r="C69" s="91">
        <v>30</v>
      </c>
      <c r="D69" s="91">
        <v>30</v>
      </c>
      <c r="E69" s="91">
        <v>30</v>
      </c>
      <c r="F69" s="91">
        <v>30</v>
      </c>
      <c r="G69" s="91">
        <v>30</v>
      </c>
      <c r="H69" s="91">
        <v>30</v>
      </c>
      <c r="I69" s="91">
        <v>30</v>
      </c>
      <c r="J69" s="91">
        <v>30</v>
      </c>
      <c r="K69" s="91">
        <v>30</v>
      </c>
      <c r="L69" s="91">
        <v>30</v>
      </c>
      <c r="M69" s="91">
        <v>30</v>
      </c>
      <c r="N69" s="91">
        <v>30</v>
      </c>
      <c r="O69" s="91">
        <v>30</v>
      </c>
      <c r="P69" s="91">
        <v>30</v>
      </c>
      <c r="Q69" s="91">
        <v>30</v>
      </c>
      <c r="R69" s="91">
        <v>30</v>
      </c>
      <c r="S69" s="91">
        <v>30</v>
      </c>
      <c r="T69" s="91">
        <v>30</v>
      </c>
      <c r="U69" s="91">
        <v>30</v>
      </c>
      <c r="V69" s="91">
        <v>29.06</v>
      </c>
      <c r="W69" s="91">
        <v>26.13</v>
      </c>
      <c r="X69" s="91">
        <v>23.01</v>
      </c>
      <c r="Y69" s="91">
        <v>20.239999999999998</v>
      </c>
      <c r="Z69" s="91">
        <v>17.79</v>
      </c>
      <c r="AA69" s="91">
        <v>15.63</v>
      </c>
      <c r="AB69" s="91">
        <v>13.73</v>
      </c>
      <c r="AC69" s="91">
        <v>12.06</v>
      </c>
      <c r="AD69" s="91">
        <v>10.61</v>
      </c>
      <c r="AE69" s="91">
        <v>9.33</v>
      </c>
      <c r="AF69" s="91">
        <v>8.2200000000000006</v>
      </c>
      <c r="AG69" s="91">
        <v>7.24</v>
      </c>
      <c r="AH69" s="91">
        <v>6.39</v>
      </c>
      <c r="AI69" s="91">
        <v>5.65</v>
      </c>
      <c r="AJ69" s="91">
        <v>5</v>
      </c>
      <c r="AK69" s="91">
        <v>4.4400000000000004</v>
      </c>
      <c r="AL69" s="91">
        <v>3.94</v>
      </c>
      <c r="AM69" s="91">
        <v>3.5</v>
      </c>
      <c r="AN69" s="91">
        <v>3.12</v>
      </c>
      <c r="AO69" s="91">
        <v>2.78</v>
      </c>
      <c r="AP69" s="91">
        <v>2.48</v>
      </c>
      <c r="AQ69" s="91">
        <v>2.2200000000000002</v>
      </c>
      <c r="AR69" s="91">
        <v>1.98</v>
      </c>
      <c r="AS69" s="91">
        <v>1.78</v>
      </c>
      <c r="AT69" s="91">
        <v>1.59</v>
      </c>
      <c r="AU69" s="91">
        <v>1.43</v>
      </c>
    </row>
    <row r="70" spans="1:47" x14ac:dyDescent="0.25">
      <c r="A70" s="88">
        <v>65</v>
      </c>
      <c r="B70" s="91">
        <v>30</v>
      </c>
      <c r="C70" s="91">
        <v>30</v>
      </c>
      <c r="D70" s="91">
        <v>30</v>
      </c>
      <c r="E70" s="91">
        <v>30</v>
      </c>
      <c r="F70" s="91">
        <v>30</v>
      </c>
      <c r="G70" s="91">
        <v>30</v>
      </c>
      <c r="H70" s="91">
        <v>30</v>
      </c>
      <c r="I70" s="91">
        <v>30</v>
      </c>
      <c r="J70" s="91">
        <v>30</v>
      </c>
      <c r="K70" s="91">
        <v>30</v>
      </c>
      <c r="L70" s="91">
        <v>30</v>
      </c>
      <c r="M70" s="91">
        <v>30</v>
      </c>
      <c r="N70" s="91">
        <v>30</v>
      </c>
      <c r="O70" s="91">
        <v>30</v>
      </c>
      <c r="P70" s="91">
        <v>30</v>
      </c>
      <c r="Q70" s="91">
        <v>30</v>
      </c>
      <c r="R70" s="91">
        <v>30</v>
      </c>
      <c r="S70" s="91">
        <v>30</v>
      </c>
      <c r="T70" s="91">
        <v>30</v>
      </c>
      <c r="U70" s="91">
        <v>30</v>
      </c>
      <c r="V70" s="91">
        <v>30</v>
      </c>
      <c r="W70" s="91">
        <v>28.74</v>
      </c>
      <c r="X70" s="91">
        <v>25.51</v>
      </c>
      <c r="Y70" s="91">
        <v>22.44</v>
      </c>
      <c r="Z70" s="91">
        <v>19.71</v>
      </c>
      <c r="AA70" s="91">
        <v>17.309999999999999</v>
      </c>
      <c r="AB70" s="91">
        <v>15.19</v>
      </c>
      <c r="AC70" s="91">
        <v>13.33</v>
      </c>
      <c r="AD70" s="91">
        <v>11.7</v>
      </c>
      <c r="AE70" s="91">
        <v>10.27</v>
      </c>
      <c r="AF70" s="91">
        <v>9.0299999999999994</v>
      </c>
      <c r="AG70" s="91">
        <v>7.94</v>
      </c>
      <c r="AH70" s="91">
        <v>7</v>
      </c>
      <c r="AI70" s="91">
        <v>6.17</v>
      </c>
      <c r="AJ70" s="91">
        <v>5.45</v>
      </c>
      <c r="AK70" s="91">
        <v>4.82</v>
      </c>
      <c r="AL70" s="91">
        <v>4.26</v>
      </c>
      <c r="AM70" s="91">
        <v>3.78</v>
      </c>
      <c r="AN70" s="91">
        <v>3.36</v>
      </c>
      <c r="AO70" s="91">
        <v>2.98</v>
      </c>
      <c r="AP70" s="91">
        <v>2.66</v>
      </c>
      <c r="AQ70" s="91">
        <v>2.37</v>
      </c>
      <c r="AR70" s="91">
        <v>2.11</v>
      </c>
      <c r="AS70" s="91">
        <v>1.89</v>
      </c>
      <c r="AT70" s="91">
        <v>1.69</v>
      </c>
      <c r="AU70" s="91">
        <v>1.51</v>
      </c>
    </row>
    <row r="71" spans="1:47" x14ac:dyDescent="0.25">
      <c r="A71" s="88">
        <v>66</v>
      </c>
      <c r="B71" s="91">
        <v>30</v>
      </c>
      <c r="C71" s="91">
        <v>30</v>
      </c>
      <c r="D71" s="91">
        <v>30</v>
      </c>
      <c r="E71" s="91">
        <v>30</v>
      </c>
      <c r="F71" s="91">
        <v>30</v>
      </c>
      <c r="G71" s="91">
        <v>30</v>
      </c>
      <c r="H71" s="91">
        <v>30</v>
      </c>
      <c r="I71" s="91">
        <v>30</v>
      </c>
      <c r="J71" s="91">
        <v>30</v>
      </c>
      <c r="K71" s="91">
        <v>30</v>
      </c>
      <c r="L71" s="91">
        <v>30</v>
      </c>
      <c r="M71" s="91">
        <v>30</v>
      </c>
      <c r="N71" s="91">
        <v>30</v>
      </c>
      <c r="O71" s="91">
        <v>30</v>
      </c>
      <c r="P71" s="91">
        <v>30</v>
      </c>
      <c r="Q71" s="91">
        <v>30</v>
      </c>
      <c r="R71" s="91">
        <v>30</v>
      </c>
      <c r="S71" s="91">
        <v>30</v>
      </c>
      <c r="T71" s="91">
        <v>30</v>
      </c>
      <c r="U71" s="91">
        <v>30</v>
      </c>
      <c r="V71" s="91">
        <v>30</v>
      </c>
      <c r="W71" s="91">
        <v>30</v>
      </c>
      <c r="X71" s="91">
        <v>28.32</v>
      </c>
      <c r="Y71" s="91">
        <v>24.9</v>
      </c>
      <c r="Z71" s="91">
        <v>21.87</v>
      </c>
      <c r="AA71" s="91">
        <v>19.190000000000001</v>
      </c>
      <c r="AB71" s="91">
        <v>16.829999999999998</v>
      </c>
      <c r="AC71" s="91">
        <v>14.76</v>
      </c>
      <c r="AD71" s="91">
        <v>12.94</v>
      </c>
      <c r="AE71" s="91">
        <v>11.34</v>
      </c>
      <c r="AF71" s="91">
        <v>9.9499999999999993</v>
      </c>
      <c r="AG71" s="91">
        <v>8.74</v>
      </c>
      <c r="AH71" s="91">
        <v>7.68</v>
      </c>
      <c r="AI71" s="91">
        <v>6.75</v>
      </c>
      <c r="AJ71" s="91">
        <v>5.95</v>
      </c>
      <c r="AK71" s="91">
        <v>5.25</v>
      </c>
      <c r="AL71" s="91">
        <v>4.63</v>
      </c>
      <c r="AM71" s="91">
        <v>4.0999999999999996</v>
      </c>
      <c r="AN71" s="91">
        <v>3.63</v>
      </c>
      <c r="AO71" s="91">
        <v>3.21</v>
      </c>
      <c r="AP71" s="91">
        <v>2.85</v>
      </c>
      <c r="AQ71" s="91">
        <v>2.5299999999999998</v>
      </c>
      <c r="AR71" s="91">
        <v>2.2599999999999998</v>
      </c>
      <c r="AS71" s="91">
        <v>2.0099999999999998</v>
      </c>
      <c r="AT71" s="91">
        <v>1.79</v>
      </c>
      <c r="AU71" s="91">
        <v>1.6</v>
      </c>
    </row>
    <row r="72" spans="1:47" x14ac:dyDescent="0.25">
      <c r="A72" s="88">
        <v>67</v>
      </c>
      <c r="B72" s="91">
        <v>30</v>
      </c>
      <c r="C72" s="91">
        <v>30</v>
      </c>
      <c r="D72" s="91">
        <v>30</v>
      </c>
      <c r="E72" s="91">
        <v>30</v>
      </c>
      <c r="F72" s="91">
        <v>30</v>
      </c>
      <c r="G72" s="91">
        <v>30</v>
      </c>
      <c r="H72" s="91">
        <v>30</v>
      </c>
      <c r="I72" s="91">
        <v>30</v>
      </c>
      <c r="J72" s="91">
        <v>30</v>
      </c>
      <c r="K72" s="91">
        <v>30</v>
      </c>
      <c r="L72" s="91">
        <v>30</v>
      </c>
      <c r="M72" s="91">
        <v>30</v>
      </c>
      <c r="N72" s="91">
        <v>30</v>
      </c>
      <c r="O72" s="91">
        <v>30</v>
      </c>
      <c r="P72" s="91">
        <v>30</v>
      </c>
      <c r="Q72" s="91">
        <v>30</v>
      </c>
      <c r="R72" s="91">
        <v>30</v>
      </c>
      <c r="S72" s="91">
        <v>30</v>
      </c>
      <c r="T72" s="91">
        <v>30</v>
      </c>
      <c r="U72" s="91">
        <v>30</v>
      </c>
      <c r="V72" s="91">
        <v>30</v>
      </c>
      <c r="W72" s="91">
        <v>30</v>
      </c>
      <c r="X72" s="91">
        <v>29.9</v>
      </c>
      <c r="Y72" s="91">
        <v>27.68</v>
      </c>
      <c r="Z72" s="91">
        <v>24.31</v>
      </c>
      <c r="AA72" s="91">
        <v>21.32</v>
      </c>
      <c r="AB72" s="91">
        <v>18.690000000000001</v>
      </c>
      <c r="AC72" s="91">
        <v>16.37</v>
      </c>
      <c r="AD72" s="91">
        <v>14.34</v>
      </c>
      <c r="AE72" s="91">
        <v>12.55</v>
      </c>
      <c r="AF72" s="91">
        <v>11</v>
      </c>
      <c r="AG72" s="91">
        <v>9.64</v>
      </c>
      <c r="AH72" s="91">
        <v>8.4499999999999993</v>
      </c>
      <c r="AI72" s="91">
        <v>7.42</v>
      </c>
      <c r="AJ72" s="91">
        <v>6.52</v>
      </c>
      <c r="AK72" s="91">
        <v>5.73</v>
      </c>
      <c r="AL72" s="91">
        <v>5.05</v>
      </c>
      <c r="AM72" s="91">
        <v>4.45</v>
      </c>
      <c r="AN72" s="91">
        <v>3.93</v>
      </c>
      <c r="AO72" s="91">
        <v>3.48</v>
      </c>
      <c r="AP72" s="91">
        <v>3.08</v>
      </c>
      <c r="AQ72" s="91">
        <v>2.72</v>
      </c>
      <c r="AR72" s="91">
        <v>2.42</v>
      </c>
      <c r="AS72" s="91">
        <v>2.15</v>
      </c>
      <c r="AT72" s="91">
        <v>1.91</v>
      </c>
      <c r="AU72" s="91">
        <v>1.71</v>
      </c>
    </row>
    <row r="73" spans="1:47" x14ac:dyDescent="0.25">
      <c r="A73" s="88">
        <v>68</v>
      </c>
      <c r="B73" s="91">
        <v>30</v>
      </c>
      <c r="C73" s="91">
        <v>30</v>
      </c>
      <c r="D73" s="91">
        <v>30</v>
      </c>
      <c r="E73" s="91">
        <v>30</v>
      </c>
      <c r="F73" s="91">
        <v>30</v>
      </c>
      <c r="G73" s="91">
        <v>30</v>
      </c>
      <c r="H73" s="91">
        <v>30</v>
      </c>
      <c r="I73" s="91">
        <v>30</v>
      </c>
      <c r="J73" s="91">
        <v>30</v>
      </c>
      <c r="K73" s="91">
        <v>30</v>
      </c>
      <c r="L73" s="91">
        <v>30</v>
      </c>
      <c r="M73" s="91">
        <v>30</v>
      </c>
      <c r="N73" s="91">
        <v>30</v>
      </c>
      <c r="O73" s="91">
        <v>30</v>
      </c>
      <c r="P73" s="91">
        <v>30</v>
      </c>
      <c r="Q73" s="91">
        <v>30</v>
      </c>
      <c r="R73" s="91">
        <v>30</v>
      </c>
      <c r="S73" s="91">
        <v>30</v>
      </c>
      <c r="T73" s="91">
        <v>30</v>
      </c>
      <c r="U73" s="91">
        <v>30</v>
      </c>
      <c r="V73" s="91">
        <v>30</v>
      </c>
      <c r="W73" s="91">
        <v>30</v>
      </c>
      <c r="X73" s="91">
        <v>30</v>
      </c>
      <c r="Y73" s="91">
        <v>29.57</v>
      </c>
      <c r="Z73" s="91">
        <v>27.05</v>
      </c>
      <c r="AA73" s="91">
        <v>23.72</v>
      </c>
      <c r="AB73" s="91">
        <v>20.79</v>
      </c>
      <c r="AC73" s="91">
        <v>18.2</v>
      </c>
      <c r="AD73" s="91">
        <v>15.92</v>
      </c>
      <c r="AE73" s="91">
        <v>13.93</v>
      </c>
      <c r="AF73" s="91">
        <v>12.18</v>
      </c>
      <c r="AG73" s="91">
        <v>10.66</v>
      </c>
      <c r="AH73" s="91">
        <v>9.33</v>
      </c>
      <c r="AI73" s="91">
        <v>8.18</v>
      </c>
      <c r="AJ73" s="91">
        <v>7.17</v>
      </c>
      <c r="AK73" s="91">
        <v>6.29</v>
      </c>
      <c r="AL73" s="91">
        <v>5.52</v>
      </c>
      <c r="AM73" s="91">
        <v>4.8600000000000003</v>
      </c>
      <c r="AN73" s="91">
        <v>4.28</v>
      </c>
      <c r="AO73" s="91">
        <v>3.77</v>
      </c>
      <c r="AP73" s="91">
        <v>3.33</v>
      </c>
      <c r="AQ73" s="91">
        <v>2.94</v>
      </c>
      <c r="AR73" s="91">
        <v>2.6</v>
      </c>
      <c r="AS73" s="91">
        <v>2.31</v>
      </c>
      <c r="AT73" s="91">
        <v>2.0499999999999998</v>
      </c>
      <c r="AU73" s="91">
        <v>1.82</v>
      </c>
    </row>
    <row r="74" spans="1:47" x14ac:dyDescent="0.25">
      <c r="A74" s="88">
        <v>69</v>
      </c>
      <c r="B74" s="91">
        <v>30</v>
      </c>
      <c r="C74" s="91">
        <v>30</v>
      </c>
      <c r="D74" s="91">
        <v>30</v>
      </c>
      <c r="E74" s="91">
        <v>30</v>
      </c>
      <c r="F74" s="91">
        <v>30</v>
      </c>
      <c r="G74" s="91">
        <v>30</v>
      </c>
      <c r="H74" s="91">
        <v>30</v>
      </c>
      <c r="I74" s="91">
        <v>30</v>
      </c>
      <c r="J74" s="91">
        <v>30</v>
      </c>
      <c r="K74" s="91">
        <v>30</v>
      </c>
      <c r="L74" s="91">
        <v>30</v>
      </c>
      <c r="M74" s="91">
        <v>30</v>
      </c>
      <c r="N74" s="91">
        <v>30</v>
      </c>
      <c r="O74" s="91">
        <v>30</v>
      </c>
      <c r="P74" s="91">
        <v>30</v>
      </c>
      <c r="Q74" s="91">
        <v>30</v>
      </c>
      <c r="R74" s="91">
        <v>30</v>
      </c>
      <c r="S74" s="91">
        <v>30</v>
      </c>
      <c r="T74" s="91">
        <v>30</v>
      </c>
      <c r="U74" s="91">
        <v>30</v>
      </c>
      <c r="V74" s="91">
        <v>30</v>
      </c>
      <c r="W74" s="91">
        <v>30</v>
      </c>
      <c r="X74" s="91">
        <v>30</v>
      </c>
      <c r="Y74" s="91">
        <v>30</v>
      </c>
      <c r="Z74" s="91">
        <v>29.25</v>
      </c>
      <c r="AA74" s="91">
        <v>26.43</v>
      </c>
      <c r="AB74" s="91">
        <v>23.16</v>
      </c>
      <c r="AC74" s="91">
        <v>20.260000000000002</v>
      </c>
      <c r="AD74" s="91">
        <v>17.72</v>
      </c>
      <c r="AE74" s="91">
        <v>15.49</v>
      </c>
      <c r="AF74" s="91">
        <v>13.53</v>
      </c>
      <c r="AG74" s="91">
        <v>11.82</v>
      </c>
      <c r="AH74" s="91">
        <v>10.33</v>
      </c>
      <c r="AI74" s="91">
        <v>9.0399999999999991</v>
      </c>
      <c r="AJ74" s="91">
        <v>7.9</v>
      </c>
      <c r="AK74" s="91">
        <v>6.92</v>
      </c>
      <c r="AL74" s="91">
        <v>6.06</v>
      </c>
      <c r="AM74" s="91">
        <v>5.32</v>
      </c>
      <c r="AN74" s="91">
        <v>4.67</v>
      </c>
      <c r="AO74" s="91">
        <v>4.1100000000000003</v>
      </c>
      <c r="AP74" s="91">
        <v>3.61</v>
      </c>
      <c r="AQ74" s="91">
        <v>3.18</v>
      </c>
      <c r="AR74" s="91">
        <v>2.81</v>
      </c>
      <c r="AS74" s="91">
        <v>2.48</v>
      </c>
      <c r="AT74" s="91">
        <v>2.2000000000000002</v>
      </c>
      <c r="AU74" s="91">
        <v>1.95</v>
      </c>
    </row>
    <row r="75" spans="1:47" x14ac:dyDescent="0.25">
      <c r="A75" s="88">
        <v>70</v>
      </c>
      <c r="B75" s="91">
        <v>30</v>
      </c>
      <c r="C75" s="91">
        <v>30</v>
      </c>
      <c r="D75" s="91">
        <v>30</v>
      </c>
      <c r="E75" s="91">
        <v>30</v>
      </c>
      <c r="F75" s="91">
        <v>30</v>
      </c>
      <c r="G75" s="91">
        <v>30</v>
      </c>
      <c r="H75" s="91">
        <v>30</v>
      </c>
      <c r="I75" s="91">
        <v>30</v>
      </c>
      <c r="J75" s="91">
        <v>30</v>
      </c>
      <c r="K75" s="91">
        <v>30</v>
      </c>
      <c r="L75" s="91">
        <v>30</v>
      </c>
      <c r="M75" s="91">
        <v>30</v>
      </c>
      <c r="N75" s="91">
        <v>30</v>
      </c>
      <c r="O75" s="91">
        <v>30</v>
      </c>
      <c r="P75" s="91">
        <v>30</v>
      </c>
      <c r="Q75" s="91">
        <v>30</v>
      </c>
      <c r="R75" s="91">
        <v>30</v>
      </c>
      <c r="S75" s="91">
        <v>30</v>
      </c>
      <c r="T75" s="91">
        <v>30</v>
      </c>
      <c r="U75" s="91">
        <v>30</v>
      </c>
      <c r="V75" s="91">
        <v>30</v>
      </c>
      <c r="W75" s="91">
        <v>30</v>
      </c>
      <c r="X75" s="91">
        <v>30</v>
      </c>
      <c r="Y75" s="91">
        <v>30</v>
      </c>
      <c r="Z75" s="91">
        <v>30</v>
      </c>
      <c r="AA75" s="91">
        <v>28.93</v>
      </c>
      <c r="AB75" s="91">
        <v>25.83</v>
      </c>
      <c r="AC75" s="91">
        <v>22.6</v>
      </c>
      <c r="AD75" s="91">
        <v>19.760000000000002</v>
      </c>
      <c r="AE75" s="91">
        <v>17.260000000000002</v>
      </c>
      <c r="AF75" s="91">
        <v>15.07</v>
      </c>
      <c r="AG75" s="91">
        <v>13.15</v>
      </c>
      <c r="AH75" s="91">
        <v>11.48</v>
      </c>
      <c r="AI75" s="91">
        <v>10.02</v>
      </c>
      <c r="AJ75" s="91">
        <v>8.75</v>
      </c>
      <c r="AK75" s="91">
        <v>7.64</v>
      </c>
      <c r="AL75" s="91">
        <v>6.68</v>
      </c>
      <c r="AM75" s="91">
        <v>5.84</v>
      </c>
      <c r="AN75" s="91">
        <v>5.12</v>
      </c>
      <c r="AO75" s="91">
        <v>4.49</v>
      </c>
      <c r="AP75" s="91">
        <v>3.94</v>
      </c>
      <c r="AQ75" s="91">
        <v>3.46</v>
      </c>
      <c r="AR75" s="91">
        <v>3.04</v>
      </c>
      <c r="AS75" s="91">
        <v>2.68</v>
      </c>
      <c r="AT75" s="91">
        <v>2.36</v>
      </c>
      <c r="AU75" s="91">
        <v>2.09</v>
      </c>
    </row>
    <row r="76" spans="1:47" x14ac:dyDescent="0.25">
      <c r="A76" s="88">
        <v>71</v>
      </c>
      <c r="B76" s="91">
        <v>30</v>
      </c>
      <c r="C76" s="91">
        <v>30</v>
      </c>
      <c r="D76" s="91">
        <v>30</v>
      </c>
      <c r="E76" s="91">
        <v>30</v>
      </c>
      <c r="F76" s="91">
        <v>30</v>
      </c>
      <c r="G76" s="91">
        <v>30</v>
      </c>
      <c r="H76" s="91">
        <v>30</v>
      </c>
      <c r="I76" s="91">
        <v>30</v>
      </c>
      <c r="J76" s="91">
        <v>30</v>
      </c>
      <c r="K76" s="91">
        <v>30</v>
      </c>
      <c r="L76" s="91">
        <v>30</v>
      </c>
      <c r="M76" s="91">
        <v>30</v>
      </c>
      <c r="N76" s="91">
        <v>30</v>
      </c>
      <c r="O76" s="91">
        <v>30</v>
      </c>
      <c r="P76" s="91">
        <v>30</v>
      </c>
      <c r="Q76" s="91">
        <v>30</v>
      </c>
      <c r="R76" s="91">
        <v>30</v>
      </c>
      <c r="S76" s="91">
        <v>30</v>
      </c>
      <c r="T76" s="91">
        <v>30</v>
      </c>
      <c r="U76" s="91">
        <v>30</v>
      </c>
      <c r="V76" s="91">
        <v>30</v>
      </c>
      <c r="W76" s="91">
        <v>30</v>
      </c>
      <c r="X76" s="91">
        <v>30</v>
      </c>
      <c r="Y76" s="91">
        <v>30</v>
      </c>
      <c r="Z76" s="91">
        <v>30</v>
      </c>
      <c r="AA76" s="91">
        <v>30</v>
      </c>
      <c r="AB76" s="91">
        <v>28.63</v>
      </c>
      <c r="AC76" s="91">
        <v>25.25</v>
      </c>
      <c r="AD76" s="91">
        <v>22.06</v>
      </c>
      <c r="AE76" s="91">
        <v>19.27</v>
      </c>
      <c r="AF76" s="91">
        <v>16.809999999999999</v>
      </c>
      <c r="AG76" s="91">
        <v>14.66</v>
      </c>
      <c r="AH76" s="91">
        <v>12.78</v>
      </c>
      <c r="AI76" s="91">
        <v>11.13</v>
      </c>
      <c r="AJ76" s="91">
        <v>9.7100000000000009</v>
      </c>
      <c r="AK76" s="91">
        <v>8.4600000000000009</v>
      </c>
      <c r="AL76" s="91">
        <v>7.38</v>
      </c>
      <c r="AM76" s="91">
        <v>6.44</v>
      </c>
      <c r="AN76" s="91">
        <v>5.63</v>
      </c>
      <c r="AO76" s="91">
        <v>4.92</v>
      </c>
      <c r="AP76" s="91">
        <v>4.3</v>
      </c>
      <c r="AQ76" s="91">
        <v>3.77</v>
      </c>
      <c r="AR76" s="91">
        <v>3.3</v>
      </c>
      <c r="AS76" s="91">
        <v>2.9</v>
      </c>
      <c r="AT76" s="91">
        <v>2.56</v>
      </c>
      <c r="AU76" s="91">
        <v>2.25</v>
      </c>
    </row>
    <row r="77" spans="1:47" x14ac:dyDescent="0.25">
      <c r="A77" s="88">
        <v>72</v>
      </c>
      <c r="B77" s="91">
        <v>30</v>
      </c>
      <c r="C77" s="91">
        <v>30</v>
      </c>
      <c r="D77" s="91">
        <v>30</v>
      </c>
      <c r="E77" s="91">
        <v>30</v>
      </c>
      <c r="F77" s="91">
        <v>30</v>
      </c>
      <c r="G77" s="91">
        <v>30</v>
      </c>
      <c r="H77" s="91">
        <v>30</v>
      </c>
      <c r="I77" s="91">
        <v>30</v>
      </c>
      <c r="J77" s="91">
        <v>30</v>
      </c>
      <c r="K77" s="91">
        <v>30</v>
      </c>
      <c r="L77" s="91">
        <v>30</v>
      </c>
      <c r="M77" s="91">
        <v>30</v>
      </c>
      <c r="N77" s="91">
        <v>30</v>
      </c>
      <c r="O77" s="91">
        <v>30</v>
      </c>
      <c r="P77" s="91">
        <v>30</v>
      </c>
      <c r="Q77" s="91">
        <v>30</v>
      </c>
      <c r="R77" s="91">
        <v>30</v>
      </c>
      <c r="S77" s="91">
        <v>30</v>
      </c>
      <c r="T77" s="91">
        <v>30</v>
      </c>
      <c r="U77" s="91">
        <v>30</v>
      </c>
      <c r="V77" s="91">
        <v>30</v>
      </c>
      <c r="W77" s="91">
        <v>30</v>
      </c>
      <c r="X77" s="91">
        <v>30</v>
      </c>
      <c r="Y77" s="91">
        <v>30</v>
      </c>
      <c r="Z77" s="91">
        <v>30</v>
      </c>
      <c r="AA77" s="91">
        <v>30</v>
      </c>
      <c r="AB77" s="91">
        <v>30</v>
      </c>
      <c r="AC77" s="91">
        <v>28.25</v>
      </c>
      <c r="AD77" s="91">
        <v>24.68</v>
      </c>
      <c r="AE77" s="91">
        <v>21.54</v>
      </c>
      <c r="AF77" s="91">
        <v>18.79</v>
      </c>
      <c r="AG77" s="91">
        <v>16.37</v>
      </c>
      <c r="AH77" s="91">
        <v>14.26</v>
      </c>
      <c r="AI77" s="91">
        <v>12.41</v>
      </c>
      <c r="AJ77" s="91">
        <v>10.8</v>
      </c>
      <c r="AK77" s="91">
        <v>9.4</v>
      </c>
      <c r="AL77" s="91">
        <v>8.18</v>
      </c>
      <c r="AM77" s="91">
        <v>7.13</v>
      </c>
      <c r="AN77" s="91">
        <v>6.21</v>
      </c>
      <c r="AO77" s="91">
        <v>5.41</v>
      </c>
      <c r="AP77" s="91">
        <v>4.72</v>
      </c>
      <c r="AQ77" s="91">
        <v>4.12</v>
      </c>
      <c r="AR77" s="91">
        <v>3.61</v>
      </c>
      <c r="AS77" s="91">
        <v>3.16</v>
      </c>
      <c r="AT77" s="91">
        <v>2.77</v>
      </c>
      <c r="AU77" s="91">
        <v>2.4300000000000002</v>
      </c>
    </row>
    <row r="78" spans="1:47" x14ac:dyDescent="0.25">
      <c r="A78" s="88">
        <v>73</v>
      </c>
      <c r="B78" s="91">
        <v>30</v>
      </c>
      <c r="C78" s="91">
        <v>30</v>
      </c>
      <c r="D78" s="91">
        <v>30</v>
      </c>
      <c r="E78" s="91">
        <v>30</v>
      </c>
      <c r="F78" s="91">
        <v>30</v>
      </c>
      <c r="G78" s="91">
        <v>30</v>
      </c>
      <c r="H78" s="91">
        <v>30</v>
      </c>
      <c r="I78" s="91">
        <v>30</v>
      </c>
      <c r="J78" s="91">
        <v>30</v>
      </c>
      <c r="K78" s="91">
        <v>30</v>
      </c>
      <c r="L78" s="91">
        <v>30</v>
      </c>
      <c r="M78" s="91">
        <v>30</v>
      </c>
      <c r="N78" s="91">
        <v>30</v>
      </c>
      <c r="O78" s="91">
        <v>30</v>
      </c>
      <c r="P78" s="91">
        <v>30</v>
      </c>
      <c r="Q78" s="91">
        <v>30</v>
      </c>
      <c r="R78" s="91">
        <v>30</v>
      </c>
      <c r="S78" s="91">
        <v>30</v>
      </c>
      <c r="T78" s="91">
        <v>30</v>
      </c>
      <c r="U78" s="91">
        <v>30</v>
      </c>
      <c r="V78" s="91">
        <v>30</v>
      </c>
      <c r="W78" s="91">
        <v>30</v>
      </c>
      <c r="X78" s="91">
        <v>30</v>
      </c>
      <c r="Y78" s="91">
        <v>30</v>
      </c>
      <c r="Z78" s="91">
        <v>30</v>
      </c>
      <c r="AA78" s="91">
        <v>30</v>
      </c>
      <c r="AB78" s="91">
        <v>30</v>
      </c>
      <c r="AC78" s="91">
        <v>29.92</v>
      </c>
      <c r="AD78" s="91">
        <v>27.65</v>
      </c>
      <c r="AE78" s="91">
        <v>24.14</v>
      </c>
      <c r="AF78" s="91">
        <v>21.04</v>
      </c>
      <c r="AG78" s="91">
        <v>18.329999999999998</v>
      </c>
      <c r="AH78" s="91">
        <v>15.95</v>
      </c>
      <c r="AI78" s="91">
        <v>13.87</v>
      </c>
      <c r="AJ78" s="91">
        <v>12.05</v>
      </c>
      <c r="AK78" s="91">
        <v>10.48</v>
      </c>
      <c r="AL78" s="91">
        <v>9.1</v>
      </c>
      <c r="AM78" s="91">
        <v>7.91</v>
      </c>
      <c r="AN78" s="91">
        <v>6.88</v>
      </c>
      <c r="AO78" s="91">
        <v>5.98</v>
      </c>
      <c r="AP78" s="91">
        <v>5.2</v>
      </c>
      <c r="AQ78" s="91">
        <v>4.53</v>
      </c>
      <c r="AR78" s="91">
        <v>3.95</v>
      </c>
      <c r="AS78" s="91">
        <v>3.45</v>
      </c>
      <c r="AT78" s="91">
        <v>3.02</v>
      </c>
      <c r="AU78" s="91">
        <v>2.64</v>
      </c>
    </row>
    <row r="79" spans="1:47" x14ac:dyDescent="0.25">
      <c r="A79" s="88">
        <v>74</v>
      </c>
      <c r="B79" s="91">
        <v>30</v>
      </c>
      <c r="C79" s="91">
        <v>30</v>
      </c>
      <c r="D79" s="91">
        <v>30</v>
      </c>
      <c r="E79" s="91">
        <v>30</v>
      </c>
      <c r="F79" s="91">
        <v>30</v>
      </c>
      <c r="G79" s="91">
        <v>30</v>
      </c>
      <c r="H79" s="91">
        <v>30</v>
      </c>
      <c r="I79" s="91">
        <v>30</v>
      </c>
      <c r="J79" s="91">
        <v>30</v>
      </c>
      <c r="K79" s="91">
        <v>30</v>
      </c>
      <c r="L79" s="91">
        <v>30</v>
      </c>
      <c r="M79" s="91">
        <v>30</v>
      </c>
      <c r="N79" s="91">
        <v>30</v>
      </c>
      <c r="O79" s="91">
        <v>30</v>
      </c>
      <c r="P79" s="91">
        <v>30</v>
      </c>
      <c r="Q79" s="91">
        <v>30</v>
      </c>
      <c r="R79" s="91">
        <v>30</v>
      </c>
      <c r="S79" s="91">
        <v>30</v>
      </c>
      <c r="T79" s="91">
        <v>30</v>
      </c>
      <c r="U79" s="91">
        <v>30</v>
      </c>
      <c r="V79" s="91">
        <v>30</v>
      </c>
      <c r="W79" s="91">
        <v>30</v>
      </c>
      <c r="X79" s="91">
        <v>30</v>
      </c>
      <c r="Y79" s="91">
        <v>30</v>
      </c>
      <c r="Z79" s="91">
        <v>30</v>
      </c>
      <c r="AA79" s="91">
        <v>30</v>
      </c>
      <c r="AB79" s="91">
        <v>30</v>
      </c>
      <c r="AC79" s="91">
        <v>30</v>
      </c>
      <c r="AD79" s="91">
        <v>29.62</v>
      </c>
      <c r="AE79" s="91">
        <v>27.09</v>
      </c>
      <c r="AF79" s="91">
        <v>23.61</v>
      </c>
      <c r="AG79" s="91">
        <v>20.56</v>
      </c>
      <c r="AH79" s="91">
        <v>17.88</v>
      </c>
      <c r="AI79" s="91">
        <v>15.54</v>
      </c>
      <c r="AJ79" s="91">
        <v>13.49</v>
      </c>
      <c r="AK79" s="91">
        <v>11.71</v>
      </c>
      <c r="AL79" s="91">
        <v>10.16</v>
      </c>
      <c r="AM79" s="91">
        <v>8.81</v>
      </c>
      <c r="AN79" s="91">
        <v>7.64</v>
      </c>
      <c r="AO79" s="91">
        <v>6.63</v>
      </c>
      <c r="AP79" s="91">
        <v>5.75</v>
      </c>
      <c r="AQ79" s="91">
        <v>4.99</v>
      </c>
      <c r="AR79" s="91">
        <v>4.34</v>
      </c>
      <c r="AS79" s="91">
        <v>3.78</v>
      </c>
      <c r="AT79" s="91">
        <v>3.3</v>
      </c>
      <c r="AU79" s="91">
        <v>2.88</v>
      </c>
    </row>
    <row r="80" spans="1:47" x14ac:dyDescent="0.25">
      <c r="A80" s="88">
        <v>75</v>
      </c>
      <c r="B80" s="91">
        <v>30</v>
      </c>
      <c r="C80" s="91">
        <v>30</v>
      </c>
      <c r="D80" s="91">
        <v>30</v>
      </c>
      <c r="E80" s="91">
        <v>30</v>
      </c>
      <c r="F80" s="91">
        <v>30</v>
      </c>
      <c r="G80" s="91">
        <v>30</v>
      </c>
      <c r="H80" s="91">
        <v>30</v>
      </c>
      <c r="I80" s="91">
        <v>30</v>
      </c>
      <c r="J80" s="91">
        <v>30</v>
      </c>
      <c r="K80" s="91">
        <v>30</v>
      </c>
      <c r="L80" s="91">
        <v>30</v>
      </c>
      <c r="M80" s="91">
        <v>30</v>
      </c>
      <c r="N80" s="91">
        <v>30</v>
      </c>
      <c r="O80" s="91">
        <v>30</v>
      </c>
      <c r="P80" s="91">
        <v>30</v>
      </c>
      <c r="Q80" s="91">
        <v>30</v>
      </c>
      <c r="R80" s="91">
        <v>30</v>
      </c>
      <c r="S80" s="91">
        <v>30</v>
      </c>
      <c r="T80" s="91">
        <v>30</v>
      </c>
      <c r="U80" s="91">
        <v>30</v>
      </c>
      <c r="V80" s="91">
        <v>30</v>
      </c>
      <c r="W80" s="91">
        <v>30</v>
      </c>
      <c r="X80" s="91">
        <v>30</v>
      </c>
      <c r="Y80" s="91">
        <v>30</v>
      </c>
      <c r="Z80" s="91">
        <v>30</v>
      </c>
      <c r="AA80" s="91">
        <v>30</v>
      </c>
      <c r="AB80" s="91">
        <v>30</v>
      </c>
      <c r="AC80" s="91">
        <v>30</v>
      </c>
      <c r="AD80" s="91">
        <v>30</v>
      </c>
      <c r="AE80" s="91">
        <v>29.33</v>
      </c>
      <c r="AF80" s="91">
        <v>26.55</v>
      </c>
      <c r="AG80" s="91">
        <v>23.11</v>
      </c>
      <c r="AH80" s="91">
        <v>20.09</v>
      </c>
      <c r="AI80" s="91">
        <v>17.45</v>
      </c>
      <c r="AJ80" s="91">
        <v>15.14</v>
      </c>
      <c r="AK80" s="91">
        <v>13.13</v>
      </c>
      <c r="AL80" s="91">
        <v>11.37</v>
      </c>
      <c r="AM80" s="91">
        <v>9.84</v>
      </c>
      <c r="AN80" s="91">
        <v>8.52</v>
      </c>
      <c r="AO80" s="91">
        <v>7.38</v>
      </c>
      <c r="AP80" s="91">
        <v>6.38</v>
      </c>
      <c r="AQ80" s="91">
        <v>5.52</v>
      </c>
      <c r="AR80" s="91">
        <v>4.79</v>
      </c>
      <c r="AS80" s="91">
        <v>4.16</v>
      </c>
      <c r="AT80" s="91">
        <v>3.61</v>
      </c>
      <c r="AU80" s="91">
        <v>3.15</v>
      </c>
    </row>
    <row r="81" spans="1:47" x14ac:dyDescent="0.25">
      <c r="A81" s="88">
        <v>76</v>
      </c>
      <c r="B81" s="91">
        <v>30</v>
      </c>
      <c r="C81" s="91">
        <v>30</v>
      </c>
      <c r="D81" s="91">
        <v>30</v>
      </c>
      <c r="E81" s="91">
        <v>30</v>
      </c>
      <c r="F81" s="91">
        <v>30</v>
      </c>
      <c r="G81" s="91">
        <v>30</v>
      </c>
      <c r="H81" s="91">
        <v>30</v>
      </c>
      <c r="I81" s="91">
        <v>30</v>
      </c>
      <c r="J81" s="91">
        <v>30</v>
      </c>
      <c r="K81" s="91">
        <v>30</v>
      </c>
      <c r="L81" s="91">
        <v>30</v>
      </c>
      <c r="M81" s="91">
        <v>30</v>
      </c>
      <c r="N81" s="91">
        <v>30</v>
      </c>
      <c r="O81" s="91">
        <v>30</v>
      </c>
      <c r="P81" s="91">
        <v>30</v>
      </c>
      <c r="Q81" s="91">
        <v>30</v>
      </c>
      <c r="R81" s="91">
        <v>30</v>
      </c>
      <c r="S81" s="91">
        <v>30</v>
      </c>
      <c r="T81" s="91">
        <v>30</v>
      </c>
      <c r="U81" s="91">
        <v>30</v>
      </c>
      <c r="V81" s="91">
        <v>30</v>
      </c>
      <c r="W81" s="91">
        <v>30</v>
      </c>
      <c r="X81" s="91">
        <v>30</v>
      </c>
      <c r="Y81" s="91">
        <v>30</v>
      </c>
      <c r="Z81" s="91">
        <v>30</v>
      </c>
      <c r="AA81" s="91">
        <v>30</v>
      </c>
      <c r="AB81" s="91">
        <v>30</v>
      </c>
      <c r="AC81" s="91">
        <v>30</v>
      </c>
      <c r="AD81" s="91">
        <v>30</v>
      </c>
      <c r="AE81" s="91">
        <v>30</v>
      </c>
      <c r="AF81" s="91">
        <v>29.06</v>
      </c>
      <c r="AG81" s="91">
        <v>26.03</v>
      </c>
      <c r="AH81" s="91">
        <v>22.63</v>
      </c>
      <c r="AI81" s="91">
        <v>19.649999999999999</v>
      </c>
      <c r="AJ81" s="91">
        <v>17.03</v>
      </c>
      <c r="AK81" s="91">
        <v>14.76</v>
      </c>
      <c r="AL81" s="91">
        <v>12.77</v>
      </c>
      <c r="AM81" s="91">
        <v>11.04</v>
      </c>
      <c r="AN81" s="91">
        <v>9.5399999999999991</v>
      </c>
      <c r="AO81" s="91">
        <v>8.24</v>
      </c>
      <c r="AP81" s="91">
        <v>7.11</v>
      </c>
      <c r="AQ81" s="91">
        <v>6.14</v>
      </c>
      <c r="AR81" s="91">
        <v>5.31</v>
      </c>
      <c r="AS81" s="91">
        <v>4.59</v>
      </c>
      <c r="AT81" s="91">
        <v>3.98</v>
      </c>
      <c r="AU81" s="91">
        <v>3.45</v>
      </c>
    </row>
    <row r="82" spans="1:47" x14ac:dyDescent="0.25">
      <c r="A82" s="88">
        <v>77</v>
      </c>
      <c r="B82" s="91">
        <v>30</v>
      </c>
      <c r="C82" s="91">
        <v>30</v>
      </c>
      <c r="D82" s="91">
        <v>30</v>
      </c>
      <c r="E82" s="91">
        <v>30</v>
      </c>
      <c r="F82" s="91">
        <v>30</v>
      </c>
      <c r="G82" s="91">
        <v>30</v>
      </c>
      <c r="H82" s="91">
        <v>30</v>
      </c>
      <c r="I82" s="91">
        <v>30</v>
      </c>
      <c r="J82" s="91">
        <v>30</v>
      </c>
      <c r="K82" s="91">
        <v>30</v>
      </c>
      <c r="L82" s="91">
        <v>30</v>
      </c>
      <c r="M82" s="91">
        <v>30</v>
      </c>
      <c r="N82" s="91">
        <v>30</v>
      </c>
      <c r="O82" s="91">
        <v>30</v>
      </c>
      <c r="P82" s="91">
        <v>30</v>
      </c>
      <c r="Q82" s="91">
        <v>30</v>
      </c>
      <c r="R82" s="91">
        <v>30</v>
      </c>
      <c r="S82" s="91">
        <v>30</v>
      </c>
      <c r="T82" s="91">
        <v>30</v>
      </c>
      <c r="U82" s="91">
        <v>30</v>
      </c>
      <c r="V82" s="91">
        <v>30</v>
      </c>
      <c r="W82" s="91">
        <v>30</v>
      </c>
      <c r="X82" s="91">
        <v>30</v>
      </c>
      <c r="Y82" s="91">
        <v>30</v>
      </c>
      <c r="Z82" s="91">
        <v>30</v>
      </c>
      <c r="AA82" s="91">
        <v>30</v>
      </c>
      <c r="AB82" s="91">
        <v>30</v>
      </c>
      <c r="AC82" s="91">
        <v>30</v>
      </c>
      <c r="AD82" s="91">
        <v>30</v>
      </c>
      <c r="AE82" s="91">
        <v>30</v>
      </c>
      <c r="AF82" s="91">
        <v>30</v>
      </c>
      <c r="AG82" s="91">
        <v>28.8</v>
      </c>
      <c r="AH82" s="91">
        <v>25.54</v>
      </c>
      <c r="AI82" s="91">
        <v>22.17</v>
      </c>
      <c r="AJ82" s="91">
        <v>19.22</v>
      </c>
      <c r="AK82" s="91">
        <v>16.63</v>
      </c>
      <c r="AL82" s="91">
        <v>14.38</v>
      </c>
      <c r="AM82" s="91">
        <v>12.41</v>
      </c>
      <c r="AN82" s="91">
        <v>10.71</v>
      </c>
      <c r="AO82" s="91">
        <v>9.23</v>
      </c>
      <c r="AP82" s="91">
        <v>7.95</v>
      </c>
      <c r="AQ82" s="91">
        <v>6.85</v>
      </c>
      <c r="AR82" s="91">
        <v>5.9</v>
      </c>
      <c r="AS82" s="91">
        <v>5.0999999999999996</v>
      </c>
      <c r="AT82" s="91">
        <v>4.4000000000000004</v>
      </c>
      <c r="AU82" s="91">
        <v>3.81</v>
      </c>
    </row>
    <row r="83" spans="1:47" x14ac:dyDescent="0.25">
      <c r="A83" s="88">
        <v>78</v>
      </c>
      <c r="B83" s="91">
        <v>30</v>
      </c>
      <c r="C83" s="91">
        <v>30</v>
      </c>
      <c r="D83" s="91">
        <v>30</v>
      </c>
      <c r="E83" s="91">
        <v>30</v>
      </c>
      <c r="F83" s="91">
        <v>30</v>
      </c>
      <c r="G83" s="91">
        <v>30</v>
      </c>
      <c r="H83" s="91">
        <v>30</v>
      </c>
      <c r="I83" s="91">
        <v>30</v>
      </c>
      <c r="J83" s="91">
        <v>30</v>
      </c>
      <c r="K83" s="91">
        <v>30</v>
      </c>
      <c r="L83" s="91">
        <v>30</v>
      </c>
      <c r="M83" s="91">
        <v>30</v>
      </c>
      <c r="N83" s="91">
        <v>30</v>
      </c>
      <c r="O83" s="91">
        <v>30</v>
      </c>
      <c r="P83" s="91">
        <v>30</v>
      </c>
      <c r="Q83" s="91">
        <v>30</v>
      </c>
      <c r="R83" s="91">
        <v>30</v>
      </c>
      <c r="S83" s="91">
        <v>30</v>
      </c>
      <c r="T83" s="91">
        <v>30</v>
      </c>
      <c r="U83" s="91">
        <v>30</v>
      </c>
      <c r="V83" s="91">
        <v>30</v>
      </c>
      <c r="W83" s="91">
        <v>30</v>
      </c>
      <c r="X83" s="91">
        <v>30</v>
      </c>
      <c r="Y83" s="91">
        <v>30</v>
      </c>
      <c r="Z83" s="91">
        <v>30</v>
      </c>
      <c r="AA83" s="91">
        <v>30</v>
      </c>
      <c r="AB83" s="91">
        <v>30</v>
      </c>
      <c r="AC83" s="91">
        <v>30</v>
      </c>
      <c r="AD83" s="91">
        <v>30</v>
      </c>
      <c r="AE83" s="91">
        <v>30</v>
      </c>
      <c r="AF83" s="91">
        <v>30</v>
      </c>
      <c r="AG83" s="91">
        <v>30</v>
      </c>
      <c r="AH83" s="91">
        <v>28.55</v>
      </c>
      <c r="AI83" s="91">
        <v>25.07</v>
      </c>
      <c r="AJ83" s="91">
        <v>21.73</v>
      </c>
      <c r="AK83" s="91">
        <v>18.8</v>
      </c>
      <c r="AL83" s="91">
        <v>16.239999999999998</v>
      </c>
      <c r="AM83" s="91">
        <v>14.01</v>
      </c>
      <c r="AN83" s="91">
        <v>12.07</v>
      </c>
      <c r="AO83" s="91">
        <v>10.38</v>
      </c>
      <c r="AP83" s="91">
        <v>8.93</v>
      </c>
      <c r="AQ83" s="91">
        <v>7.67</v>
      </c>
      <c r="AR83" s="91">
        <v>6.59</v>
      </c>
      <c r="AS83" s="91">
        <v>5.68</v>
      </c>
      <c r="AT83" s="91">
        <v>4.8899999999999997</v>
      </c>
      <c r="AU83" s="91">
        <v>4.22</v>
      </c>
    </row>
    <row r="84" spans="1:47" x14ac:dyDescent="0.25">
      <c r="A84" s="88">
        <v>79</v>
      </c>
      <c r="B84" s="91">
        <v>30</v>
      </c>
      <c r="C84" s="91">
        <v>30</v>
      </c>
      <c r="D84" s="91">
        <v>30</v>
      </c>
      <c r="E84" s="91">
        <v>30</v>
      </c>
      <c r="F84" s="91">
        <v>30</v>
      </c>
      <c r="G84" s="91">
        <v>30</v>
      </c>
      <c r="H84" s="91">
        <v>30</v>
      </c>
      <c r="I84" s="91">
        <v>30</v>
      </c>
      <c r="J84" s="91">
        <v>30</v>
      </c>
      <c r="K84" s="91">
        <v>30</v>
      </c>
      <c r="L84" s="91">
        <v>30</v>
      </c>
      <c r="M84" s="91">
        <v>30</v>
      </c>
      <c r="N84" s="91">
        <v>30</v>
      </c>
      <c r="O84" s="91">
        <v>30</v>
      </c>
      <c r="P84" s="91">
        <v>30</v>
      </c>
      <c r="Q84" s="91">
        <v>30</v>
      </c>
      <c r="R84" s="91">
        <v>30</v>
      </c>
      <c r="S84" s="91">
        <v>30</v>
      </c>
      <c r="T84" s="91">
        <v>30</v>
      </c>
      <c r="U84" s="91">
        <v>30</v>
      </c>
      <c r="V84" s="91">
        <v>30</v>
      </c>
      <c r="W84" s="91">
        <v>30</v>
      </c>
      <c r="X84" s="91">
        <v>30</v>
      </c>
      <c r="Y84" s="91">
        <v>30</v>
      </c>
      <c r="Z84" s="91">
        <v>30</v>
      </c>
      <c r="AA84" s="91">
        <v>30</v>
      </c>
      <c r="AB84" s="91">
        <v>30</v>
      </c>
      <c r="AC84" s="91">
        <v>30</v>
      </c>
      <c r="AD84" s="91">
        <v>30</v>
      </c>
      <c r="AE84" s="91">
        <v>30</v>
      </c>
      <c r="AF84" s="91">
        <v>30</v>
      </c>
      <c r="AG84" s="91">
        <v>30</v>
      </c>
      <c r="AH84" s="91">
        <v>30</v>
      </c>
      <c r="AI84" s="91">
        <v>28.31</v>
      </c>
      <c r="AJ84" s="91">
        <v>24.62</v>
      </c>
      <c r="AK84" s="91">
        <v>21.3</v>
      </c>
      <c r="AL84" s="91">
        <v>18.39</v>
      </c>
      <c r="AM84" s="91">
        <v>15.85</v>
      </c>
      <c r="AN84" s="91">
        <v>13.64</v>
      </c>
      <c r="AO84" s="91">
        <v>11.72</v>
      </c>
      <c r="AP84" s="91">
        <v>10.06</v>
      </c>
      <c r="AQ84" s="91">
        <v>8.6199999999999992</v>
      </c>
      <c r="AR84" s="91">
        <v>7.39</v>
      </c>
      <c r="AS84" s="91">
        <v>6.35</v>
      </c>
      <c r="AT84" s="91">
        <v>5.45</v>
      </c>
      <c r="AU84" s="91">
        <v>4.6900000000000004</v>
      </c>
    </row>
    <row r="85" spans="1:47" x14ac:dyDescent="0.25">
      <c r="A85" s="88">
        <v>80</v>
      </c>
      <c r="B85" s="91">
        <v>30</v>
      </c>
      <c r="C85" s="91">
        <v>30</v>
      </c>
      <c r="D85" s="91">
        <v>30</v>
      </c>
      <c r="E85" s="91">
        <v>30</v>
      </c>
      <c r="F85" s="91">
        <v>30</v>
      </c>
      <c r="G85" s="91">
        <v>30</v>
      </c>
      <c r="H85" s="91">
        <v>30</v>
      </c>
      <c r="I85" s="91">
        <v>30</v>
      </c>
      <c r="J85" s="91">
        <v>30</v>
      </c>
      <c r="K85" s="91">
        <v>30</v>
      </c>
      <c r="L85" s="91">
        <v>30</v>
      </c>
      <c r="M85" s="91">
        <v>30</v>
      </c>
      <c r="N85" s="91">
        <v>30</v>
      </c>
      <c r="O85" s="91">
        <v>30</v>
      </c>
      <c r="P85" s="91">
        <v>30</v>
      </c>
      <c r="Q85" s="91">
        <v>30</v>
      </c>
      <c r="R85" s="91">
        <v>30</v>
      </c>
      <c r="S85" s="91">
        <v>30</v>
      </c>
      <c r="T85" s="91">
        <v>30</v>
      </c>
      <c r="U85" s="91">
        <v>30</v>
      </c>
      <c r="V85" s="91">
        <v>30</v>
      </c>
      <c r="W85" s="91">
        <v>30</v>
      </c>
      <c r="X85" s="91">
        <v>30</v>
      </c>
      <c r="Y85" s="91">
        <v>30</v>
      </c>
      <c r="Z85" s="91">
        <v>30</v>
      </c>
      <c r="AA85" s="91">
        <v>30</v>
      </c>
      <c r="AB85" s="91">
        <v>30</v>
      </c>
      <c r="AC85" s="91">
        <v>30</v>
      </c>
      <c r="AD85" s="91">
        <v>30</v>
      </c>
      <c r="AE85" s="91">
        <v>30</v>
      </c>
      <c r="AF85" s="91">
        <v>30</v>
      </c>
      <c r="AG85" s="91">
        <v>30</v>
      </c>
      <c r="AH85" s="91">
        <v>30</v>
      </c>
      <c r="AI85" s="91">
        <v>30</v>
      </c>
      <c r="AJ85" s="91">
        <v>27.96</v>
      </c>
      <c r="AK85" s="91">
        <v>24.19</v>
      </c>
      <c r="AL85" s="91">
        <v>20.88</v>
      </c>
      <c r="AM85" s="91">
        <v>17.98</v>
      </c>
      <c r="AN85" s="91">
        <v>15.46</v>
      </c>
      <c r="AO85" s="91">
        <v>13.27</v>
      </c>
      <c r="AP85" s="91">
        <v>11.37</v>
      </c>
      <c r="AQ85" s="91">
        <v>9.7200000000000006</v>
      </c>
      <c r="AR85" s="91">
        <v>8.32</v>
      </c>
      <c r="AS85" s="91">
        <v>7.12</v>
      </c>
      <c r="AT85" s="91">
        <v>6.1</v>
      </c>
      <c r="AU85" s="91">
        <v>5.23</v>
      </c>
    </row>
    <row r="86" spans="1:47" x14ac:dyDescent="0.25">
      <c r="A86" s="88">
        <v>81</v>
      </c>
      <c r="B86" s="91">
        <v>30</v>
      </c>
      <c r="C86" s="91">
        <v>30</v>
      </c>
      <c r="D86" s="91">
        <v>30</v>
      </c>
      <c r="E86" s="91">
        <v>30</v>
      </c>
      <c r="F86" s="91">
        <v>30</v>
      </c>
      <c r="G86" s="91">
        <v>30</v>
      </c>
      <c r="H86" s="91">
        <v>30</v>
      </c>
      <c r="I86" s="91">
        <v>30</v>
      </c>
      <c r="J86" s="91">
        <v>30</v>
      </c>
      <c r="K86" s="91">
        <v>30</v>
      </c>
      <c r="L86" s="91">
        <v>30</v>
      </c>
      <c r="M86" s="91">
        <v>30</v>
      </c>
      <c r="N86" s="91">
        <v>30</v>
      </c>
      <c r="O86" s="91">
        <v>30</v>
      </c>
      <c r="P86" s="91">
        <v>30</v>
      </c>
      <c r="Q86" s="91">
        <v>30</v>
      </c>
      <c r="R86" s="91">
        <v>30</v>
      </c>
      <c r="S86" s="91">
        <v>30</v>
      </c>
      <c r="T86" s="91">
        <v>30</v>
      </c>
      <c r="U86" s="91">
        <v>30</v>
      </c>
      <c r="V86" s="91">
        <v>30</v>
      </c>
      <c r="W86" s="91">
        <v>30</v>
      </c>
      <c r="X86" s="91">
        <v>30</v>
      </c>
      <c r="Y86" s="91">
        <v>30</v>
      </c>
      <c r="Z86" s="91">
        <v>30</v>
      </c>
      <c r="AA86" s="91">
        <v>30</v>
      </c>
      <c r="AB86" s="91">
        <v>30</v>
      </c>
      <c r="AC86" s="91">
        <v>30</v>
      </c>
      <c r="AD86" s="91">
        <v>30</v>
      </c>
      <c r="AE86" s="91">
        <v>30</v>
      </c>
      <c r="AF86" s="91">
        <v>30</v>
      </c>
      <c r="AG86" s="91">
        <v>30</v>
      </c>
      <c r="AH86" s="91">
        <v>30</v>
      </c>
      <c r="AI86" s="91">
        <v>30</v>
      </c>
      <c r="AJ86" s="91">
        <v>29.87</v>
      </c>
      <c r="AK86" s="91">
        <v>27.52</v>
      </c>
      <c r="AL86" s="91">
        <v>23.75</v>
      </c>
      <c r="AM86" s="91">
        <v>20.45</v>
      </c>
      <c r="AN86" s="91">
        <v>17.57</v>
      </c>
      <c r="AO86" s="91">
        <v>15.06</v>
      </c>
      <c r="AP86" s="91">
        <v>12.89</v>
      </c>
      <c r="AQ86" s="91">
        <v>11</v>
      </c>
      <c r="AR86" s="91">
        <v>9.39</v>
      </c>
      <c r="AS86" s="91">
        <v>8.02</v>
      </c>
      <c r="AT86" s="91">
        <v>6.86</v>
      </c>
      <c r="AU86" s="91">
        <v>5.86</v>
      </c>
    </row>
    <row r="87" spans="1:47" x14ac:dyDescent="0.25">
      <c r="A87" s="88">
        <v>82</v>
      </c>
      <c r="B87" s="91">
        <v>30</v>
      </c>
      <c r="C87" s="91">
        <v>30</v>
      </c>
      <c r="D87" s="91">
        <v>30</v>
      </c>
      <c r="E87" s="91">
        <v>30</v>
      </c>
      <c r="F87" s="91">
        <v>30</v>
      </c>
      <c r="G87" s="91">
        <v>30</v>
      </c>
      <c r="H87" s="91">
        <v>30</v>
      </c>
      <c r="I87" s="91">
        <v>30</v>
      </c>
      <c r="J87" s="91">
        <v>30</v>
      </c>
      <c r="K87" s="91">
        <v>30</v>
      </c>
      <c r="L87" s="91">
        <v>30</v>
      </c>
      <c r="M87" s="91">
        <v>30</v>
      </c>
      <c r="N87" s="91">
        <v>30</v>
      </c>
      <c r="O87" s="91">
        <v>30</v>
      </c>
      <c r="P87" s="91">
        <v>30</v>
      </c>
      <c r="Q87" s="91">
        <v>30</v>
      </c>
      <c r="R87" s="91">
        <v>30</v>
      </c>
      <c r="S87" s="91">
        <v>30</v>
      </c>
      <c r="T87" s="91">
        <v>30</v>
      </c>
      <c r="U87" s="91">
        <v>30</v>
      </c>
      <c r="V87" s="91">
        <v>30</v>
      </c>
      <c r="W87" s="91">
        <v>30</v>
      </c>
      <c r="X87" s="91">
        <v>30</v>
      </c>
      <c r="Y87" s="91">
        <v>30</v>
      </c>
      <c r="Z87" s="91">
        <v>30</v>
      </c>
      <c r="AA87" s="91">
        <v>30</v>
      </c>
      <c r="AB87" s="91">
        <v>30</v>
      </c>
      <c r="AC87" s="91">
        <v>30</v>
      </c>
      <c r="AD87" s="91">
        <v>30</v>
      </c>
      <c r="AE87" s="91">
        <v>30</v>
      </c>
      <c r="AF87" s="91">
        <v>30</v>
      </c>
      <c r="AG87" s="91">
        <v>30</v>
      </c>
      <c r="AH87" s="91">
        <v>30</v>
      </c>
      <c r="AI87" s="91">
        <v>30</v>
      </c>
      <c r="AJ87" s="91">
        <v>30</v>
      </c>
      <c r="AK87" s="91">
        <v>29.65</v>
      </c>
      <c r="AL87" s="91">
        <v>27.08</v>
      </c>
      <c r="AM87" s="91">
        <v>23.31</v>
      </c>
      <c r="AN87" s="91">
        <v>20.02</v>
      </c>
      <c r="AO87" s="91">
        <v>17.14</v>
      </c>
      <c r="AP87" s="91">
        <v>14.65</v>
      </c>
      <c r="AQ87" s="91">
        <v>12.48</v>
      </c>
      <c r="AR87" s="91">
        <v>10.64</v>
      </c>
      <c r="AS87" s="91">
        <v>9.07</v>
      </c>
      <c r="AT87" s="91">
        <v>7.73</v>
      </c>
      <c r="AU87" s="91">
        <v>6.59</v>
      </c>
    </row>
    <row r="88" spans="1:47" x14ac:dyDescent="0.25">
      <c r="A88" s="88">
        <v>83</v>
      </c>
      <c r="B88" s="91">
        <v>30</v>
      </c>
      <c r="C88" s="91">
        <v>30</v>
      </c>
      <c r="D88" s="91">
        <v>30</v>
      </c>
      <c r="E88" s="91">
        <v>30</v>
      </c>
      <c r="F88" s="91">
        <v>30</v>
      </c>
      <c r="G88" s="91">
        <v>30</v>
      </c>
      <c r="H88" s="91">
        <v>30</v>
      </c>
      <c r="I88" s="91">
        <v>30</v>
      </c>
      <c r="J88" s="91">
        <v>30</v>
      </c>
      <c r="K88" s="91">
        <v>30</v>
      </c>
      <c r="L88" s="91">
        <v>30</v>
      </c>
      <c r="M88" s="91">
        <v>30</v>
      </c>
      <c r="N88" s="91">
        <v>30</v>
      </c>
      <c r="O88" s="91">
        <v>30</v>
      </c>
      <c r="P88" s="91">
        <v>30</v>
      </c>
      <c r="Q88" s="91">
        <v>30</v>
      </c>
      <c r="R88" s="91">
        <v>30</v>
      </c>
      <c r="S88" s="91">
        <v>30</v>
      </c>
      <c r="T88" s="91">
        <v>30</v>
      </c>
      <c r="U88" s="91">
        <v>30</v>
      </c>
      <c r="V88" s="91">
        <v>30</v>
      </c>
      <c r="W88" s="91">
        <v>30</v>
      </c>
      <c r="X88" s="91">
        <v>30</v>
      </c>
      <c r="Y88" s="91">
        <v>30</v>
      </c>
      <c r="Z88" s="91">
        <v>30</v>
      </c>
      <c r="AA88" s="91">
        <v>30</v>
      </c>
      <c r="AB88" s="91">
        <v>30</v>
      </c>
      <c r="AC88" s="91">
        <v>30</v>
      </c>
      <c r="AD88" s="91">
        <v>30</v>
      </c>
      <c r="AE88" s="91">
        <v>30</v>
      </c>
      <c r="AF88" s="91">
        <v>30</v>
      </c>
      <c r="AG88" s="91">
        <v>30</v>
      </c>
      <c r="AH88" s="91">
        <v>30</v>
      </c>
      <c r="AI88" s="91">
        <v>30</v>
      </c>
      <c r="AJ88" s="91">
        <v>30</v>
      </c>
      <c r="AK88" s="91">
        <v>30</v>
      </c>
      <c r="AL88" s="91">
        <v>29.44</v>
      </c>
      <c r="AM88" s="91">
        <v>26.63</v>
      </c>
      <c r="AN88" s="91">
        <v>22.86</v>
      </c>
      <c r="AO88" s="91">
        <v>19.57</v>
      </c>
      <c r="AP88" s="91">
        <v>16.71</v>
      </c>
      <c r="AQ88" s="91">
        <v>14.21</v>
      </c>
      <c r="AR88" s="91">
        <v>12.1</v>
      </c>
      <c r="AS88" s="91">
        <v>10.29</v>
      </c>
      <c r="AT88" s="91">
        <v>8.75</v>
      </c>
      <c r="AU88" s="91">
        <v>7.44</v>
      </c>
    </row>
    <row r="89" spans="1:47" x14ac:dyDescent="0.25">
      <c r="A89" s="88">
        <v>84</v>
      </c>
      <c r="B89" s="91">
        <v>30</v>
      </c>
      <c r="C89" s="91">
        <v>30</v>
      </c>
      <c r="D89" s="91">
        <v>30</v>
      </c>
      <c r="E89" s="91">
        <v>30</v>
      </c>
      <c r="F89" s="91">
        <v>30</v>
      </c>
      <c r="G89" s="91">
        <v>30</v>
      </c>
      <c r="H89" s="91">
        <v>30</v>
      </c>
      <c r="I89" s="91">
        <v>30</v>
      </c>
      <c r="J89" s="91">
        <v>30</v>
      </c>
      <c r="K89" s="91">
        <v>30</v>
      </c>
      <c r="L89" s="91">
        <v>30</v>
      </c>
      <c r="M89" s="91">
        <v>30</v>
      </c>
      <c r="N89" s="91">
        <v>30</v>
      </c>
      <c r="O89" s="91">
        <v>30</v>
      </c>
      <c r="P89" s="91">
        <v>30</v>
      </c>
      <c r="Q89" s="91">
        <v>30</v>
      </c>
      <c r="R89" s="91">
        <v>30</v>
      </c>
      <c r="S89" s="91">
        <v>30</v>
      </c>
      <c r="T89" s="91">
        <v>30</v>
      </c>
      <c r="U89" s="91">
        <v>30</v>
      </c>
      <c r="V89" s="91">
        <v>30</v>
      </c>
      <c r="W89" s="91">
        <v>30</v>
      </c>
      <c r="X89" s="91">
        <v>30</v>
      </c>
      <c r="Y89" s="91">
        <v>30</v>
      </c>
      <c r="Z89" s="91">
        <v>30</v>
      </c>
      <c r="AA89" s="91">
        <v>30</v>
      </c>
      <c r="AB89" s="91">
        <v>30</v>
      </c>
      <c r="AC89" s="91">
        <v>30</v>
      </c>
      <c r="AD89" s="91">
        <v>30</v>
      </c>
      <c r="AE89" s="91">
        <v>30</v>
      </c>
      <c r="AF89" s="91">
        <v>30</v>
      </c>
      <c r="AG89" s="91">
        <v>30</v>
      </c>
      <c r="AH89" s="91">
        <v>30</v>
      </c>
      <c r="AI89" s="91">
        <v>30</v>
      </c>
      <c r="AJ89" s="91">
        <v>30</v>
      </c>
      <c r="AK89" s="91">
        <v>30</v>
      </c>
      <c r="AL89" s="91">
        <v>30</v>
      </c>
      <c r="AM89" s="91">
        <v>29.21</v>
      </c>
      <c r="AN89" s="91">
        <v>26.18</v>
      </c>
      <c r="AO89" s="91">
        <v>22.4</v>
      </c>
      <c r="AP89" s="91">
        <v>19.11</v>
      </c>
      <c r="AQ89" s="91">
        <v>16.23</v>
      </c>
      <c r="AR89" s="91">
        <v>13.8</v>
      </c>
      <c r="AS89" s="91">
        <v>11.71</v>
      </c>
      <c r="AT89" s="91">
        <v>9.94</v>
      </c>
      <c r="AU89" s="91">
        <v>8.43</v>
      </c>
    </row>
    <row r="90" spans="1:47" x14ac:dyDescent="0.25">
      <c r="A90" s="88">
        <v>85</v>
      </c>
      <c r="B90" s="91">
        <v>30</v>
      </c>
      <c r="C90" s="91">
        <v>30</v>
      </c>
      <c r="D90" s="91">
        <v>30</v>
      </c>
      <c r="E90" s="91">
        <v>30</v>
      </c>
      <c r="F90" s="91">
        <v>30</v>
      </c>
      <c r="G90" s="91">
        <v>30</v>
      </c>
      <c r="H90" s="91">
        <v>30</v>
      </c>
      <c r="I90" s="91">
        <v>30</v>
      </c>
      <c r="J90" s="91">
        <v>30</v>
      </c>
      <c r="K90" s="91">
        <v>30</v>
      </c>
      <c r="L90" s="91">
        <v>30</v>
      </c>
      <c r="M90" s="91">
        <v>30</v>
      </c>
      <c r="N90" s="91">
        <v>30</v>
      </c>
      <c r="O90" s="91">
        <v>30</v>
      </c>
      <c r="P90" s="91">
        <v>30</v>
      </c>
      <c r="Q90" s="91">
        <v>30</v>
      </c>
      <c r="R90" s="91">
        <v>30</v>
      </c>
      <c r="S90" s="91">
        <v>30</v>
      </c>
      <c r="T90" s="91">
        <v>30</v>
      </c>
      <c r="U90" s="91">
        <v>30</v>
      </c>
      <c r="V90" s="91">
        <v>30</v>
      </c>
      <c r="W90" s="91">
        <v>30</v>
      </c>
      <c r="X90" s="91">
        <v>30</v>
      </c>
      <c r="Y90" s="91">
        <v>30</v>
      </c>
      <c r="Z90" s="91">
        <v>30</v>
      </c>
      <c r="AA90" s="91">
        <v>30</v>
      </c>
      <c r="AB90" s="91">
        <v>30</v>
      </c>
      <c r="AC90" s="91">
        <v>30</v>
      </c>
      <c r="AD90" s="91">
        <v>30</v>
      </c>
      <c r="AE90" s="91">
        <v>30</v>
      </c>
      <c r="AF90" s="91">
        <v>30</v>
      </c>
      <c r="AG90" s="91">
        <v>30</v>
      </c>
      <c r="AH90" s="91">
        <v>30</v>
      </c>
      <c r="AI90" s="91">
        <v>30</v>
      </c>
      <c r="AJ90" s="91">
        <v>30</v>
      </c>
      <c r="AK90" s="91">
        <v>30</v>
      </c>
      <c r="AL90" s="91">
        <v>30</v>
      </c>
      <c r="AM90" s="91">
        <v>30</v>
      </c>
      <c r="AN90" s="91">
        <v>28.98</v>
      </c>
      <c r="AO90" s="91">
        <v>25.71</v>
      </c>
      <c r="AP90" s="91">
        <v>21.92</v>
      </c>
      <c r="AQ90" s="91">
        <v>18.600000000000001</v>
      </c>
      <c r="AR90" s="91">
        <v>15.79</v>
      </c>
      <c r="AS90" s="91">
        <v>13.38</v>
      </c>
      <c r="AT90" s="91">
        <v>11.33</v>
      </c>
      <c r="AU90" s="91">
        <v>9.59</v>
      </c>
    </row>
    <row r="91" spans="1:47" x14ac:dyDescent="0.25">
      <c r="A91" s="88">
        <v>86</v>
      </c>
      <c r="B91" s="91">
        <v>30</v>
      </c>
      <c r="C91" s="91">
        <v>30</v>
      </c>
      <c r="D91" s="91">
        <v>30</v>
      </c>
      <c r="E91" s="91">
        <v>30</v>
      </c>
      <c r="F91" s="91">
        <v>30</v>
      </c>
      <c r="G91" s="91">
        <v>30</v>
      </c>
      <c r="H91" s="91">
        <v>30</v>
      </c>
      <c r="I91" s="91">
        <v>30</v>
      </c>
      <c r="J91" s="91">
        <v>30</v>
      </c>
      <c r="K91" s="91">
        <v>30</v>
      </c>
      <c r="L91" s="91">
        <v>30</v>
      </c>
      <c r="M91" s="91">
        <v>30</v>
      </c>
      <c r="N91" s="91">
        <v>30</v>
      </c>
      <c r="O91" s="91">
        <v>30</v>
      </c>
      <c r="P91" s="91">
        <v>30</v>
      </c>
      <c r="Q91" s="91">
        <v>30</v>
      </c>
      <c r="R91" s="91">
        <v>30</v>
      </c>
      <c r="S91" s="91">
        <v>30</v>
      </c>
      <c r="T91" s="91">
        <v>30</v>
      </c>
      <c r="U91" s="91">
        <v>30</v>
      </c>
      <c r="V91" s="91">
        <v>30</v>
      </c>
      <c r="W91" s="91">
        <v>30</v>
      </c>
      <c r="X91" s="91">
        <v>30</v>
      </c>
      <c r="Y91" s="91">
        <v>30</v>
      </c>
      <c r="Z91" s="91">
        <v>30</v>
      </c>
      <c r="AA91" s="91">
        <v>30</v>
      </c>
      <c r="AB91" s="91">
        <v>30</v>
      </c>
      <c r="AC91" s="91">
        <v>30</v>
      </c>
      <c r="AD91" s="91">
        <v>30</v>
      </c>
      <c r="AE91" s="91">
        <v>30</v>
      </c>
      <c r="AF91" s="91">
        <v>30</v>
      </c>
      <c r="AG91" s="91">
        <v>30</v>
      </c>
      <c r="AH91" s="91">
        <v>30</v>
      </c>
      <c r="AI91" s="91">
        <v>30</v>
      </c>
      <c r="AJ91" s="91">
        <v>30</v>
      </c>
      <c r="AK91" s="91">
        <v>30</v>
      </c>
      <c r="AL91" s="91">
        <v>30</v>
      </c>
      <c r="AM91" s="91">
        <v>30</v>
      </c>
      <c r="AN91" s="91">
        <v>30</v>
      </c>
      <c r="AO91" s="91">
        <v>28.75</v>
      </c>
      <c r="AP91" s="91">
        <v>25.21</v>
      </c>
      <c r="AQ91" s="91">
        <v>21.37</v>
      </c>
      <c r="AR91" s="91">
        <v>18.12</v>
      </c>
      <c r="AS91" s="91">
        <v>15.33</v>
      </c>
      <c r="AT91" s="91">
        <v>12.96</v>
      </c>
      <c r="AU91" s="91">
        <v>10.94</v>
      </c>
    </row>
    <row r="92" spans="1:47" x14ac:dyDescent="0.25">
      <c r="A92" s="88">
        <v>87</v>
      </c>
      <c r="B92" s="91">
        <v>30</v>
      </c>
      <c r="C92" s="91">
        <v>30</v>
      </c>
      <c r="D92" s="91">
        <v>30</v>
      </c>
      <c r="E92" s="91">
        <v>30</v>
      </c>
      <c r="F92" s="91">
        <v>30</v>
      </c>
      <c r="G92" s="91">
        <v>30</v>
      </c>
      <c r="H92" s="91">
        <v>30</v>
      </c>
      <c r="I92" s="91">
        <v>30</v>
      </c>
      <c r="J92" s="91">
        <v>30</v>
      </c>
      <c r="K92" s="91">
        <v>30</v>
      </c>
      <c r="L92" s="91">
        <v>30</v>
      </c>
      <c r="M92" s="91">
        <v>30</v>
      </c>
      <c r="N92" s="91">
        <v>30</v>
      </c>
      <c r="O92" s="91">
        <v>30</v>
      </c>
      <c r="P92" s="91">
        <v>30</v>
      </c>
      <c r="Q92" s="91">
        <v>30</v>
      </c>
      <c r="R92" s="91">
        <v>30</v>
      </c>
      <c r="S92" s="91">
        <v>30</v>
      </c>
      <c r="T92" s="91">
        <v>30</v>
      </c>
      <c r="U92" s="91">
        <v>30</v>
      </c>
      <c r="V92" s="91">
        <v>30</v>
      </c>
      <c r="W92" s="91">
        <v>30</v>
      </c>
      <c r="X92" s="91">
        <v>30</v>
      </c>
      <c r="Y92" s="91">
        <v>30</v>
      </c>
      <c r="Z92" s="91">
        <v>30</v>
      </c>
      <c r="AA92" s="91">
        <v>30</v>
      </c>
      <c r="AB92" s="91">
        <v>30</v>
      </c>
      <c r="AC92" s="91">
        <v>30</v>
      </c>
      <c r="AD92" s="91">
        <v>30</v>
      </c>
      <c r="AE92" s="91">
        <v>30</v>
      </c>
      <c r="AF92" s="91">
        <v>30</v>
      </c>
      <c r="AG92" s="91">
        <v>30</v>
      </c>
      <c r="AH92" s="91">
        <v>30</v>
      </c>
      <c r="AI92" s="91">
        <v>30</v>
      </c>
      <c r="AJ92" s="91">
        <v>30</v>
      </c>
      <c r="AK92" s="91">
        <v>30</v>
      </c>
      <c r="AL92" s="91">
        <v>30</v>
      </c>
      <c r="AM92" s="91">
        <v>30</v>
      </c>
      <c r="AN92" s="91">
        <v>30</v>
      </c>
      <c r="AO92" s="91">
        <v>30</v>
      </c>
      <c r="AP92" s="91">
        <v>28.49</v>
      </c>
      <c r="AQ92" s="91">
        <v>24.62</v>
      </c>
      <c r="AR92" s="91">
        <v>20.85</v>
      </c>
      <c r="AS92" s="91">
        <v>17.62</v>
      </c>
      <c r="AT92" s="91">
        <v>14.87</v>
      </c>
      <c r="AU92" s="91">
        <v>12.53</v>
      </c>
    </row>
    <row r="93" spans="1:47" x14ac:dyDescent="0.25">
      <c r="A93" s="88">
        <v>88</v>
      </c>
      <c r="B93" s="91">
        <v>30</v>
      </c>
      <c r="C93" s="91">
        <v>30</v>
      </c>
      <c r="D93" s="91">
        <v>30</v>
      </c>
      <c r="E93" s="91">
        <v>30</v>
      </c>
      <c r="F93" s="91">
        <v>30</v>
      </c>
      <c r="G93" s="91">
        <v>30</v>
      </c>
      <c r="H93" s="91">
        <v>30</v>
      </c>
      <c r="I93" s="91">
        <v>30</v>
      </c>
      <c r="J93" s="91">
        <v>30</v>
      </c>
      <c r="K93" s="91">
        <v>30</v>
      </c>
      <c r="L93" s="91">
        <v>30</v>
      </c>
      <c r="M93" s="91">
        <v>30</v>
      </c>
      <c r="N93" s="91">
        <v>30</v>
      </c>
      <c r="O93" s="91">
        <v>30</v>
      </c>
      <c r="P93" s="91">
        <v>30</v>
      </c>
      <c r="Q93" s="91">
        <v>30</v>
      </c>
      <c r="R93" s="91">
        <v>30</v>
      </c>
      <c r="S93" s="91">
        <v>30</v>
      </c>
      <c r="T93" s="91">
        <v>30</v>
      </c>
      <c r="U93" s="91">
        <v>30</v>
      </c>
      <c r="V93" s="91">
        <v>30</v>
      </c>
      <c r="W93" s="91">
        <v>30</v>
      </c>
      <c r="X93" s="91">
        <v>30</v>
      </c>
      <c r="Y93" s="91">
        <v>30</v>
      </c>
      <c r="Z93" s="91">
        <v>30</v>
      </c>
      <c r="AA93" s="91">
        <v>30</v>
      </c>
      <c r="AB93" s="91">
        <v>30</v>
      </c>
      <c r="AC93" s="91">
        <v>30</v>
      </c>
      <c r="AD93" s="91">
        <v>30</v>
      </c>
      <c r="AE93" s="91">
        <v>30</v>
      </c>
      <c r="AF93" s="91">
        <v>30</v>
      </c>
      <c r="AG93" s="91">
        <v>30</v>
      </c>
      <c r="AH93" s="91">
        <v>30</v>
      </c>
      <c r="AI93" s="91">
        <v>30</v>
      </c>
      <c r="AJ93" s="91">
        <v>30</v>
      </c>
      <c r="AK93" s="91">
        <v>30</v>
      </c>
      <c r="AL93" s="91">
        <v>30</v>
      </c>
      <c r="AM93" s="91">
        <v>30</v>
      </c>
      <c r="AN93" s="91">
        <v>30</v>
      </c>
      <c r="AO93" s="91">
        <v>30</v>
      </c>
      <c r="AP93" s="91">
        <v>30</v>
      </c>
      <c r="AQ93" s="91">
        <v>28.19</v>
      </c>
      <c r="AR93" s="91">
        <v>24.06</v>
      </c>
      <c r="AS93" s="91">
        <v>20.309999999999999</v>
      </c>
      <c r="AT93" s="91">
        <v>17.11</v>
      </c>
      <c r="AU93" s="91">
        <v>14.4</v>
      </c>
    </row>
    <row r="94" spans="1:47" x14ac:dyDescent="0.25">
      <c r="A94" s="88">
        <v>89</v>
      </c>
      <c r="B94" s="91">
        <v>30</v>
      </c>
      <c r="C94" s="91">
        <v>30</v>
      </c>
      <c r="D94" s="91">
        <v>30</v>
      </c>
      <c r="E94" s="91">
        <v>30</v>
      </c>
      <c r="F94" s="91">
        <v>30</v>
      </c>
      <c r="G94" s="91">
        <v>30</v>
      </c>
      <c r="H94" s="91">
        <v>30</v>
      </c>
      <c r="I94" s="91">
        <v>30</v>
      </c>
      <c r="J94" s="91">
        <v>30</v>
      </c>
      <c r="K94" s="91">
        <v>30</v>
      </c>
      <c r="L94" s="91">
        <v>30</v>
      </c>
      <c r="M94" s="91">
        <v>30</v>
      </c>
      <c r="N94" s="91">
        <v>30</v>
      </c>
      <c r="O94" s="91">
        <v>30</v>
      </c>
      <c r="P94" s="91">
        <v>30</v>
      </c>
      <c r="Q94" s="91">
        <v>30</v>
      </c>
      <c r="R94" s="91">
        <v>30</v>
      </c>
      <c r="S94" s="91">
        <v>30</v>
      </c>
      <c r="T94" s="91">
        <v>30</v>
      </c>
      <c r="U94" s="91">
        <v>30</v>
      </c>
      <c r="V94" s="91">
        <v>30</v>
      </c>
      <c r="W94" s="91">
        <v>30</v>
      </c>
      <c r="X94" s="91">
        <v>30</v>
      </c>
      <c r="Y94" s="91">
        <v>30</v>
      </c>
      <c r="Z94" s="91">
        <v>30</v>
      </c>
      <c r="AA94" s="91">
        <v>30</v>
      </c>
      <c r="AB94" s="91">
        <v>30</v>
      </c>
      <c r="AC94" s="91">
        <v>30</v>
      </c>
      <c r="AD94" s="91">
        <v>30</v>
      </c>
      <c r="AE94" s="91">
        <v>30</v>
      </c>
      <c r="AF94" s="91">
        <v>30</v>
      </c>
      <c r="AG94" s="91">
        <v>30</v>
      </c>
      <c r="AH94" s="91">
        <v>30</v>
      </c>
      <c r="AI94" s="91">
        <v>30</v>
      </c>
      <c r="AJ94" s="91">
        <v>30</v>
      </c>
      <c r="AK94" s="91">
        <v>30</v>
      </c>
      <c r="AL94" s="91">
        <v>30</v>
      </c>
      <c r="AM94" s="91">
        <v>30</v>
      </c>
      <c r="AN94" s="91">
        <v>30</v>
      </c>
      <c r="AO94" s="91">
        <v>30</v>
      </c>
      <c r="AP94" s="91">
        <v>30</v>
      </c>
      <c r="AQ94" s="91">
        <v>30</v>
      </c>
      <c r="AR94" s="91">
        <v>27.82</v>
      </c>
      <c r="AS94" s="91">
        <v>23.46</v>
      </c>
      <c r="AT94" s="91">
        <v>19.739999999999998</v>
      </c>
      <c r="AU94" s="91">
        <v>16.59</v>
      </c>
    </row>
    <row r="95" spans="1:47" x14ac:dyDescent="0.25">
      <c r="A95" s="88">
        <v>90</v>
      </c>
      <c r="B95" s="91">
        <v>30</v>
      </c>
      <c r="C95" s="91">
        <v>30</v>
      </c>
      <c r="D95" s="91">
        <v>30</v>
      </c>
      <c r="E95" s="91">
        <v>30</v>
      </c>
      <c r="F95" s="91">
        <v>30</v>
      </c>
      <c r="G95" s="91">
        <v>30</v>
      </c>
      <c r="H95" s="91">
        <v>30</v>
      </c>
      <c r="I95" s="91">
        <v>30</v>
      </c>
      <c r="J95" s="91">
        <v>30</v>
      </c>
      <c r="K95" s="91">
        <v>30</v>
      </c>
      <c r="L95" s="91">
        <v>30</v>
      </c>
      <c r="M95" s="91">
        <v>30</v>
      </c>
      <c r="N95" s="91">
        <v>30</v>
      </c>
      <c r="O95" s="91">
        <v>30</v>
      </c>
      <c r="P95" s="91">
        <v>30</v>
      </c>
      <c r="Q95" s="91">
        <v>30</v>
      </c>
      <c r="R95" s="91">
        <v>30</v>
      </c>
      <c r="S95" s="91">
        <v>30</v>
      </c>
      <c r="T95" s="91">
        <v>30</v>
      </c>
      <c r="U95" s="91">
        <v>30</v>
      </c>
      <c r="V95" s="91">
        <v>30</v>
      </c>
      <c r="W95" s="91">
        <v>30</v>
      </c>
      <c r="X95" s="91">
        <v>30</v>
      </c>
      <c r="Y95" s="91">
        <v>30</v>
      </c>
      <c r="Z95" s="91">
        <v>30</v>
      </c>
      <c r="AA95" s="91">
        <v>30</v>
      </c>
      <c r="AB95" s="91">
        <v>30</v>
      </c>
      <c r="AC95" s="91">
        <v>30</v>
      </c>
      <c r="AD95" s="91">
        <v>30</v>
      </c>
      <c r="AE95" s="91">
        <v>30</v>
      </c>
      <c r="AF95" s="91">
        <v>30</v>
      </c>
      <c r="AG95" s="91">
        <v>30</v>
      </c>
      <c r="AH95" s="91">
        <v>30</v>
      </c>
      <c r="AI95" s="91">
        <v>30</v>
      </c>
      <c r="AJ95" s="91">
        <v>30</v>
      </c>
      <c r="AK95" s="91">
        <v>30</v>
      </c>
      <c r="AL95" s="91">
        <v>30</v>
      </c>
      <c r="AM95" s="91">
        <v>30</v>
      </c>
      <c r="AN95" s="91">
        <v>30</v>
      </c>
      <c r="AO95" s="91">
        <v>30</v>
      </c>
      <c r="AP95" s="91">
        <v>30</v>
      </c>
      <c r="AQ95" s="91">
        <v>30</v>
      </c>
      <c r="AR95" s="91">
        <v>29.92</v>
      </c>
      <c r="AS95" s="91">
        <v>27.16</v>
      </c>
      <c r="AT95" s="91">
        <v>22.83</v>
      </c>
      <c r="AU95" s="91">
        <v>19.149999999999999</v>
      </c>
    </row>
    <row r="96" spans="1:47" x14ac:dyDescent="0.25">
      <c r="A96" s="88">
        <v>91</v>
      </c>
      <c r="B96" s="91">
        <v>30</v>
      </c>
      <c r="C96" s="91">
        <v>30</v>
      </c>
      <c r="D96" s="91">
        <v>30</v>
      </c>
      <c r="E96" s="91">
        <v>30</v>
      </c>
      <c r="F96" s="91">
        <v>30</v>
      </c>
      <c r="G96" s="91">
        <v>30</v>
      </c>
      <c r="H96" s="91">
        <v>30</v>
      </c>
      <c r="I96" s="91">
        <v>30</v>
      </c>
      <c r="J96" s="91">
        <v>30</v>
      </c>
      <c r="K96" s="91">
        <v>30</v>
      </c>
      <c r="L96" s="91">
        <v>30</v>
      </c>
      <c r="M96" s="91">
        <v>30</v>
      </c>
      <c r="N96" s="91">
        <v>30</v>
      </c>
      <c r="O96" s="91">
        <v>30</v>
      </c>
      <c r="P96" s="91">
        <v>30</v>
      </c>
      <c r="Q96" s="91">
        <v>30</v>
      </c>
      <c r="R96" s="91">
        <v>30</v>
      </c>
      <c r="S96" s="91">
        <v>30</v>
      </c>
      <c r="T96" s="91">
        <v>30</v>
      </c>
      <c r="U96" s="91">
        <v>30</v>
      </c>
      <c r="V96" s="91">
        <v>30</v>
      </c>
      <c r="W96" s="91">
        <v>30</v>
      </c>
      <c r="X96" s="91">
        <v>30</v>
      </c>
      <c r="Y96" s="91">
        <v>30</v>
      </c>
      <c r="Z96" s="91">
        <v>30</v>
      </c>
      <c r="AA96" s="91">
        <v>30</v>
      </c>
      <c r="AB96" s="91">
        <v>30</v>
      </c>
      <c r="AC96" s="91">
        <v>30</v>
      </c>
      <c r="AD96" s="91">
        <v>30</v>
      </c>
      <c r="AE96" s="91">
        <v>30</v>
      </c>
      <c r="AF96" s="91">
        <v>30</v>
      </c>
      <c r="AG96" s="91">
        <v>30</v>
      </c>
      <c r="AH96" s="91">
        <v>30</v>
      </c>
      <c r="AI96" s="91">
        <v>30</v>
      </c>
      <c r="AJ96" s="91">
        <v>30</v>
      </c>
      <c r="AK96" s="91">
        <v>30</v>
      </c>
      <c r="AL96" s="91">
        <v>30</v>
      </c>
      <c r="AM96" s="91">
        <v>30</v>
      </c>
      <c r="AN96" s="91">
        <v>30</v>
      </c>
      <c r="AO96" s="91">
        <v>30</v>
      </c>
      <c r="AP96" s="91">
        <v>30</v>
      </c>
      <c r="AQ96" s="91">
        <v>30</v>
      </c>
      <c r="AR96" s="91">
        <v>30</v>
      </c>
      <c r="AS96" s="91">
        <v>29.58</v>
      </c>
      <c r="AT96" s="91">
        <v>26.44</v>
      </c>
      <c r="AU96" s="91">
        <v>22.15</v>
      </c>
    </row>
    <row r="97" spans="1:47" x14ac:dyDescent="0.25">
      <c r="A97" s="88">
        <v>92</v>
      </c>
      <c r="B97" s="91">
        <v>30</v>
      </c>
      <c r="C97" s="91">
        <v>30</v>
      </c>
      <c r="D97" s="91">
        <v>30</v>
      </c>
      <c r="E97" s="91">
        <v>30</v>
      </c>
      <c r="F97" s="91">
        <v>30</v>
      </c>
      <c r="G97" s="91">
        <v>30</v>
      </c>
      <c r="H97" s="91">
        <v>30</v>
      </c>
      <c r="I97" s="91">
        <v>30</v>
      </c>
      <c r="J97" s="91">
        <v>30</v>
      </c>
      <c r="K97" s="91">
        <v>30</v>
      </c>
      <c r="L97" s="91">
        <v>30</v>
      </c>
      <c r="M97" s="91">
        <v>30</v>
      </c>
      <c r="N97" s="91">
        <v>30</v>
      </c>
      <c r="O97" s="91">
        <v>30</v>
      </c>
      <c r="P97" s="91">
        <v>30</v>
      </c>
      <c r="Q97" s="91">
        <v>30</v>
      </c>
      <c r="R97" s="91">
        <v>30</v>
      </c>
      <c r="S97" s="91">
        <v>30</v>
      </c>
      <c r="T97" s="91">
        <v>30</v>
      </c>
      <c r="U97" s="91">
        <v>30</v>
      </c>
      <c r="V97" s="91">
        <v>30</v>
      </c>
      <c r="W97" s="91">
        <v>30</v>
      </c>
      <c r="X97" s="91">
        <v>30</v>
      </c>
      <c r="Y97" s="91">
        <v>30</v>
      </c>
      <c r="Z97" s="91">
        <v>30</v>
      </c>
      <c r="AA97" s="91">
        <v>30</v>
      </c>
      <c r="AB97" s="91">
        <v>30</v>
      </c>
      <c r="AC97" s="91">
        <v>30</v>
      </c>
      <c r="AD97" s="91">
        <v>30</v>
      </c>
      <c r="AE97" s="91">
        <v>30</v>
      </c>
      <c r="AF97" s="91">
        <v>30</v>
      </c>
      <c r="AG97" s="91">
        <v>30</v>
      </c>
      <c r="AH97" s="91">
        <v>30</v>
      </c>
      <c r="AI97" s="91">
        <v>30</v>
      </c>
      <c r="AJ97" s="91">
        <v>30</v>
      </c>
      <c r="AK97" s="91">
        <v>30</v>
      </c>
      <c r="AL97" s="91">
        <v>30</v>
      </c>
      <c r="AM97" s="91">
        <v>30</v>
      </c>
      <c r="AN97" s="91">
        <v>30</v>
      </c>
      <c r="AO97" s="91">
        <v>30</v>
      </c>
      <c r="AP97" s="91">
        <v>30</v>
      </c>
      <c r="AQ97" s="91">
        <v>30</v>
      </c>
      <c r="AR97" s="91">
        <v>30</v>
      </c>
      <c r="AS97" s="91">
        <v>30</v>
      </c>
      <c r="AT97" s="91">
        <v>29.19</v>
      </c>
      <c r="AU97" s="91">
        <v>25.64</v>
      </c>
    </row>
    <row r="98" spans="1:47" x14ac:dyDescent="0.25">
      <c r="A98" s="88">
        <v>93</v>
      </c>
      <c r="B98" s="91">
        <v>30</v>
      </c>
      <c r="C98" s="91">
        <v>30</v>
      </c>
      <c r="D98" s="91">
        <v>30</v>
      </c>
      <c r="E98" s="91">
        <v>30</v>
      </c>
      <c r="F98" s="91">
        <v>30</v>
      </c>
      <c r="G98" s="91">
        <v>30</v>
      </c>
      <c r="H98" s="91">
        <v>30</v>
      </c>
      <c r="I98" s="91">
        <v>30</v>
      </c>
      <c r="J98" s="91">
        <v>30</v>
      </c>
      <c r="K98" s="91">
        <v>30</v>
      </c>
      <c r="L98" s="91">
        <v>30</v>
      </c>
      <c r="M98" s="91">
        <v>30</v>
      </c>
      <c r="N98" s="91">
        <v>30</v>
      </c>
      <c r="O98" s="91">
        <v>30</v>
      </c>
      <c r="P98" s="91">
        <v>30</v>
      </c>
      <c r="Q98" s="91">
        <v>30</v>
      </c>
      <c r="R98" s="91">
        <v>30</v>
      </c>
      <c r="S98" s="91">
        <v>30</v>
      </c>
      <c r="T98" s="91">
        <v>30</v>
      </c>
      <c r="U98" s="91">
        <v>30</v>
      </c>
      <c r="V98" s="91">
        <v>30</v>
      </c>
      <c r="W98" s="91">
        <v>30</v>
      </c>
      <c r="X98" s="91">
        <v>30</v>
      </c>
      <c r="Y98" s="91">
        <v>30</v>
      </c>
      <c r="Z98" s="91">
        <v>30</v>
      </c>
      <c r="AA98" s="91">
        <v>30</v>
      </c>
      <c r="AB98" s="91">
        <v>30</v>
      </c>
      <c r="AC98" s="91">
        <v>30</v>
      </c>
      <c r="AD98" s="91">
        <v>30</v>
      </c>
      <c r="AE98" s="91">
        <v>30</v>
      </c>
      <c r="AF98" s="91">
        <v>30</v>
      </c>
      <c r="AG98" s="91">
        <v>30</v>
      </c>
      <c r="AH98" s="91">
        <v>30</v>
      </c>
      <c r="AI98" s="91">
        <v>30</v>
      </c>
      <c r="AJ98" s="91">
        <v>30</v>
      </c>
      <c r="AK98" s="91">
        <v>30</v>
      </c>
      <c r="AL98" s="91">
        <v>30</v>
      </c>
      <c r="AM98" s="91">
        <v>30</v>
      </c>
      <c r="AN98" s="91">
        <v>30</v>
      </c>
      <c r="AO98" s="91">
        <v>30</v>
      </c>
      <c r="AP98" s="91">
        <v>30</v>
      </c>
      <c r="AQ98" s="91">
        <v>30</v>
      </c>
      <c r="AR98" s="91">
        <v>30</v>
      </c>
      <c r="AS98" s="91">
        <v>30</v>
      </c>
      <c r="AT98" s="91">
        <v>30</v>
      </c>
      <c r="AU98" s="91">
        <v>28.76</v>
      </c>
    </row>
    <row r="99" spans="1:47" x14ac:dyDescent="0.25">
      <c r="A99" s="88">
        <v>94</v>
      </c>
      <c r="B99" s="91">
        <v>30</v>
      </c>
      <c r="C99" s="91">
        <v>30</v>
      </c>
      <c r="D99" s="91">
        <v>30</v>
      </c>
      <c r="E99" s="91">
        <v>30</v>
      </c>
      <c r="F99" s="91">
        <v>30</v>
      </c>
      <c r="G99" s="91">
        <v>30</v>
      </c>
      <c r="H99" s="91">
        <v>30</v>
      </c>
      <c r="I99" s="91">
        <v>30</v>
      </c>
      <c r="J99" s="91">
        <v>30</v>
      </c>
      <c r="K99" s="91">
        <v>30</v>
      </c>
      <c r="L99" s="91">
        <v>30</v>
      </c>
      <c r="M99" s="91">
        <v>30</v>
      </c>
      <c r="N99" s="91">
        <v>30</v>
      </c>
      <c r="O99" s="91">
        <v>30</v>
      </c>
      <c r="P99" s="91">
        <v>30</v>
      </c>
      <c r="Q99" s="91">
        <v>30</v>
      </c>
      <c r="R99" s="91">
        <v>30</v>
      </c>
      <c r="S99" s="91">
        <v>30</v>
      </c>
      <c r="T99" s="91">
        <v>30</v>
      </c>
      <c r="U99" s="91">
        <v>30</v>
      </c>
      <c r="V99" s="91">
        <v>30</v>
      </c>
      <c r="W99" s="91">
        <v>30</v>
      </c>
      <c r="X99" s="91">
        <v>30</v>
      </c>
      <c r="Y99" s="91">
        <v>30</v>
      </c>
      <c r="Z99" s="91">
        <v>30</v>
      </c>
      <c r="AA99" s="91">
        <v>30</v>
      </c>
      <c r="AB99" s="91">
        <v>30</v>
      </c>
      <c r="AC99" s="91">
        <v>30</v>
      </c>
      <c r="AD99" s="91">
        <v>30</v>
      </c>
      <c r="AE99" s="91">
        <v>30</v>
      </c>
      <c r="AF99" s="91">
        <v>30</v>
      </c>
      <c r="AG99" s="91">
        <v>30</v>
      </c>
      <c r="AH99" s="91">
        <v>30</v>
      </c>
      <c r="AI99" s="91">
        <v>30</v>
      </c>
      <c r="AJ99" s="91">
        <v>30</v>
      </c>
      <c r="AK99" s="91">
        <v>30</v>
      </c>
      <c r="AL99" s="91">
        <v>30</v>
      </c>
      <c r="AM99" s="91">
        <v>30</v>
      </c>
      <c r="AN99" s="91">
        <v>30</v>
      </c>
      <c r="AO99" s="91">
        <v>30</v>
      </c>
      <c r="AP99" s="91">
        <v>30</v>
      </c>
      <c r="AQ99" s="91">
        <v>30</v>
      </c>
      <c r="AR99" s="91">
        <v>30</v>
      </c>
      <c r="AS99" s="91">
        <v>30</v>
      </c>
      <c r="AT99" s="91">
        <v>30</v>
      </c>
      <c r="AU99" s="91">
        <v>30</v>
      </c>
    </row>
    <row r="100" spans="1:47" x14ac:dyDescent="0.25">
      <c r="A100" s="88">
        <v>95</v>
      </c>
      <c r="B100" s="91">
        <v>30</v>
      </c>
      <c r="C100" s="91">
        <v>30</v>
      </c>
      <c r="D100" s="91">
        <v>30</v>
      </c>
      <c r="E100" s="91">
        <v>30</v>
      </c>
      <c r="F100" s="91">
        <v>30</v>
      </c>
      <c r="G100" s="91">
        <v>30</v>
      </c>
      <c r="H100" s="91">
        <v>30</v>
      </c>
      <c r="I100" s="91">
        <v>30</v>
      </c>
      <c r="J100" s="91">
        <v>30</v>
      </c>
      <c r="K100" s="91">
        <v>30</v>
      </c>
      <c r="L100" s="91">
        <v>30</v>
      </c>
      <c r="M100" s="91">
        <v>30</v>
      </c>
      <c r="N100" s="91">
        <v>30</v>
      </c>
      <c r="O100" s="91">
        <v>30</v>
      </c>
      <c r="P100" s="91">
        <v>30</v>
      </c>
      <c r="Q100" s="91">
        <v>30</v>
      </c>
      <c r="R100" s="91">
        <v>30</v>
      </c>
      <c r="S100" s="91">
        <v>30</v>
      </c>
      <c r="T100" s="91">
        <v>30</v>
      </c>
      <c r="U100" s="91">
        <v>30</v>
      </c>
      <c r="V100" s="91">
        <v>30</v>
      </c>
      <c r="W100" s="91">
        <v>30</v>
      </c>
      <c r="X100" s="91">
        <v>30</v>
      </c>
      <c r="Y100" s="91">
        <v>30</v>
      </c>
      <c r="Z100" s="91">
        <v>30</v>
      </c>
      <c r="AA100" s="91">
        <v>30</v>
      </c>
      <c r="AB100" s="91">
        <v>30</v>
      </c>
      <c r="AC100" s="91">
        <v>30</v>
      </c>
      <c r="AD100" s="91">
        <v>30</v>
      </c>
      <c r="AE100" s="91">
        <v>30</v>
      </c>
      <c r="AF100" s="91">
        <v>30</v>
      </c>
      <c r="AG100" s="91">
        <v>30</v>
      </c>
      <c r="AH100" s="91">
        <v>30</v>
      </c>
      <c r="AI100" s="91">
        <v>30</v>
      </c>
      <c r="AJ100" s="91">
        <v>30</v>
      </c>
      <c r="AK100" s="91">
        <v>30</v>
      </c>
      <c r="AL100" s="91">
        <v>30</v>
      </c>
      <c r="AM100" s="91">
        <v>30</v>
      </c>
      <c r="AN100" s="91">
        <v>30</v>
      </c>
      <c r="AO100" s="91">
        <v>30</v>
      </c>
      <c r="AP100" s="91">
        <v>30</v>
      </c>
      <c r="AQ100" s="91">
        <v>30</v>
      </c>
      <c r="AR100" s="91">
        <v>30</v>
      </c>
      <c r="AS100" s="91">
        <v>30</v>
      </c>
      <c r="AT100" s="91">
        <v>30</v>
      </c>
      <c r="AU100" s="91">
        <v>30</v>
      </c>
    </row>
    <row r="101" spans="1:47" x14ac:dyDescent="0.25">
      <c r="A101" s="88">
        <v>96</v>
      </c>
      <c r="B101" s="91">
        <v>30</v>
      </c>
      <c r="C101" s="91">
        <v>30</v>
      </c>
      <c r="D101" s="91">
        <v>30</v>
      </c>
      <c r="E101" s="91">
        <v>30</v>
      </c>
      <c r="F101" s="91">
        <v>30</v>
      </c>
      <c r="G101" s="91">
        <v>30</v>
      </c>
      <c r="H101" s="91">
        <v>30</v>
      </c>
      <c r="I101" s="91">
        <v>30</v>
      </c>
      <c r="J101" s="91">
        <v>30</v>
      </c>
      <c r="K101" s="91">
        <v>30</v>
      </c>
      <c r="L101" s="91">
        <v>30</v>
      </c>
      <c r="M101" s="91">
        <v>30</v>
      </c>
      <c r="N101" s="91">
        <v>30</v>
      </c>
      <c r="O101" s="91">
        <v>30</v>
      </c>
      <c r="P101" s="91">
        <v>30</v>
      </c>
      <c r="Q101" s="91">
        <v>30</v>
      </c>
      <c r="R101" s="91">
        <v>30</v>
      </c>
      <c r="S101" s="91">
        <v>30</v>
      </c>
      <c r="T101" s="91">
        <v>30</v>
      </c>
      <c r="U101" s="91">
        <v>30</v>
      </c>
      <c r="V101" s="91">
        <v>30</v>
      </c>
      <c r="W101" s="91">
        <v>30</v>
      </c>
      <c r="X101" s="91">
        <v>30</v>
      </c>
      <c r="Y101" s="91">
        <v>30</v>
      </c>
      <c r="Z101" s="91">
        <v>30</v>
      </c>
      <c r="AA101" s="91">
        <v>30</v>
      </c>
      <c r="AB101" s="91">
        <v>30</v>
      </c>
      <c r="AC101" s="91">
        <v>30</v>
      </c>
      <c r="AD101" s="91">
        <v>30</v>
      </c>
      <c r="AE101" s="91">
        <v>30</v>
      </c>
      <c r="AF101" s="91">
        <v>30</v>
      </c>
      <c r="AG101" s="91">
        <v>30</v>
      </c>
      <c r="AH101" s="91">
        <v>30</v>
      </c>
      <c r="AI101" s="91">
        <v>30</v>
      </c>
      <c r="AJ101" s="91">
        <v>30</v>
      </c>
      <c r="AK101" s="91">
        <v>30</v>
      </c>
      <c r="AL101" s="91">
        <v>30</v>
      </c>
      <c r="AM101" s="91">
        <v>30</v>
      </c>
      <c r="AN101" s="91">
        <v>30</v>
      </c>
      <c r="AO101" s="91">
        <v>30</v>
      </c>
      <c r="AP101" s="91">
        <v>30</v>
      </c>
      <c r="AQ101" s="91">
        <v>30</v>
      </c>
      <c r="AR101" s="91">
        <v>30</v>
      </c>
      <c r="AS101" s="91">
        <v>30</v>
      </c>
      <c r="AT101" s="91">
        <v>30</v>
      </c>
      <c r="AU101" s="91">
        <v>30</v>
      </c>
    </row>
    <row r="102" spans="1:47" x14ac:dyDescent="0.25">
      <c r="A102" s="88">
        <v>97</v>
      </c>
      <c r="B102" s="91">
        <v>30</v>
      </c>
      <c r="C102" s="91">
        <v>30</v>
      </c>
      <c r="D102" s="91">
        <v>30</v>
      </c>
      <c r="E102" s="91">
        <v>30</v>
      </c>
      <c r="F102" s="91">
        <v>30</v>
      </c>
      <c r="G102" s="91">
        <v>30</v>
      </c>
      <c r="H102" s="91">
        <v>30</v>
      </c>
      <c r="I102" s="91">
        <v>30</v>
      </c>
      <c r="J102" s="91">
        <v>30</v>
      </c>
      <c r="K102" s="91">
        <v>30</v>
      </c>
      <c r="L102" s="91">
        <v>30</v>
      </c>
      <c r="M102" s="91">
        <v>30</v>
      </c>
      <c r="N102" s="91">
        <v>30</v>
      </c>
      <c r="O102" s="91">
        <v>30</v>
      </c>
      <c r="P102" s="91">
        <v>30</v>
      </c>
      <c r="Q102" s="91">
        <v>30</v>
      </c>
      <c r="R102" s="91">
        <v>30</v>
      </c>
      <c r="S102" s="91">
        <v>30</v>
      </c>
      <c r="T102" s="91">
        <v>30</v>
      </c>
      <c r="U102" s="91">
        <v>30</v>
      </c>
      <c r="V102" s="91">
        <v>30</v>
      </c>
      <c r="W102" s="91">
        <v>30</v>
      </c>
      <c r="X102" s="91">
        <v>30</v>
      </c>
      <c r="Y102" s="91">
        <v>30</v>
      </c>
      <c r="Z102" s="91">
        <v>30</v>
      </c>
      <c r="AA102" s="91">
        <v>30</v>
      </c>
      <c r="AB102" s="91">
        <v>30</v>
      </c>
      <c r="AC102" s="91">
        <v>30</v>
      </c>
      <c r="AD102" s="91">
        <v>30</v>
      </c>
      <c r="AE102" s="91">
        <v>30</v>
      </c>
      <c r="AF102" s="91">
        <v>30</v>
      </c>
      <c r="AG102" s="91">
        <v>30</v>
      </c>
      <c r="AH102" s="91">
        <v>30</v>
      </c>
      <c r="AI102" s="91">
        <v>30</v>
      </c>
      <c r="AJ102" s="91">
        <v>30</v>
      </c>
      <c r="AK102" s="91">
        <v>30</v>
      </c>
      <c r="AL102" s="91">
        <v>30</v>
      </c>
      <c r="AM102" s="91">
        <v>30</v>
      </c>
      <c r="AN102" s="91">
        <v>30</v>
      </c>
      <c r="AO102" s="91">
        <v>30</v>
      </c>
      <c r="AP102" s="91">
        <v>30</v>
      </c>
      <c r="AQ102" s="91">
        <v>30</v>
      </c>
      <c r="AR102" s="91">
        <v>30</v>
      </c>
      <c r="AS102" s="91">
        <v>30</v>
      </c>
      <c r="AT102" s="91">
        <v>30</v>
      </c>
      <c r="AU102" s="91">
        <v>30</v>
      </c>
    </row>
    <row r="103" spans="1:47" x14ac:dyDescent="0.25">
      <c r="A103" s="88">
        <v>98</v>
      </c>
      <c r="B103" s="91">
        <v>30</v>
      </c>
      <c r="C103" s="91">
        <v>30</v>
      </c>
      <c r="D103" s="91">
        <v>30</v>
      </c>
      <c r="E103" s="91">
        <v>30</v>
      </c>
      <c r="F103" s="91">
        <v>30</v>
      </c>
      <c r="G103" s="91">
        <v>30</v>
      </c>
      <c r="H103" s="91">
        <v>30</v>
      </c>
      <c r="I103" s="91">
        <v>30</v>
      </c>
      <c r="J103" s="91">
        <v>30</v>
      </c>
      <c r="K103" s="91">
        <v>30</v>
      </c>
      <c r="L103" s="91">
        <v>30</v>
      </c>
      <c r="M103" s="91">
        <v>30</v>
      </c>
      <c r="N103" s="91">
        <v>30</v>
      </c>
      <c r="O103" s="91">
        <v>30</v>
      </c>
      <c r="P103" s="91">
        <v>30</v>
      </c>
      <c r="Q103" s="91">
        <v>30</v>
      </c>
      <c r="R103" s="91">
        <v>30</v>
      </c>
      <c r="S103" s="91">
        <v>30</v>
      </c>
      <c r="T103" s="91">
        <v>30</v>
      </c>
      <c r="U103" s="91">
        <v>30</v>
      </c>
      <c r="V103" s="91">
        <v>30</v>
      </c>
      <c r="W103" s="91">
        <v>30</v>
      </c>
      <c r="X103" s="91">
        <v>30</v>
      </c>
      <c r="Y103" s="91">
        <v>30</v>
      </c>
      <c r="Z103" s="91">
        <v>30</v>
      </c>
      <c r="AA103" s="91">
        <v>30</v>
      </c>
      <c r="AB103" s="91">
        <v>30</v>
      </c>
      <c r="AC103" s="91">
        <v>30</v>
      </c>
      <c r="AD103" s="91">
        <v>30</v>
      </c>
      <c r="AE103" s="91">
        <v>30</v>
      </c>
      <c r="AF103" s="91">
        <v>30</v>
      </c>
      <c r="AG103" s="91">
        <v>30</v>
      </c>
      <c r="AH103" s="91">
        <v>30</v>
      </c>
      <c r="AI103" s="91">
        <v>30</v>
      </c>
      <c r="AJ103" s="91">
        <v>30</v>
      </c>
      <c r="AK103" s="91">
        <v>30</v>
      </c>
      <c r="AL103" s="91">
        <v>30</v>
      </c>
      <c r="AM103" s="91">
        <v>30</v>
      </c>
      <c r="AN103" s="91">
        <v>30</v>
      </c>
      <c r="AO103" s="91">
        <v>30</v>
      </c>
      <c r="AP103" s="91">
        <v>30</v>
      </c>
      <c r="AQ103" s="91">
        <v>30</v>
      </c>
      <c r="AR103" s="91">
        <v>30</v>
      </c>
      <c r="AS103" s="91">
        <v>30</v>
      </c>
      <c r="AT103" s="91">
        <v>30</v>
      </c>
      <c r="AU103" s="91">
        <v>30</v>
      </c>
    </row>
    <row r="104" spans="1:47" x14ac:dyDescent="0.25">
      <c r="A104" s="94" t="s">
        <v>801</v>
      </c>
      <c r="B104" s="91">
        <v>30</v>
      </c>
      <c r="C104" s="91">
        <v>30</v>
      </c>
      <c r="D104" s="91">
        <v>30</v>
      </c>
      <c r="E104" s="91">
        <v>30</v>
      </c>
      <c r="F104" s="91">
        <v>30</v>
      </c>
      <c r="G104" s="91">
        <v>30</v>
      </c>
      <c r="H104" s="91">
        <v>30</v>
      </c>
      <c r="I104" s="91">
        <v>30</v>
      </c>
      <c r="J104" s="91">
        <v>30</v>
      </c>
      <c r="K104" s="91">
        <v>30</v>
      </c>
      <c r="L104" s="91">
        <v>30</v>
      </c>
      <c r="M104" s="91">
        <v>30</v>
      </c>
      <c r="N104" s="91">
        <v>30</v>
      </c>
      <c r="O104" s="91">
        <v>30</v>
      </c>
      <c r="P104" s="91">
        <v>30</v>
      </c>
      <c r="Q104" s="91">
        <v>30</v>
      </c>
      <c r="R104" s="91">
        <v>30</v>
      </c>
      <c r="S104" s="91">
        <v>30</v>
      </c>
      <c r="T104" s="91">
        <v>30</v>
      </c>
      <c r="U104" s="91">
        <v>30</v>
      </c>
      <c r="V104" s="91">
        <v>30</v>
      </c>
      <c r="W104" s="91">
        <v>30</v>
      </c>
      <c r="X104" s="91">
        <v>30</v>
      </c>
      <c r="Y104" s="91">
        <v>30</v>
      </c>
      <c r="Z104" s="91">
        <v>30</v>
      </c>
      <c r="AA104" s="91">
        <v>30</v>
      </c>
      <c r="AB104" s="91">
        <v>30</v>
      </c>
      <c r="AC104" s="91">
        <v>30</v>
      </c>
      <c r="AD104" s="91">
        <v>30</v>
      </c>
      <c r="AE104" s="91">
        <v>30</v>
      </c>
      <c r="AF104" s="91">
        <v>30</v>
      </c>
      <c r="AG104" s="91">
        <v>30</v>
      </c>
      <c r="AH104" s="91">
        <v>30</v>
      </c>
      <c r="AI104" s="91">
        <v>30</v>
      </c>
      <c r="AJ104" s="91">
        <v>30</v>
      </c>
      <c r="AK104" s="91">
        <v>30</v>
      </c>
      <c r="AL104" s="91">
        <v>30</v>
      </c>
      <c r="AM104" s="91">
        <v>30</v>
      </c>
      <c r="AN104" s="91">
        <v>30</v>
      </c>
      <c r="AO104" s="91">
        <v>30</v>
      </c>
      <c r="AP104" s="91">
        <v>30</v>
      </c>
      <c r="AQ104" s="91">
        <v>30</v>
      </c>
      <c r="AR104" s="91">
        <v>30</v>
      </c>
      <c r="AS104" s="91">
        <v>30</v>
      </c>
      <c r="AT104" s="91">
        <v>30</v>
      </c>
      <c r="AU104" s="91">
        <v>30</v>
      </c>
    </row>
  </sheetData>
  <sheetProtection algorithmName="SHA-512" hashValue="RTaTT9KlDSSQiBret6gJ/HUdM+Y/cJ11eJqaS84UMSKL9biycEUO6TenEhC7I2shuewelBQ7ELxpIbA6xzApFQ==" saltValue="qKvceovrM0ydZRtz7Gvr+w==" spinCount="100000" sheet="1" objects="1" scenarios="1"/>
  <conditionalFormatting sqref="A6:A21">
    <cfRule type="expression" dxfId="277" priority="7" stopIfTrue="1">
      <formula>MOD(ROW(),2)=0</formula>
    </cfRule>
    <cfRule type="expression" dxfId="276" priority="8" stopIfTrue="1">
      <formula>MOD(ROW(),2)&lt;&gt;0</formula>
    </cfRule>
  </conditionalFormatting>
  <conditionalFormatting sqref="A26:A104">
    <cfRule type="expression" dxfId="275" priority="15" stopIfTrue="1">
      <formula>MOD(ROW(),2)=0</formula>
    </cfRule>
    <cfRule type="expression" dxfId="274" priority="16" stopIfTrue="1">
      <formula>MOD(ROW(),2)&lt;&gt;0</formula>
    </cfRule>
  </conditionalFormatting>
  <conditionalFormatting sqref="B16:B21">
    <cfRule type="expression" dxfId="273" priority="1" stopIfTrue="1">
      <formula>MOD(ROW(),2)=0</formula>
    </cfRule>
    <cfRule type="expression" dxfId="272" priority="2" stopIfTrue="1">
      <formula>MOD(ROW(),2)&lt;&gt;0</formula>
    </cfRule>
  </conditionalFormatting>
  <conditionalFormatting sqref="B6:AU21">
    <cfRule type="expression" dxfId="271" priority="23" stopIfTrue="1">
      <formula>MOD(ROW(),2)=0</formula>
    </cfRule>
    <cfRule type="expression" dxfId="270" priority="24" stopIfTrue="1">
      <formula>MOD(ROW(),2)&lt;&gt;0</formula>
    </cfRule>
  </conditionalFormatting>
  <conditionalFormatting sqref="B26:AU104">
    <cfRule type="expression" dxfId="269" priority="11" stopIfTrue="1">
      <formula>MOD(ROW(),2)=0</formula>
    </cfRule>
    <cfRule type="expression" dxfId="268" priority="12" stopIfTrue="1">
      <formula>MOD(ROW(),2)&lt;&gt;0</formula>
    </cfRule>
  </conditionalFormatting>
  <hyperlinks>
    <hyperlink ref="B24" location="Assumptions!A1" display="Assumptions" xr:uid="{9CC5CC07-719D-419D-94A3-6B2191C74086}"/>
  </hyperlinks>
  <pageMargins left="0.59055118110236227" right="0.59055118110236227" top="0.59055118110236227" bottom="0.59055118110236227" header="0.51181102362204722" footer="0.51181102362204722"/>
  <pageSetup paperSize="9" scale="34" fitToWidth="3"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73"/>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x-801</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580</v>
      </c>
      <c r="C8" s="161"/>
      <c r="D8" s="161"/>
      <c r="E8" s="161"/>
      <c r="F8" s="161"/>
      <c r="G8" s="161"/>
      <c r="H8" s="161"/>
      <c r="I8" s="161"/>
      <c r="J8" s="161"/>
      <c r="K8" s="161"/>
      <c r="L8" s="161"/>
      <c r="M8" s="161"/>
    </row>
    <row r="9" spans="1:13" x14ac:dyDescent="0.25">
      <c r="A9" s="85" t="s">
        <v>282</v>
      </c>
      <c r="B9" s="161" t="s">
        <v>396</v>
      </c>
      <c r="C9" s="161"/>
      <c r="D9" s="161"/>
      <c r="E9" s="161"/>
      <c r="F9" s="161"/>
      <c r="G9" s="161"/>
      <c r="H9" s="161"/>
      <c r="I9" s="161"/>
      <c r="J9" s="161"/>
      <c r="K9" s="161"/>
      <c r="L9" s="161"/>
      <c r="M9" s="161"/>
    </row>
    <row r="10" spans="1:13" x14ac:dyDescent="0.25">
      <c r="A10" s="85" t="s">
        <v>6</v>
      </c>
      <c r="B10" s="161" t="s">
        <v>581</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582</v>
      </c>
      <c r="C12" s="161"/>
      <c r="D12" s="161"/>
      <c r="E12" s="161"/>
      <c r="F12" s="161"/>
      <c r="G12" s="161"/>
      <c r="H12" s="161"/>
      <c r="I12" s="161"/>
      <c r="J12" s="161"/>
      <c r="K12" s="161"/>
      <c r="L12" s="161"/>
      <c r="M12" s="161"/>
    </row>
    <row r="13" spans="1:13" x14ac:dyDescent="0.25">
      <c r="A13" s="85" t="s">
        <v>289</v>
      </c>
      <c r="B13" s="161">
        <v>0</v>
      </c>
      <c r="C13" s="161"/>
      <c r="D13" s="161"/>
      <c r="E13" s="161"/>
      <c r="F13" s="161"/>
      <c r="G13" s="161"/>
      <c r="H13" s="161"/>
      <c r="I13" s="161"/>
      <c r="J13" s="161"/>
      <c r="K13" s="161"/>
      <c r="L13" s="161"/>
      <c r="M13" s="161"/>
    </row>
    <row r="14" spans="1:13" x14ac:dyDescent="0.25">
      <c r="A14" s="85" t="s">
        <v>291</v>
      </c>
      <c r="B14" s="161">
        <v>801</v>
      </c>
      <c r="C14" s="161"/>
      <c r="D14" s="161"/>
      <c r="E14" s="161"/>
      <c r="F14" s="161"/>
      <c r="G14" s="161"/>
      <c r="H14" s="161"/>
      <c r="I14" s="161"/>
      <c r="J14" s="161"/>
      <c r="K14" s="161"/>
      <c r="L14" s="161"/>
      <c r="M14" s="161"/>
    </row>
    <row r="15" spans="1:13" x14ac:dyDescent="0.25">
      <c r="A15" s="85" t="s">
        <v>293</v>
      </c>
      <c r="B15" s="161" t="s">
        <v>583</v>
      </c>
      <c r="C15" s="161"/>
      <c r="D15" s="161"/>
      <c r="E15" s="161"/>
      <c r="F15" s="161"/>
      <c r="G15" s="161"/>
      <c r="H15" s="161"/>
      <c r="I15" s="161"/>
      <c r="J15" s="161"/>
      <c r="K15" s="161"/>
      <c r="L15" s="161"/>
      <c r="M15" s="161"/>
    </row>
    <row r="16" spans="1:13" x14ac:dyDescent="0.25">
      <c r="A16" s="85" t="s">
        <v>295</v>
      </c>
      <c r="B16" s="161" t="s">
        <v>584</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45135</v>
      </c>
      <c r="C18" s="161"/>
      <c r="D18" s="161"/>
      <c r="E18" s="161"/>
      <c r="F18" s="161"/>
      <c r="G18" s="161"/>
      <c r="H18" s="161"/>
      <c r="I18" s="161"/>
      <c r="J18" s="161"/>
      <c r="K18" s="161"/>
      <c r="L18" s="161"/>
      <c r="M18" s="161"/>
    </row>
    <row r="19" spans="1:13" x14ac:dyDescent="0.25">
      <c r="A19" s="85" t="s">
        <v>301</v>
      </c>
      <c r="B19" s="162">
        <v>45200</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50</v>
      </c>
      <c r="B27" s="117">
        <v>4.5199999999999996</v>
      </c>
      <c r="C27" s="117">
        <v>4.4489999999999998</v>
      </c>
      <c r="D27" s="117">
        <v>4.3789999999999996</v>
      </c>
      <c r="E27" s="117">
        <v>4.3090000000000002</v>
      </c>
      <c r="F27" s="117">
        <v>4.2380000000000004</v>
      </c>
      <c r="G27" s="117">
        <v>4.1680000000000001</v>
      </c>
      <c r="H27" s="117">
        <v>4.0979999999999999</v>
      </c>
      <c r="I27" s="117">
        <v>4.0279999999999996</v>
      </c>
      <c r="J27" s="117">
        <v>3.9569999999999999</v>
      </c>
      <c r="K27" s="117">
        <v>3.887</v>
      </c>
      <c r="L27" s="117">
        <v>3.8170000000000002</v>
      </c>
      <c r="M27" s="117">
        <v>3.746</v>
      </c>
    </row>
    <row r="28" spans="1:13" x14ac:dyDescent="0.25">
      <c r="A28" s="99">
        <v>51</v>
      </c>
      <c r="B28" s="117">
        <v>3.6749999999999998</v>
      </c>
      <c r="C28" s="117">
        <v>3.6019999999999999</v>
      </c>
      <c r="D28" s="117">
        <v>3.5289999999999999</v>
      </c>
      <c r="E28" s="117">
        <v>3.456</v>
      </c>
      <c r="F28" s="117">
        <v>3.383</v>
      </c>
      <c r="G28" s="117">
        <v>3.31</v>
      </c>
      <c r="H28" s="117">
        <v>3.2370000000000001</v>
      </c>
      <c r="I28" s="117">
        <v>3.1640000000000001</v>
      </c>
      <c r="J28" s="117">
        <v>3.0910000000000002</v>
      </c>
      <c r="K28" s="117">
        <v>3.0179999999999998</v>
      </c>
      <c r="L28" s="117">
        <v>2.9449999999999998</v>
      </c>
      <c r="M28" s="117">
        <v>2.8719999999999999</v>
      </c>
    </row>
    <row r="29" spans="1:13" x14ac:dyDescent="0.25">
      <c r="A29" s="99">
        <v>52</v>
      </c>
      <c r="B29" s="117">
        <v>2.7970000000000002</v>
      </c>
      <c r="C29" s="117">
        <v>2.722</v>
      </c>
      <c r="D29" s="117">
        <v>2.6459999999999999</v>
      </c>
      <c r="E29" s="117">
        <v>2.57</v>
      </c>
      <c r="F29" s="117">
        <v>2.4940000000000002</v>
      </c>
      <c r="G29" s="117">
        <v>2.4180000000000001</v>
      </c>
      <c r="H29" s="117">
        <v>2.343</v>
      </c>
      <c r="I29" s="117">
        <v>2.2669999999999999</v>
      </c>
      <c r="J29" s="117">
        <v>2.1909999999999998</v>
      </c>
      <c r="K29" s="117">
        <v>2.1150000000000002</v>
      </c>
      <c r="L29" s="117">
        <v>2.0390000000000001</v>
      </c>
      <c r="M29" s="117">
        <v>1.964</v>
      </c>
    </row>
    <row r="30" spans="1:13" x14ac:dyDescent="0.25">
      <c r="A30" s="99">
        <v>53</v>
      </c>
      <c r="B30" s="117">
        <v>1.8859999999999999</v>
      </c>
      <c r="C30" s="117">
        <v>1.8080000000000001</v>
      </c>
      <c r="D30" s="117">
        <v>1.7290000000000001</v>
      </c>
      <c r="E30" s="117">
        <v>1.65</v>
      </c>
      <c r="F30" s="117">
        <v>1.5720000000000001</v>
      </c>
      <c r="G30" s="117">
        <v>1.4930000000000001</v>
      </c>
      <c r="H30" s="117">
        <v>1.4139999999999999</v>
      </c>
      <c r="I30" s="117">
        <v>1.335</v>
      </c>
      <c r="J30" s="117">
        <v>1.2569999999999999</v>
      </c>
      <c r="K30" s="117">
        <v>1.1779999999999999</v>
      </c>
      <c r="L30" s="117">
        <v>1.099</v>
      </c>
      <c r="M30" s="117">
        <v>1.0209999999999999</v>
      </c>
    </row>
    <row r="31" spans="1:13" x14ac:dyDescent="0.25">
      <c r="A31" s="99">
        <v>54</v>
      </c>
      <c r="B31" s="117">
        <v>0.94</v>
      </c>
      <c r="C31" s="117">
        <v>0.85899999999999999</v>
      </c>
      <c r="D31" s="117">
        <v>0.77700000000000002</v>
      </c>
      <c r="E31" s="117">
        <v>0.69499999999999995</v>
      </c>
      <c r="F31" s="117">
        <v>0.61299999999999999</v>
      </c>
      <c r="G31" s="117">
        <v>0.53100000000000003</v>
      </c>
      <c r="H31" s="117">
        <v>0.45</v>
      </c>
      <c r="I31" s="117">
        <v>0.36799999999999999</v>
      </c>
      <c r="J31" s="117">
        <v>0.28599999999999998</v>
      </c>
      <c r="K31" s="117">
        <v>0.20399999999999999</v>
      </c>
      <c r="L31" s="117">
        <v>0.123</v>
      </c>
      <c r="M31" s="117">
        <v>4.1000000000000002E-2</v>
      </c>
    </row>
    <row r="32" spans="1:13" x14ac:dyDescent="0.25">
      <c r="A32" s="99">
        <v>55</v>
      </c>
      <c r="B32" s="117">
        <v>0</v>
      </c>
      <c r="C32" s="117"/>
      <c r="D32" s="117"/>
      <c r="E32" s="117"/>
      <c r="F32" s="117"/>
      <c r="G32" s="117"/>
      <c r="H32" s="117"/>
      <c r="I32" s="117"/>
      <c r="J32" s="117"/>
      <c r="K32" s="117"/>
      <c r="L32" s="117"/>
      <c r="M32" s="117"/>
    </row>
    <row r="44" ht="39.65" customHeight="1" x14ac:dyDescent="0.25"/>
    <row r="46" ht="27.65" customHeight="1" x14ac:dyDescent="0.25"/>
  </sheetData>
  <sheetProtection algorithmName="SHA-512" hashValue="4Ed114HTRZCSxiKjSGR2pSF52VCGTn/E02B6ks4qO4+nn3rHIpw041j+FbdE1wkqvh+mG1NpJqBibP8SxI0PUQ==" saltValue="JNcAuvocaGA05kdsQ7HHfg==" spinCount="100000" sheet="1" objects="1" scenarios="1"/>
  <conditionalFormatting sqref="A6:A21">
    <cfRule type="expression" dxfId="267" priority="7" stopIfTrue="1">
      <formula>MOD(ROW(),2)=0</formula>
    </cfRule>
    <cfRule type="expression" dxfId="266" priority="8" stopIfTrue="1">
      <formula>MOD(ROW(),2)&lt;&gt;0</formula>
    </cfRule>
  </conditionalFormatting>
  <conditionalFormatting sqref="A26:A32">
    <cfRule type="expression" dxfId="265" priority="1" stopIfTrue="1">
      <formula>MOD(ROW(),2)=0</formula>
    </cfRule>
    <cfRule type="expression" dxfId="264" priority="2" stopIfTrue="1">
      <formula>MOD(ROW(),2)&lt;&gt;0</formula>
    </cfRule>
  </conditionalFormatting>
  <conditionalFormatting sqref="B17:B21">
    <cfRule type="expression" dxfId="263" priority="5" stopIfTrue="1">
      <formula>MOD(ROW(),2)=0</formula>
    </cfRule>
    <cfRule type="expression" dxfId="262" priority="6" stopIfTrue="1">
      <formula>MOD(ROW(),2)&lt;&gt;0</formula>
    </cfRule>
  </conditionalFormatting>
  <conditionalFormatting sqref="B6:M21">
    <cfRule type="expression" dxfId="261" priority="17" stopIfTrue="1">
      <formula>MOD(ROW(),2)=0</formula>
    </cfRule>
    <cfRule type="expression" dxfId="260" priority="18" stopIfTrue="1">
      <formula>MOD(ROW(),2)&lt;&gt;0</formula>
    </cfRule>
  </conditionalFormatting>
  <conditionalFormatting sqref="B26:M32">
    <cfRule type="expression" dxfId="259" priority="3" stopIfTrue="1">
      <formula>MOD(ROW(),2)=0</formula>
    </cfRule>
    <cfRule type="expression" dxfId="258" priority="4" stopIfTrue="1">
      <formula>MOD(ROW(),2)&lt;&gt;0</formula>
    </cfRule>
  </conditionalFormatting>
  <hyperlinks>
    <hyperlink ref="B24" location="Assumptions!A1" display="Assumptions" xr:uid="{7990CF39-0AAF-434B-AC08-27F83FE05B3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74"/>
  <dimension ref="A1:M78"/>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x-802</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580</v>
      </c>
      <c r="C8" s="161"/>
      <c r="D8" s="161"/>
      <c r="E8" s="161"/>
      <c r="F8" s="161"/>
      <c r="G8" s="161"/>
      <c r="H8" s="161"/>
      <c r="I8" s="161"/>
      <c r="J8" s="161"/>
      <c r="K8" s="161"/>
      <c r="L8" s="161"/>
      <c r="M8" s="161"/>
    </row>
    <row r="9" spans="1:13" x14ac:dyDescent="0.25">
      <c r="A9" s="85" t="s">
        <v>282</v>
      </c>
      <c r="B9" s="161" t="s">
        <v>396</v>
      </c>
      <c r="C9" s="161"/>
      <c r="D9" s="161"/>
      <c r="E9" s="161"/>
      <c r="F9" s="161"/>
      <c r="G9" s="161"/>
      <c r="H9" s="161"/>
      <c r="I9" s="161"/>
      <c r="J9" s="161"/>
      <c r="K9" s="161"/>
      <c r="L9" s="161"/>
      <c r="M9" s="161"/>
    </row>
    <row r="10" spans="1:13" x14ac:dyDescent="0.25">
      <c r="A10" s="85" t="s">
        <v>6</v>
      </c>
      <c r="B10" s="161" t="s">
        <v>585</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582</v>
      </c>
      <c r="C12" s="161"/>
      <c r="D12" s="161"/>
      <c r="E12" s="161"/>
      <c r="F12" s="161"/>
      <c r="G12" s="161"/>
      <c r="H12" s="161"/>
      <c r="I12" s="161"/>
      <c r="J12" s="161"/>
      <c r="K12" s="161"/>
      <c r="L12" s="161"/>
      <c r="M12" s="161"/>
    </row>
    <row r="13" spans="1:13" x14ac:dyDescent="0.25">
      <c r="A13" s="85" t="s">
        <v>289</v>
      </c>
      <c r="B13" s="161">
        <v>0</v>
      </c>
      <c r="C13" s="161"/>
      <c r="D13" s="161"/>
      <c r="E13" s="161"/>
      <c r="F13" s="161"/>
      <c r="G13" s="161"/>
      <c r="H13" s="161"/>
      <c r="I13" s="161"/>
      <c r="J13" s="161"/>
      <c r="K13" s="161"/>
      <c r="L13" s="161"/>
      <c r="M13" s="161"/>
    </row>
    <row r="14" spans="1:13" x14ac:dyDescent="0.25">
      <c r="A14" s="85" t="s">
        <v>291</v>
      </c>
      <c r="B14" s="161">
        <v>802</v>
      </c>
      <c r="C14" s="161"/>
      <c r="D14" s="161"/>
      <c r="E14" s="161"/>
      <c r="F14" s="161"/>
      <c r="G14" s="161"/>
      <c r="H14" s="161"/>
      <c r="I14" s="161"/>
      <c r="J14" s="161"/>
      <c r="K14" s="161"/>
      <c r="L14" s="161"/>
      <c r="M14" s="161"/>
    </row>
    <row r="15" spans="1:13" x14ac:dyDescent="0.25">
      <c r="A15" s="85" t="s">
        <v>293</v>
      </c>
      <c r="B15" s="161" t="s">
        <v>586</v>
      </c>
      <c r="C15" s="161"/>
      <c r="D15" s="161"/>
      <c r="E15" s="161"/>
      <c r="F15" s="161"/>
      <c r="G15" s="161"/>
      <c r="H15" s="161"/>
      <c r="I15" s="161"/>
      <c r="J15" s="161"/>
      <c r="K15" s="161"/>
      <c r="L15" s="161"/>
      <c r="M15" s="161"/>
    </row>
    <row r="16" spans="1:13" x14ac:dyDescent="0.25">
      <c r="A16" s="85" t="s">
        <v>295</v>
      </c>
      <c r="B16" s="161" t="s">
        <v>587</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45135</v>
      </c>
      <c r="C18" s="161"/>
      <c r="D18" s="161"/>
      <c r="E18" s="161"/>
      <c r="F18" s="161"/>
      <c r="G18" s="161"/>
      <c r="H18" s="161"/>
      <c r="I18" s="161"/>
      <c r="J18" s="161"/>
      <c r="K18" s="161"/>
      <c r="L18" s="161"/>
      <c r="M18" s="161"/>
    </row>
    <row r="19" spans="1:13" x14ac:dyDescent="0.25">
      <c r="A19" s="85" t="s">
        <v>301</v>
      </c>
      <c r="B19" s="162">
        <v>45200</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50</v>
      </c>
      <c r="B27" s="117">
        <v>24.289000000000001</v>
      </c>
      <c r="C27" s="117">
        <v>24.321999999999999</v>
      </c>
      <c r="D27" s="117">
        <v>24.353999999999999</v>
      </c>
      <c r="E27" s="117">
        <v>24.385999999999999</v>
      </c>
      <c r="F27" s="117">
        <v>24.417999999999999</v>
      </c>
      <c r="G27" s="117">
        <v>24.451000000000001</v>
      </c>
      <c r="H27" s="117">
        <v>24.483000000000001</v>
      </c>
      <c r="I27" s="117">
        <v>24.515000000000001</v>
      </c>
      <c r="J27" s="117">
        <v>24.547000000000001</v>
      </c>
      <c r="K27" s="117">
        <v>24.58</v>
      </c>
      <c r="L27" s="117">
        <v>24.611999999999998</v>
      </c>
      <c r="M27" s="117">
        <v>24.643999999999998</v>
      </c>
    </row>
    <row r="28" spans="1:13" x14ac:dyDescent="0.25">
      <c r="A28" s="99">
        <v>51</v>
      </c>
      <c r="B28" s="117">
        <v>24.677</v>
      </c>
      <c r="C28" s="117">
        <v>24.71</v>
      </c>
      <c r="D28" s="117">
        <v>24.742999999999999</v>
      </c>
      <c r="E28" s="117">
        <v>24.774999999999999</v>
      </c>
      <c r="F28" s="117">
        <v>24.808</v>
      </c>
      <c r="G28" s="117">
        <v>24.841000000000001</v>
      </c>
      <c r="H28" s="117">
        <v>24.873999999999999</v>
      </c>
      <c r="I28" s="117">
        <v>24.907</v>
      </c>
      <c r="J28" s="117">
        <v>24.94</v>
      </c>
      <c r="K28" s="117">
        <v>24.972999999999999</v>
      </c>
      <c r="L28" s="117">
        <v>25.006</v>
      </c>
      <c r="M28" s="117">
        <v>25.039000000000001</v>
      </c>
    </row>
    <row r="29" spans="1:13" x14ac:dyDescent="0.25">
      <c r="A29" s="99">
        <v>52</v>
      </c>
      <c r="B29" s="117">
        <v>25.071999999999999</v>
      </c>
      <c r="C29" s="117">
        <v>25.106000000000002</v>
      </c>
      <c r="D29" s="117">
        <v>25.138999999999999</v>
      </c>
      <c r="E29" s="117">
        <v>25.172999999999998</v>
      </c>
      <c r="F29" s="117">
        <v>25.207000000000001</v>
      </c>
      <c r="G29" s="117">
        <v>25.24</v>
      </c>
      <c r="H29" s="117">
        <v>25.274000000000001</v>
      </c>
      <c r="I29" s="117">
        <v>25.308</v>
      </c>
      <c r="J29" s="117">
        <v>25.341000000000001</v>
      </c>
      <c r="K29" s="117">
        <v>25.375</v>
      </c>
      <c r="L29" s="117">
        <v>25.408000000000001</v>
      </c>
      <c r="M29" s="117">
        <v>25.442</v>
      </c>
    </row>
    <row r="30" spans="1:13" x14ac:dyDescent="0.25">
      <c r="A30" s="99">
        <v>53</v>
      </c>
      <c r="B30" s="117">
        <v>25.475999999999999</v>
      </c>
      <c r="C30" s="117">
        <v>25.51</v>
      </c>
      <c r="D30" s="117">
        <v>25.545000000000002</v>
      </c>
      <c r="E30" s="117">
        <v>25.579000000000001</v>
      </c>
      <c r="F30" s="117">
        <v>25.614000000000001</v>
      </c>
      <c r="G30" s="117">
        <v>25.648</v>
      </c>
      <c r="H30" s="117">
        <v>25.681999999999999</v>
      </c>
      <c r="I30" s="117">
        <v>25.716999999999999</v>
      </c>
      <c r="J30" s="117">
        <v>25.751000000000001</v>
      </c>
      <c r="K30" s="117">
        <v>25.786000000000001</v>
      </c>
      <c r="L30" s="117">
        <v>25.82</v>
      </c>
      <c r="M30" s="117">
        <v>25.853999999999999</v>
      </c>
    </row>
    <row r="31" spans="1:13" x14ac:dyDescent="0.25">
      <c r="A31" s="99">
        <v>54</v>
      </c>
      <c r="B31" s="117">
        <v>25.888999999999999</v>
      </c>
      <c r="C31" s="117">
        <v>25.923999999999999</v>
      </c>
      <c r="D31" s="117">
        <v>25.96</v>
      </c>
      <c r="E31" s="117">
        <v>25.995000000000001</v>
      </c>
      <c r="F31" s="117">
        <v>26.03</v>
      </c>
      <c r="G31" s="117">
        <v>26.065000000000001</v>
      </c>
      <c r="H31" s="117">
        <v>26.1</v>
      </c>
      <c r="I31" s="117">
        <v>26.135000000000002</v>
      </c>
      <c r="J31" s="117">
        <v>26.170999999999999</v>
      </c>
      <c r="K31" s="117">
        <v>26.206</v>
      </c>
      <c r="L31" s="117">
        <v>26.241</v>
      </c>
      <c r="M31" s="117">
        <v>26.276</v>
      </c>
    </row>
    <row r="32" spans="1:13" x14ac:dyDescent="0.25">
      <c r="A32" s="99">
        <v>55</v>
      </c>
      <c r="B32" s="117">
        <v>26.27</v>
      </c>
      <c r="C32" s="117">
        <v>26.222000000000001</v>
      </c>
      <c r="D32" s="117">
        <v>26.173999999999999</v>
      </c>
      <c r="E32" s="117">
        <v>26.126000000000001</v>
      </c>
      <c r="F32" s="117">
        <v>26.077999999999999</v>
      </c>
      <c r="G32" s="117">
        <v>26.03</v>
      </c>
      <c r="H32" s="117">
        <v>25.981999999999999</v>
      </c>
      <c r="I32" s="117">
        <v>25.934000000000001</v>
      </c>
      <c r="J32" s="117">
        <v>25.885999999999999</v>
      </c>
      <c r="K32" s="117">
        <v>25.838000000000001</v>
      </c>
      <c r="L32" s="117">
        <v>25.79</v>
      </c>
      <c r="M32" s="117">
        <v>25.742000000000001</v>
      </c>
    </row>
    <row r="33" spans="1:13" x14ac:dyDescent="0.25">
      <c r="A33" s="99">
        <v>56</v>
      </c>
      <c r="B33" s="117">
        <v>25.693999999999999</v>
      </c>
      <c r="C33" s="117">
        <v>25.645</v>
      </c>
      <c r="D33" s="117">
        <v>25.597000000000001</v>
      </c>
      <c r="E33" s="117">
        <v>25.547999999999998</v>
      </c>
      <c r="F33" s="117">
        <v>25.5</v>
      </c>
      <c r="G33" s="117">
        <v>25.451000000000001</v>
      </c>
      <c r="H33" s="117">
        <v>25.402999999999999</v>
      </c>
      <c r="I33" s="117">
        <v>25.353999999999999</v>
      </c>
      <c r="J33" s="117">
        <v>25.306000000000001</v>
      </c>
      <c r="K33" s="117">
        <v>25.257000000000001</v>
      </c>
      <c r="L33" s="117">
        <v>25.209</v>
      </c>
      <c r="M33" s="117">
        <v>25.16</v>
      </c>
    </row>
    <row r="34" spans="1:13" x14ac:dyDescent="0.25">
      <c r="A34" s="99">
        <v>57</v>
      </c>
      <c r="B34" s="117">
        <v>25.111000000000001</v>
      </c>
      <c r="C34" s="117">
        <v>25.062000000000001</v>
      </c>
      <c r="D34" s="117">
        <v>25.013000000000002</v>
      </c>
      <c r="E34" s="117">
        <v>24.963999999999999</v>
      </c>
      <c r="F34" s="117">
        <v>24.914999999999999</v>
      </c>
      <c r="G34" s="117">
        <v>24.866</v>
      </c>
      <c r="H34" s="117">
        <v>24.817</v>
      </c>
      <c r="I34" s="117">
        <v>24.768000000000001</v>
      </c>
      <c r="J34" s="117">
        <v>24.719000000000001</v>
      </c>
      <c r="K34" s="117">
        <v>24.67</v>
      </c>
      <c r="L34" s="117">
        <v>24.620999999999999</v>
      </c>
      <c r="M34" s="117">
        <v>24.571999999999999</v>
      </c>
    </row>
    <row r="35" spans="1:13" x14ac:dyDescent="0.25">
      <c r="A35" s="99">
        <v>58</v>
      </c>
      <c r="B35" s="117">
        <v>24.521999999999998</v>
      </c>
      <c r="C35" s="117">
        <v>24.472999999999999</v>
      </c>
      <c r="D35" s="117">
        <v>24.422999999999998</v>
      </c>
      <c r="E35" s="117">
        <v>24.373000000000001</v>
      </c>
      <c r="F35" s="117">
        <v>24.324000000000002</v>
      </c>
      <c r="G35" s="117">
        <v>24.274000000000001</v>
      </c>
      <c r="H35" s="117">
        <v>24.224</v>
      </c>
      <c r="I35" s="117">
        <v>24.175000000000001</v>
      </c>
      <c r="J35" s="117">
        <v>24.125</v>
      </c>
      <c r="K35" s="117">
        <v>24.074999999999999</v>
      </c>
      <c r="L35" s="117">
        <v>24.026</v>
      </c>
      <c r="M35" s="117">
        <v>23.975999999999999</v>
      </c>
    </row>
    <row r="36" spans="1:13" x14ac:dyDescent="0.25">
      <c r="A36" s="99">
        <v>59</v>
      </c>
      <c r="B36" s="117">
        <v>23.925999999999998</v>
      </c>
      <c r="C36" s="117">
        <v>23.876000000000001</v>
      </c>
      <c r="D36" s="117">
        <v>23.826000000000001</v>
      </c>
      <c r="E36" s="117">
        <v>23.774999999999999</v>
      </c>
      <c r="F36" s="117">
        <v>23.725000000000001</v>
      </c>
      <c r="G36" s="117">
        <v>23.675000000000001</v>
      </c>
      <c r="H36" s="117">
        <v>23.625</v>
      </c>
      <c r="I36" s="117">
        <v>23.574000000000002</v>
      </c>
      <c r="J36" s="117">
        <v>23.524000000000001</v>
      </c>
      <c r="K36" s="117">
        <v>23.474</v>
      </c>
      <c r="L36" s="117">
        <v>23.423999999999999</v>
      </c>
      <c r="M36" s="117">
        <v>23.373000000000001</v>
      </c>
    </row>
    <row r="37" spans="1:13" x14ac:dyDescent="0.25">
      <c r="A37" s="99">
        <v>60</v>
      </c>
      <c r="B37" s="117">
        <v>23.323</v>
      </c>
      <c r="C37" s="117">
        <v>23.271999999999998</v>
      </c>
      <c r="D37" s="117">
        <v>23.221</v>
      </c>
      <c r="E37" s="117">
        <v>23.17</v>
      </c>
      <c r="F37" s="117">
        <v>23.12</v>
      </c>
      <c r="G37" s="117">
        <v>23.068999999999999</v>
      </c>
      <c r="H37" s="117">
        <v>23.018000000000001</v>
      </c>
      <c r="I37" s="117">
        <v>22.966999999999999</v>
      </c>
      <c r="J37" s="117">
        <v>22.916</v>
      </c>
      <c r="K37" s="117">
        <v>22.864999999999998</v>
      </c>
      <c r="L37" s="117">
        <v>22.815000000000001</v>
      </c>
      <c r="M37" s="117">
        <v>22.763999999999999</v>
      </c>
    </row>
    <row r="38" spans="1:13" x14ac:dyDescent="0.25">
      <c r="A38" s="99">
        <v>61</v>
      </c>
      <c r="B38" s="117">
        <v>22.713000000000001</v>
      </c>
      <c r="C38" s="117">
        <v>22.661000000000001</v>
      </c>
      <c r="D38" s="117">
        <v>22.61</v>
      </c>
      <c r="E38" s="117">
        <v>22.559000000000001</v>
      </c>
      <c r="F38" s="117">
        <v>22.507000000000001</v>
      </c>
      <c r="G38" s="117">
        <v>22.456</v>
      </c>
      <c r="H38" s="117">
        <v>22.405000000000001</v>
      </c>
      <c r="I38" s="117">
        <v>22.353000000000002</v>
      </c>
      <c r="J38" s="117">
        <v>22.302</v>
      </c>
      <c r="K38" s="117">
        <v>22.251000000000001</v>
      </c>
      <c r="L38" s="117">
        <v>22.199000000000002</v>
      </c>
      <c r="M38" s="117">
        <v>22.148</v>
      </c>
    </row>
    <row r="39" spans="1:13" x14ac:dyDescent="0.25">
      <c r="A39" s="99">
        <v>62</v>
      </c>
      <c r="B39" s="117">
        <v>22.096</v>
      </c>
      <c r="C39" s="117">
        <v>22.044</v>
      </c>
      <c r="D39" s="117">
        <v>21.992000000000001</v>
      </c>
      <c r="E39" s="117">
        <v>21.940999999999999</v>
      </c>
      <c r="F39" s="117">
        <v>21.888999999999999</v>
      </c>
      <c r="G39" s="117">
        <v>21.837</v>
      </c>
      <c r="H39" s="117">
        <v>21.785</v>
      </c>
      <c r="I39" s="117">
        <v>21.733000000000001</v>
      </c>
      <c r="J39" s="117">
        <v>21.681000000000001</v>
      </c>
      <c r="K39" s="117">
        <v>21.629000000000001</v>
      </c>
      <c r="L39" s="117">
        <v>21.577000000000002</v>
      </c>
      <c r="M39" s="117">
        <v>21.524999999999999</v>
      </c>
    </row>
    <row r="40" spans="1:13" x14ac:dyDescent="0.25">
      <c r="A40" s="99">
        <v>63</v>
      </c>
      <c r="B40" s="117">
        <v>21.472999999999999</v>
      </c>
      <c r="C40" s="117">
        <v>21.420999999999999</v>
      </c>
      <c r="D40" s="117">
        <v>21.369</v>
      </c>
      <c r="E40" s="117">
        <v>21.315999999999999</v>
      </c>
      <c r="F40" s="117">
        <v>21.263999999999999</v>
      </c>
      <c r="G40" s="117">
        <v>21.210999999999999</v>
      </c>
      <c r="H40" s="117">
        <v>21.158999999999999</v>
      </c>
      <c r="I40" s="117">
        <v>21.106999999999999</v>
      </c>
      <c r="J40" s="117">
        <v>21.053999999999998</v>
      </c>
      <c r="K40" s="117">
        <v>21.001999999999999</v>
      </c>
      <c r="L40" s="117">
        <v>20.95</v>
      </c>
      <c r="M40" s="117">
        <v>20.896999999999998</v>
      </c>
    </row>
    <row r="41" spans="1:13" x14ac:dyDescent="0.25">
      <c r="A41" s="99">
        <v>64</v>
      </c>
      <c r="B41" s="117">
        <v>20.844000000000001</v>
      </c>
      <c r="C41" s="117">
        <v>20.791</v>
      </c>
      <c r="D41" s="117">
        <v>20.738</v>
      </c>
      <c r="E41" s="117">
        <v>20.684999999999999</v>
      </c>
      <c r="F41" s="117">
        <v>20.632000000000001</v>
      </c>
      <c r="G41" s="117">
        <v>20.579000000000001</v>
      </c>
      <c r="H41" s="117">
        <v>20.526</v>
      </c>
      <c r="I41" s="117">
        <v>20.472999999999999</v>
      </c>
      <c r="J41" s="117">
        <v>20.420000000000002</v>
      </c>
      <c r="K41" s="117">
        <v>20.367000000000001</v>
      </c>
      <c r="L41" s="117">
        <v>20.314</v>
      </c>
      <c r="M41" s="117">
        <v>20.260999999999999</v>
      </c>
    </row>
    <row r="42" spans="1:13" x14ac:dyDescent="0.25">
      <c r="A42" s="99">
        <v>65</v>
      </c>
      <c r="B42" s="117">
        <v>20.207000000000001</v>
      </c>
      <c r="C42" s="117">
        <v>20.154</v>
      </c>
      <c r="D42" s="117">
        <v>20.100999999999999</v>
      </c>
      <c r="E42" s="117">
        <v>20.047000000000001</v>
      </c>
      <c r="F42" s="117">
        <v>19.994</v>
      </c>
      <c r="G42" s="117">
        <v>19.940999999999999</v>
      </c>
      <c r="H42" s="117">
        <v>19.888000000000002</v>
      </c>
      <c r="I42" s="117">
        <v>19.834</v>
      </c>
      <c r="J42" s="117">
        <v>19.780999999999999</v>
      </c>
      <c r="K42" s="117">
        <v>19.728000000000002</v>
      </c>
      <c r="L42" s="117">
        <v>19.673999999999999</v>
      </c>
      <c r="M42" s="117">
        <v>19.620999999999999</v>
      </c>
    </row>
    <row r="43" spans="1:13" x14ac:dyDescent="0.25">
      <c r="A43" s="99">
        <v>66</v>
      </c>
      <c r="B43" s="117">
        <v>19.568000000000001</v>
      </c>
      <c r="C43" s="117">
        <v>19.513999999999999</v>
      </c>
      <c r="D43" s="117">
        <v>19.46</v>
      </c>
      <c r="E43" s="117">
        <v>19.405999999999999</v>
      </c>
      <c r="F43" s="117">
        <v>19.353000000000002</v>
      </c>
      <c r="G43" s="117">
        <v>19.298999999999999</v>
      </c>
      <c r="H43" s="117">
        <v>19.245000000000001</v>
      </c>
      <c r="I43" s="117">
        <v>19.190999999999999</v>
      </c>
      <c r="J43" s="117">
        <v>19.138000000000002</v>
      </c>
      <c r="K43" s="117">
        <v>19.084</v>
      </c>
      <c r="L43" s="117">
        <v>19.03</v>
      </c>
      <c r="M43" s="117">
        <v>18.975999999999999</v>
      </c>
    </row>
    <row r="44" spans="1:13" x14ac:dyDescent="0.25">
      <c r="A44" s="99">
        <v>67</v>
      </c>
      <c r="B44" s="117">
        <v>18.922999999999998</v>
      </c>
      <c r="C44" s="117">
        <v>18.867999999999999</v>
      </c>
      <c r="D44" s="117">
        <v>18.814</v>
      </c>
      <c r="E44" s="117">
        <v>18.760000000000002</v>
      </c>
      <c r="F44" s="117">
        <v>18.706</v>
      </c>
      <c r="G44" s="117">
        <v>18.652000000000001</v>
      </c>
      <c r="H44" s="117">
        <v>18.597999999999999</v>
      </c>
      <c r="I44" s="117">
        <v>18.544</v>
      </c>
      <c r="J44" s="117">
        <v>18.489999999999998</v>
      </c>
      <c r="K44" s="117">
        <v>18.436</v>
      </c>
      <c r="L44" s="117">
        <v>18.381</v>
      </c>
      <c r="M44" s="117">
        <v>18.327000000000002</v>
      </c>
    </row>
    <row r="45" spans="1:13" x14ac:dyDescent="0.25">
      <c r="A45" s="99">
        <v>68</v>
      </c>
      <c r="B45" s="117">
        <v>18.273</v>
      </c>
      <c r="C45" s="117">
        <v>18.219000000000001</v>
      </c>
      <c r="D45" s="117">
        <v>18.164000000000001</v>
      </c>
      <c r="E45" s="117">
        <v>18.11</v>
      </c>
      <c r="F45" s="117">
        <v>18.055</v>
      </c>
      <c r="G45" s="117">
        <v>18.001000000000001</v>
      </c>
      <c r="H45" s="117">
        <v>17.946000000000002</v>
      </c>
      <c r="I45" s="117">
        <v>17.891999999999999</v>
      </c>
      <c r="J45" s="117">
        <v>17.837</v>
      </c>
      <c r="K45" s="117">
        <v>17.783000000000001</v>
      </c>
      <c r="L45" s="117">
        <v>17.728000000000002</v>
      </c>
      <c r="M45" s="117">
        <v>17.673999999999999</v>
      </c>
    </row>
    <row r="46" spans="1:13" x14ac:dyDescent="0.25">
      <c r="A46" s="99">
        <v>69</v>
      </c>
      <c r="B46" s="117">
        <v>17.617000000000001</v>
      </c>
      <c r="C46" s="117">
        <v>17.556999999999999</v>
      </c>
      <c r="D46" s="117">
        <v>17.497</v>
      </c>
      <c r="E46" s="117">
        <v>17.437000000000001</v>
      </c>
      <c r="F46" s="117">
        <v>17.378</v>
      </c>
      <c r="G46" s="117">
        <v>17.318000000000001</v>
      </c>
      <c r="H46" s="117">
        <v>17.257999999999999</v>
      </c>
      <c r="I46" s="117">
        <v>17.198</v>
      </c>
      <c r="J46" s="117">
        <v>17.138000000000002</v>
      </c>
      <c r="K46" s="117">
        <v>17.079000000000001</v>
      </c>
      <c r="L46" s="117">
        <v>17.018999999999998</v>
      </c>
      <c r="M46" s="117">
        <v>16.959</v>
      </c>
    </row>
    <row r="47" spans="1:13" x14ac:dyDescent="0.25">
      <c r="A47" s="99">
        <v>70</v>
      </c>
      <c r="B47" s="117">
        <v>16.902000000000001</v>
      </c>
      <c r="C47" s="117">
        <v>16.846</v>
      </c>
      <c r="D47" s="117">
        <v>16.791</v>
      </c>
      <c r="E47" s="117">
        <v>16.736000000000001</v>
      </c>
      <c r="F47" s="117">
        <v>16.681000000000001</v>
      </c>
      <c r="G47" s="117">
        <v>16.626000000000001</v>
      </c>
      <c r="H47" s="117">
        <v>16.571000000000002</v>
      </c>
      <c r="I47" s="117">
        <v>16.515000000000001</v>
      </c>
      <c r="J47" s="117">
        <v>16.46</v>
      </c>
      <c r="K47" s="117">
        <v>16.405000000000001</v>
      </c>
      <c r="L47" s="117">
        <v>16.350000000000001</v>
      </c>
      <c r="M47" s="117">
        <v>16.295000000000002</v>
      </c>
    </row>
    <row r="48" spans="1:13" x14ac:dyDescent="0.25">
      <c r="A48" s="99">
        <v>71</v>
      </c>
      <c r="B48" s="117">
        <v>16.239999999999998</v>
      </c>
      <c r="C48" s="117">
        <v>16.184000000000001</v>
      </c>
      <c r="D48" s="117">
        <v>16.129000000000001</v>
      </c>
      <c r="E48" s="117">
        <v>16.074000000000002</v>
      </c>
      <c r="F48" s="117">
        <v>16.018999999999998</v>
      </c>
      <c r="G48" s="117">
        <v>15.964</v>
      </c>
      <c r="H48" s="117">
        <v>15.909000000000001</v>
      </c>
      <c r="I48" s="117">
        <v>15.853999999999999</v>
      </c>
      <c r="J48" s="117">
        <v>15.798999999999999</v>
      </c>
      <c r="K48" s="117">
        <v>15.744</v>
      </c>
      <c r="L48" s="117">
        <v>15.689</v>
      </c>
      <c r="M48" s="117">
        <v>15.634</v>
      </c>
    </row>
    <row r="49" spans="1:13" x14ac:dyDescent="0.25">
      <c r="A49" s="99">
        <v>72</v>
      </c>
      <c r="B49" s="117">
        <v>15.577999999999999</v>
      </c>
      <c r="C49" s="117">
        <v>15.523</v>
      </c>
      <c r="D49" s="117">
        <v>15.468</v>
      </c>
      <c r="E49" s="117">
        <v>15.413</v>
      </c>
      <c r="F49" s="117">
        <v>15.358000000000001</v>
      </c>
      <c r="G49" s="117">
        <v>15.303000000000001</v>
      </c>
      <c r="H49" s="117">
        <v>15.247</v>
      </c>
      <c r="I49" s="117">
        <v>15.192</v>
      </c>
      <c r="J49" s="117">
        <v>15.137</v>
      </c>
      <c r="K49" s="117">
        <v>15.082000000000001</v>
      </c>
      <c r="L49" s="117">
        <v>15.026999999999999</v>
      </c>
      <c r="M49" s="117">
        <v>14.972</v>
      </c>
    </row>
    <row r="50" spans="1:13" x14ac:dyDescent="0.25">
      <c r="A50" s="99">
        <v>73</v>
      </c>
      <c r="B50" s="117">
        <v>14.916</v>
      </c>
      <c r="C50" s="117">
        <v>14.861000000000001</v>
      </c>
      <c r="D50" s="117">
        <v>14.805999999999999</v>
      </c>
      <c r="E50" s="117">
        <v>14.750999999999999</v>
      </c>
      <c r="F50" s="117">
        <v>14.696</v>
      </c>
      <c r="G50" s="117">
        <v>14.641</v>
      </c>
      <c r="H50" s="117">
        <v>14.585000000000001</v>
      </c>
      <c r="I50" s="117">
        <v>14.53</v>
      </c>
      <c r="J50" s="117">
        <v>14.475</v>
      </c>
      <c r="K50" s="117">
        <v>14.42</v>
      </c>
      <c r="L50" s="117">
        <v>14.365</v>
      </c>
      <c r="M50" s="117">
        <v>14.308999999999999</v>
      </c>
    </row>
    <row r="51" spans="1:13" x14ac:dyDescent="0.25">
      <c r="A51" s="99">
        <v>74</v>
      </c>
      <c r="B51" s="117">
        <v>14.25</v>
      </c>
      <c r="C51" s="117">
        <v>14.186</v>
      </c>
      <c r="D51" s="117">
        <v>14.122</v>
      </c>
      <c r="E51" s="117">
        <v>14.058</v>
      </c>
      <c r="F51" s="117">
        <v>13.994999999999999</v>
      </c>
      <c r="G51" s="117">
        <v>13.930999999999999</v>
      </c>
      <c r="H51" s="117">
        <v>13.867000000000001</v>
      </c>
      <c r="I51" s="117">
        <v>13.803000000000001</v>
      </c>
      <c r="J51" s="117">
        <v>13.739000000000001</v>
      </c>
      <c r="K51" s="117">
        <v>13.675000000000001</v>
      </c>
      <c r="L51" s="117">
        <v>13.612</v>
      </c>
      <c r="M51" s="117">
        <v>13.548</v>
      </c>
    </row>
    <row r="52" spans="1:13" x14ac:dyDescent="0.25">
      <c r="A52" s="99">
        <v>75</v>
      </c>
      <c r="B52" s="117">
        <v>13.488</v>
      </c>
      <c r="C52" s="117">
        <v>13.433999999999999</v>
      </c>
      <c r="D52" s="117">
        <v>13.379</v>
      </c>
      <c r="E52" s="117">
        <v>13.324</v>
      </c>
      <c r="F52" s="117">
        <v>13.269</v>
      </c>
      <c r="G52" s="117">
        <v>13.215</v>
      </c>
      <c r="H52" s="117">
        <v>13.16</v>
      </c>
      <c r="I52" s="117">
        <v>13.105</v>
      </c>
      <c r="J52" s="117">
        <v>13.05</v>
      </c>
      <c r="K52" s="117">
        <v>12.994999999999999</v>
      </c>
      <c r="L52" s="117">
        <v>12.941000000000001</v>
      </c>
      <c r="M52" s="117">
        <v>12.885999999999999</v>
      </c>
    </row>
    <row r="53" spans="1:13" x14ac:dyDescent="0.25">
      <c r="A53" s="99">
        <v>76</v>
      </c>
      <c r="B53" s="117">
        <v>12.831</v>
      </c>
      <c r="C53" s="117">
        <v>12.776999999999999</v>
      </c>
      <c r="D53" s="117">
        <v>12.722</v>
      </c>
      <c r="E53" s="117">
        <v>12.667999999999999</v>
      </c>
      <c r="F53" s="117">
        <v>12.614000000000001</v>
      </c>
      <c r="G53" s="117">
        <v>12.558999999999999</v>
      </c>
      <c r="H53" s="117">
        <v>12.505000000000001</v>
      </c>
      <c r="I53" s="117">
        <v>12.45</v>
      </c>
      <c r="J53" s="117">
        <v>12.396000000000001</v>
      </c>
      <c r="K53" s="117">
        <v>12.340999999999999</v>
      </c>
      <c r="L53" s="117">
        <v>12.287000000000001</v>
      </c>
      <c r="M53" s="117">
        <v>12.233000000000001</v>
      </c>
    </row>
    <row r="54" spans="1:13" x14ac:dyDescent="0.25">
      <c r="A54" s="99">
        <v>77</v>
      </c>
      <c r="B54" s="117">
        <v>12.178000000000001</v>
      </c>
      <c r="C54" s="117">
        <v>12.125</v>
      </c>
      <c r="D54" s="117">
        <v>12.071</v>
      </c>
      <c r="E54" s="117">
        <v>12.016999999999999</v>
      </c>
      <c r="F54" s="117">
        <v>11.962999999999999</v>
      </c>
      <c r="G54" s="117">
        <v>11.909000000000001</v>
      </c>
      <c r="H54" s="117">
        <v>11.855</v>
      </c>
      <c r="I54" s="117">
        <v>11.801</v>
      </c>
      <c r="J54" s="117">
        <v>11.747</v>
      </c>
      <c r="K54" s="117">
        <v>11.693</v>
      </c>
      <c r="L54" s="117">
        <v>11.638999999999999</v>
      </c>
      <c r="M54" s="117">
        <v>11.585000000000001</v>
      </c>
    </row>
    <row r="55" spans="1:13" x14ac:dyDescent="0.25">
      <c r="A55" s="99">
        <v>78</v>
      </c>
      <c r="B55" s="117">
        <v>11.532</v>
      </c>
      <c r="C55" s="117">
        <v>11.478999999999999</v>
      </c>
      <c r="D55" s="117">
        <v>11.425000000000001</v>
      </c>
      <c r="E55" s="117">
        <v>11.372</v>
      </c>
      <c r="F55" s="117">
        <v>11.319000000000001</v>
      </c>
      <c r="G55" s="117">
        <v>11.266</v>
      </c>
      <c r="H55" s="117">
        <v>11.212999999999999</v>
      </c>
      <c r="I55" s="117">
        <v>11.159000000000001</v>
      </c>
      <c r="J55" s="117">
        <v>11.106</v>
      </c>
      <c r="K55" s="117">
        <v>11.053000000000001</v>
      </c>
      <c r="L55" s="117">
        <v>11</v>
      </c>
      <c r="M55" s="117">
        <v>10.946999999999999</v>
      </c>
    </row>
    <row r="56" spans="1:13" x14ac:dyDescent="0.25">
      <c r="A56" s="99">
        <v>79</v>
      </c>
      <c r="B56" s="117">
        <v>10.888</v>
      </c>
      <c r="C56" s="117">
        <v>10.824999999999999</v>
      </c>
      <c r="D56" s="117">
        <v>10.762</v>
      </c>
      <c r="E56" s="117">
        <v>10.699</v>
      </c>
      <c r="F56" s="117">
        <v>10.635999999999999</v>
      </c>
      <c r="G56" s="117">
        <v>10.573</v>
      </c>
      <c r="H56" s="117">
        <v>10.51</v>
      </c>
      <c r="I56" s="117">
        <v>10.446999999999999</v>
      </c>
      <c r="J56" s="117">
        <v>10.384</v>
      </c>
      <c r="K56" s="117">
        <v>10.321</v>
      </c>
      <c r="L56" s="117">
        <v>10.257999999999999</v>
      </c>
      <c r="M56" s="117">
        <v>10.195</v>
      </c>
    </row>
    <row r="57" spans="1:13" x14ac:dyDescent="0.25">
      <c r="A57" s="99">
        <v>80</v>
      </c>
      <c r="B57" s="117">
        <v>10.138</v>
      </c>
      <c r="C57" s="117">
        <v>10.087</v>
      </c>
      <c r="D57" s="117">
        <v>10.036</v>
      </c>
      <c r="E57" s="117">
        <v>9.9849999999999994</v>
      </c>
      <c r="F57" s="117">
        <v>9.9339999999999993</v>
      </c>
      <c r="G57" s="117">
        <v>9.8829999999999991</v>
      </c>
      <c r="H57" s="117">
        <v>9.8320000000000007</v>
      </c>
      <c r="I57" s="117">
        <v>9.7810000000000006</v>
      </c>
      <c r="J57" s="117">
        <v>9.73</v>
      </c>
      <c r="K57" s="117">
        <v>9.68</v>
      </c>
      <c r="L57" s="117">
        <v>9.6289999999999996</v>
      </c>
      <c r="M57" s="117">
        <v>9.5779999999999994</v>
      </c>
    </row>
    <row r="58" spans="1:13" x14ac:dyDescent="0.25">
      <c r="A58" s="99">
        <v>81</v>
      </c>
      <c r="B58" s="117">
        <v>9.5269999999999992</v>
      </c>
      <c r="C58" s="117">
        <v>9.4779999999999998</v>
      </c>
      <c r="D58" s="117">
        <v>9.4280000000000008</v>
      </c>
      <c r="E58" s="117">
        <v>9.3780000000000001</v>
      </c>
      <c r="F58" s="117">
        <v>9.3290000000000006</v>
      </c>
      <c r="G58" s="117">
        <v>9.2789999999999999</v>
      </c>
      <c r="H58" s="117">
        <v>9.2289999999999992</v>
      </c>
      <c r="I58" s="117">
        <v>9.18</v>
      </c>
      <c r="J58" s="117">
        <v>9.1300000000000008</v>
      </c>
      <c r="K58" s="117">
        <v>9.08</v>
      </c>
      <c r="L58" s="117">
        <v>9.0310000000000006</v>
      </c>
      <c r="M58" s="117">
        <v>8.9809999999999999</v>
      </c>
    </row>
    <row r="59" spans="1:13" x14ac:dyDescent="0.25">
      <c r="A59" s="99">
        <v>82</v>
      </c>
      <c r="B59" s="117">
        <v>8.9320000000000004</v>
      </c>
      <c r="C59" s="117">
        <v>8.8840000000000003</v>
      </c>
      <c r="D59" s="117">
        <v>8.8360000000000003</v>
      </c>
      <c r="E59" s="117">
        <v>8.7870000000000008</v>
      </c>
      <c r="F59" s="117">
        <v>8.7390000000000008</v>
      </c>
      <c r="G59" s="117">
        <v>8.6910000000000007</v>
      </c>
      <c r="H59" s="117">
        <v>8.6430000000000007</v>
      </c>
      <c r="I59" s="117">
        <v>8.5950000000000006</v>
      </c>
      <c r="J59" s="117">
        <v>8.5459999999999994</v>
      </c>
      <c r="K59" s="117">
        <v>8.4979999999999993</v>
      </c>
      <c r="L59" s="117">
        <v>8.4499999999999993</v>
      </c>
      <c r="M59" s="117">
        <v>8.4019999999999992</v>
      </c>
    </row>
    <row r="60" spans="1:13" x14ac:dyDescent="0.25">
      <c r="A60" s="99">
        <v>83</v>
      </c>
      <c r="B60" s="117">
        <v>8.3539999999999992</v>
      </c>
      <c r="C60" s="117">
        <v>8.3079999999999998</v>
      </c>
      <c r="D60" s="117">
        <v>8.2609999999999992</v>
      </c>
      <c r="E60" s="117">
        <v>8.2149999999999999</v>
      </c>
      <c r="F60" s="117">
        <v>8.1679999999999993</v>
      </c>
      <c r="G60" s="117">
        <v>8.1219999999999999</v>
      </c>
      <c r="H60" s="117">
        <v>8.0749999999999993</v>
      </c>
      <c r="I60" s="117">
        <v>8.0289999999999999</v>
      </c>
      <c r="J60" s="117">
        <v>7.9820000000000002</v>
      </c>
      <c r="K60" s="117">
        <v>7.9359999999999999</v>
      </c>
      <c r="L60" s="117">
        <v>7.8890000000000002</v>
      </c>
      <c r="M60" s="117">
        <v>7.8419999999999996</v>
      </c>
    </row>
    <row r="61" spans="1:13" x14ac:dyDescent="0.25">
      <c r="A61" s="99">
        <v>84</v>
      </c>
      <c r="B61" s="117">
        <v>7.7919999999999998</v>
      </c>
      <c r="C61" s="117">
        <v>7.7370000000000001</v>
      </c>
      <c r="D61" s="117">
        <v>7.6820000000000004</v>
      </c>
      <c r="E61" s="117">
        <v>7.6280000000000001</v>
      </c>
      <c r="F61" s="117">
        <v>7.5730000000000004</v>
      </c>
      <c r="G61" s="117">
        <v>7.5179999999999998</v>
      </c>
      <c r="H61" s="117">
        <v>7.4630000000000001</v>
      </c>
      <c r="I61" s="117">
        <v>7.4089999999999998</v>
      </c>
      <c r="J61" s="117">
        <v>7.3540000000000001</v>
      </c>
      <c r="K61" s="117">
        <v>7.2990000000000004</v>
      </c>
      <c r="L61" s="117">
        <v>7.2439999999999998</v>
      </c>
      <c r="M61" s="117">
        <v>7.19</v>
      </c>
    </row>
    <row r="62" spans="1:13" x14ac:dyDescent="0.25">
      <c r="A62" s="99">
        <v>85</v>
      </c>
      <c r="B62" s="117">
        <v>7.141</v>
      </c>
      <c r="C62" s="117">
        <v>7.0979999999999999</v>
      </c>
      <c r="D62" s="117">
        <v>7.056</v>
      </c>
      <c r="E62" s="117">
        <v>7.0129999999999999</v>
      </c>
      <c r="F62" s="117">
        <v>6.97</v>
      </c>
      <c r="G62" s="117">
        <v>6.9279999999999999</v>
      </c>
      <c r="H62" s="117">
        <v>6.8849999999999998</v>
      </c>
      <c r="I62" s="117">
        <v>6.843</v>
      </c>
      <c r="J62" s="117">
        <v>6.8</v>
      </c>
      <c r="K62" s="117">
        <v>6.7569999999999997</v>
      </c>
      <c r="L62" s="117">
        <v>6.7149999999999999</v>
      </c>
      <c r="M62" s="117">
        <v>6.6719999999999997</v>
      </c>
    </row>
    <row r="63" spans="1:13" x14ac:dyDescent="0.25">
      <c r="A63" s="99">
        <v>86</v>
      </c>
      <c r="B63" s="117">
        <v>6.6310000000000002</v>
      </c>
      <c r="C63" s="117">
        <v>6.59</v>
      </c>
      <c r="D63" s="117">
        <v>6.55</v>
      </c>
      <c r="E63" s="117">
        <v>6.5090000000000003</v>
      </c>
      <c r="F63" s="117">
        <v>6.4690000000000003</v>
      </c>
      <c r="G63" s="117">
        <v>6.4279999999999999</v>
      </c>
      <c r="H63" s="117">
        <v>6.3879999999999999</v>
      </c>
      <c r="I63" s="117">
        <v>6.3470000000000004</v>
      </c>
      <c r="J63" s="117">
        <v>6.3070000000000004</v>
      </c>
      <c r="K63" s="117">
        <v>6.266</v>
      </c>
      <c r="L63" s="117">
        <v>6.226</v>
      </c>
      <c r="M63" s="117">
        <v>6.1849999999999996</v>
      </c>
    </row>
    <row r="64" spans="1:13" x14ac:dyDescent="0.25">
      <c r="A64" s="99">
        <v>87</v>
      </c>
      <c r="B64" s="117">
        <v>6.1459999999999999</v>
      </c>
      <c r="C64" s="117">
        <v>6.1079999999999997</v>
      </c>
      <c r="D64" s="117">
        <v>6.069</v>
      </c>
      <c r="E64" s="117">
        <v>6.0309999999999997</v>
      </c>
      <c r="F64" s="117">
        <v>5.9930000000000003</v>
      </c>
      <c r="G64" s="117">
        <v>5.9550000000000001</v>
      </c>
      <c r="H64" s="117">
        <v>5.9160000000000004</v>
      </c>
      <c r="I64" s="117">
        <v>5.8780000000000001</v>
      </c>
      <c r="J64" s="117">
        <v>5.84</v>
      </c>
      <c r="K64" s="117">
        <v>5.8019999999999996</v>
      </c>
      <c r="L64" s="117">
        <v>5.7629999999999999</v>
      </c>
      <c r="M64" s="117">
        <v>5.7249999999999996</v>
      </c>
    </row>
    <row r="65" spans="1:13" x14ac:dyDescent="0.25">
      <c r="A65" s="99">
        <v>88</v>
      </c>
      <c r="B65" s="117">
        <v>5.6879999999999997</v>
      </c>
      <c r="C65" s="117">
        <v>5.6520000000000001</v>
      </c>
      <c r="D65" s="117">
        <v>5.617</v>
      </c>
      <c r="E65" s="117">
        <v>5.5810000000000004</v>
      </c>
      <c r="F65" s="117">
        <v>5.5449999999999999</v>
      </c>
      <c r="G65" s="117">
        <v>5.5090000000000003</v>
      </c>
      <c r="H65" s="117">
        <v>5.4729999999999999</v>
      </c>
      <c r="I65" s="117">
        <v>5.4370000000000003</v>
      </c>
      <c r="J65" s="117">
        <v>5.4020000000000001</v>
      </c>
      <c r="K65" s="117">
        <v>5.3659999999999997</v>
      </c>
      <c r="L65" s="117">
        <v>5.33</v>
      </c>
      <c r="M65" s="117">
        <v>5.2939999999999996</v>
      </c>
    </row>
    <row r="66" spans="1:13" x14ac:dyDescent="0.25">
      <c r="A66" s="99">
        <v>89</v>
      </c>
      <c r="B66" s="117">
        <v>5.2549999999999999</v>
      </c>
      <c r="C66" s="117">
        <v>5.2130000000000001</v>
      </c>
      <c r="D66" s="117">
        <v>5.1710000000000003</v>
      </c>
      <c r="E66" s="117">
        <v>5.1289999999999996</v>
      </c>
      <c r="F66" s="117">
        <v>5.0869999999999997</v>
      </c>
      <c r="G66" s="117">
        <v>5.0449999999999999</v>
      </c>
      <c r="H66" s="117">
        <v>5.0030000000000001</v>
      </c>
      <c r="I66" s="117">
        <v>4.9610000000000003</v>
      </c>
      <c r="J66" s="117">
        <v>4.9189999999999996</v>
      </c>
      <c r="K66" s="117">
        <v>4.8769999999999998</v>
      </c>
      <c r="L66" s="117">
        <v>4.835</v>
      </c>
      <c r="M66" s="117">
        <v>4.7930000000000001</v>
      </c>
    </row>
    <row r="67" spans="1:13" x14ac:dyDescent="0.25">
      <c r="A67" s="99">
        <v>90</v>
      </c>
      <c r="B67" s="117">
        <v>4.7569999999999997</v>
      </c>
      <c r="C67" s="117">
        <v>4.726</v>
      </c>
      <c r="D67" s="117">
        <v>4.6950000000000003</v>
      </c>
      <c r="E67" s="117">
        <v>4.6639999999999997</v>
      </c>
      <c r="F67" s="117">
        <v>4.6340000000000003</v>
      </c>
      <c r="G67" s="117">
        <v>4.6029999999999998</v>
      </c>
      <c r="H67" s="117">
        <v>4.5720000000000001</v>
      </c>
      <c r="I67" s="117">
        <v>4.5410000000000004</v>
      </c>
      <c r="J67" s="117">
        <v>4.5110000000000001</v>
      </c>
      <c r="K67" s="117">
        <v>4.4800000000000004</v>
      </c>
      <c r="L67" s="117">
        <v>4.4489999999999998</v>
      </c>
      <c r="M67" s="117">
        <v>4.4180000000000001</v>
      </c>
    </row>
    <row r="68" spans="1:13" x14ac:dyDescent="0.25">
      <c r="A68" s="99">
        <v>91</v>
      </c>
      <c r="B68" s="117">
        <v>4.3890000000000002</v>
      </c>
      <c r="C68" s="117">
        <v>4.3609999999999998</v>
      </c>
      <c r="D68" s="117">
        <v>4.3319999999999999</v>
      </c>
      <c r="E68" s="117">
        <v>4.3040000000000003</v>
      </c>
      <c r="F68" s="117">
        <v>4.2759999999999998</v>
      </c>
      <c r="G68" s="117">
        <v>4.2480000000000002</v>
      </c>
      <c r="H68" s="117">
        <v>4.2190000000000003</v>
      </c>
      <c r="I68" s="117">
        <v>4.1909999999999998</v>
      </c>
      <c r="J68" s="117">
        <v>4.1630000000000003</v>
      </c>
      <c r="K68" s="117">
        <v>4.1349999999999998</v>
      </c>
      <c r="L68" s="117">
        <v>4.1059999999999999</v>
      </c>
      <c r="M68" s="117">
        <v>4.0780000000000003</v>
      </c>
    </row>
    <row r="69" spans="1:13" x14ac:dyDescent="0.25">
      <c r="A69" s="99">
        <v>92</v>
      </c>
      <c r="B69" s="117">
        <v>4.0510000000000002</v>
      </c>
      <c r="C69" s="117">
        <v>4.0250000000000004</v>
      </c>
      <c r="D69" s="117">
        <v>3.9990000000000001</v>
      </c>
      <c r="E69" s="117">
        <v>3.9729999999999999</v>
      </c>
      <c r="F69" s="117">
        <v>3.948</v>
      </c>
      <c r="G69" s="117">
        <v>3.9220000000000002</v>
      </c>
      <c r="H69" s="117">
        <v>3.8959999999999999</v>
      </c>
      <c r="I69" s="117">
        <v>3.87</v>
      </c>
      <c r="J69" s="117">
        <v>3.8439999999999999</v>
      </c>
      <c r="K69" s="117">
        <v>3.8180000000000001</v>
      </c>
      <c r="L69" s="117">
        <v>3.7919999999999998</v>
      </c>
      <c r="M69" s="117">
        <v>3.7669999999999999</v>
      </c>
    </row>
    <row r="70" spans="1:13" x14ac:dyDescent="0.25">
      <c r="A70" s="99">
        <v>93</v>
      </c>
      <c r="B70" s="117">
        <v>3.742</v>
      </c>
      <c r="C70" s="117">
        <v>3.718</v>
      </c>
      <c r="D70" s="117">
        <v>3.6949999999999998</v>
      </c>
      <c r="E70" s="117">
        <v>3.6709999999999998</v>
      </c>
      <c r="F70" s="117">
        <v>3.6480000000000001</v>
      </c>
      <c r="G70" s="117">
        <v>3.6240000000000001</v>
      </c>
      <c r="H70" s="117">
        <v>3.601</v>
      </c>
      <c r="I70" s="117">
        <v>3.577</v>
      </c>
      <c r="J70" s="117">
        <v>3.5539999999999998</v>
      </c>
      <c r="K70" s="117">
        <v>3.5310000000000001</v>
      </c>
      <c r="L70" s="117">
        <v>3.5070000000000001</v>
      </c>
      <c r="M70" s="117">
        <v>3.484</v>
      </c>
    </row>
    <row r="71" spans="1:13" x14ac:dyDescent="0.25">
      <c r="A71" s="99">
        <v>94</v>
      </c>
      <c r="B71" s="117">
        <v>3.4609999999999999</v>
      </c>
      <c r="C71" s="117">
        <v>3.44</v>
      </c>
      <c r="D71" s="117">
        <v>3.4180000000000001</v>
      </c>
      <c r="E71" s="117">
        <v>3.3969999999999998</v>
      </c>
      <c r="F71" s="117">
        <v>3.375</v>
      </c>
      <c r="G71" s="117">
        <v>3.3540000000000001</v>
      </c>
      <c r="H71" s="117">
        <v>3.3330000000000002</v>
      </c>
      <c r="I71" s="117">
        <v>3.3109999999999999</v>
      </c>
      <c r="J71" s="117">
        <v>3.29</v>
      </c>
      <c r="K71" s="117">
        <v>3.2679999999999998</v>
      </c>
      <c r="L71" s="117">
        <v>3.2469999999999999</v>
      </c>
      <c r="M71" s="117">
        <v>3.2250000000000001</v>
      </c>
    </row>
    <row r="72" spans="1:13" x14ac:dyDescent="0.25">
      <c r="A72" s="99">
        <v>95</v>
      </c>
      <c r="B72" s="117">
        <v>3.2050000000000001</v>
      </c>
      <c r="C72" s="117">
        <v>3.1859999999999999</v>
      </c>
      <c r="D72" s="117">
        <v>3.1669999999999998</v>
      </c>
      <c r="E72" s="117">
        <v>3.1480000000000001</v>
      </c>
      <c r="F72" s="117">
        <v>3.129</v>
      </c>
      <c r="G72" s="117">
        <v>3.109</v>
      </c>
      <c r="H72" s="117">
        <v>3.09</v>
      </c>
      <c r="I72" s="117">
        <v>3.0710000000000002</v>
      </c>
      <c r="J72" s="117">
        <v>3.052</v>
      </c>
      <c r="K72" s="117">
        <v>3.0329999999999999</v>
      </c>
      <c r="L72" s="117">
        <v>3.0139999999999998</v>
      </c>
      <c r="M72" s="117">
        <v>2.9950000000000001</v>
      </c>
    </row>
    <row r="73" spans="1:13" x14ac:dyDescent="0.25">
      <c r="A73" s="99">
        <v>96</v>
      </c>
      <c r="B73" s="117">
        <v>2.976</v>
      </c>
      <c r="C73" s="117">
        <v>2.9590000000000001</v>
      </c>
      <c r="D73" s="117">
        <v>2.9420000000000002</v>
      </c>
      <c r="E73" s="117">
        <v>2.9249999999999998</v>
      </c>
      <c r="F73" s="117">
        <v>2.9079999999999999</v>
      </c>
      <c r="G73" s="117">
        <v>2.891</v>
      </c>
      <c r="H73" s="117">
        <v>2.8740000000000001</v>
      </c>
      <c r="I73" s="117">
        <v>2.8570000000000002</v>
      </c>
      <c r="J73" s="117">
        <v>2.84</v>
      </c>
      <c r="K73" s="117">
        <v>2.823</v>
      </c>
      <c r="L73" s="117">
        <v>2.806</v>
      </c>
      <c r="M73" s="117">
        <v>2.7890000000000001</v>
      </c>
    </row>
    <row r="74" spans="1:13" x14ac:dyDescent="0.25">
      <c r="A74" s="99">
        <v>97</v>
      </c>
      <c r="B74" s="117">
        <v>2.7730000000000001</v>
      </c>
      <c r="C74" s="117">
        <v>2.758</v>
      </c>
      <c r="D74" s="117">
        <v>2.7429999999999999</v>
      </c>
      <c r="E74" s="117">
        <v>2.7269999999999999</v>
      </c>
      <c r="F74" s="117">
        <v>2.7120000000000002</v>
      </c>
      <c r="G74" s="117">
        <v>2.6970000000000001</v>
      </c>
      <c r="H74" s="117">
        <v>2.6819999999999999</v>
      </c>
      <c r="I74" s="117">
        <v>2.6669999999999998</v>
      </c>
      <c r="J74" s="117">
        <v>2.6520000000000001</v>
      </c>
      <c r="K74" s="117">
        <v>2.637</v>
      </c>
      <c r="L74" s="117">
        <v>2.6219999999999999</v>
      </c>
      <c r="M74" s="117">
        <v>2.6070000000000002</v>
      </c>
    </row>
    <row r="75" spans="1:13" x14ac:dyDescent="0.25">
      <c r="A75" s="99">
        <v>98</v>
      </c>
      <c r="B75" s="117">
        <v>2.593</v>
      </c>
      <c r="C75" s="117">
        <v>2.58</v>
      </c>
      <c r="D75" s="117">
        <v>2.5670000000000002</v>
      </c>
      <c r="E75" s="117">
        <v>2.5539999999999998</v>
      </c>
      <c r="F75" s="117">
        <v>2.5409999999999999</v>
      </c>
      <c r="G75" s="117">
        <v>2.528</v>
      </c>
      <c r="H75" s="117">
        <v>2.5150000000000001</v>
      </c>
      <c r="I75" s="117">
        <v>2.5019999999999998</v>
      </c>
      <c r="J75" s="117">
        <v>2.4900000000000002</v>
      </c>
      <c r="K75" s="117">
        <v>2.4769999999999999</v>
      </c>
      <c r="L75" s="117">
        <v>2.464</v>
      </c>
      <c r="M75" s="117">
        <v>2.4510000000000001</v>
      </c>
    </row>
    <row r="76" spans="1:13" x14ac:dyDescent="0.25">
      <c r="A76" s="99">
        <v>99</v>
      </c>
      <c r="B76" s="117">
        <v>2.44</v>
      </c>
      <c r="C76" s="117">
        <v>2.4300000000000002</v>
      </c>
      <c r="D76" s="117">
        <v>2.42</v>
      </c>
      <c r="E76" s="117">
        <v>2.411</v>
      </c>
      <c r="F76" s="117">
        <v>2.4009999999999998</v>
      </c>
      <c r="G76" s="117">
        <v>2.391</v>
      </c>
      <c r="H76" s="117">
        <v>2.3809999999999998</v>
      </c>
      <c r="I76" s="117">
        <v>2.3719999999999999</v>
      </c>
      <c r="J76" s="117">
        <v>2.3620000000000001</v>
      </c>
      <c r="K76" s="117">
        <v>2.3519999999999999</v>
      </c>
      <c r="L76" s="117">
        <v>2.343</v>
      </c>
      <c r="M76" s="117">
        <v>2.3330000000000002</v>
      </c>
    </row>
    <row r="77" spans="1:13" x14ac:dyDescent="0.25">
      <c r="A77" s="99">
        <v>100</v>
      </c>
      <c r="B77" s="117">
        <v>2.3250000000000002</v>
      </c>
      <c r="C77" s="117">
        <v>2.3170000000000002</v>
      </c>
      <c r="D77" s="117">
        <v>2.31</v>
      </c>
      <c r="E77" s="117">
        <v>2.3029999999999999</v>
      </c>
      <c r="F77" s="117">
        <v>2.2949999999999999</v>
      </c>
      <c r="G77" s="117">
        <v>2.2879999999999998</v>
      </c>
      <c r="H77" s="117">
        <v>2.2810000000000001</v>
      </c>
      <c r="I77" s="117">
        <v>2.2730000000000001</v>
      </c>
      <c r="J77" s="117">
        <v>2.266</v>
      </c>
      <c r="K77" s="117">
        <v>2.2589999999999999</v>
      </c>
      <c r="L77" s="117">
        <v>2.2509999999999999</v>
      </c>
      <c r="M77" s="117">
        <v>2.2440000000000002</v>
      </c>
    </row>
    <row r="78" spans="1:13" x14ac:dyDescent="0.25">
      <c r="A78" s="99">
        <v>101</v>
      </c>
      <c r="B78" s="117">
        <v>2.2400000000000002</v>
      </c>
      <c r="C78" s="117"/>
      <c r="D78" s="117"/>
      <c r="E78" s="117"/>
      <c r="F78" s="117"/>
      <c r="G78" s="117"/>
      <c r="H78" s="117"/>
      <c r="I78" s="117"/>
      <c r="J78" s="117"/>
      <c r="K78" s="117"/>
      <c r="L78" s="117"/>
      <c r="M78" s="117"/>
    </row>
  </sheetData>
  <sheetProtection algorithmName="SHA-512" hashValue="QfwzKQ1ZzVX/jejsQOO/116zZirBDhXmv2GHs1M41+Cabyk8GrsXRrFmHeVIiOrjcXnB8ZljHIkN6S1F4aIrxA==" saltValue="jHYHJx2MYQPEPLn385IwDg==" spinCount="100000" sheet="1" objects="1" scenarios="1"/>
  <conditionalFormatting sqref="A6:A21">
    <cfRule type="expression" dxfId="257" priority="13" stopIfTrue="1">
      <formula>MOD(ROW(),2)=0</formula>
    </cfRule>
    <cfRule type="expression" dxfId="256" priority="14" stopIfTrue="1">
      <formula>MOD(ROW(),2)&lt;&gt;0</formula>
    </cfRule>
  </conditionalFormatting>
  <conditionalFormatting sqref="A26:A78">
    <cfRule type="expression" dxfId="255" priority="7" stopIfTrue="1">
      <formula>MOD(ROW(),2)=0</formula>
    </cfRule>
    <cfRule type="expression" dxfId="254" priority="8" stopIfTrue="1">
      <formula>MOD(ROW(),2)&lt;&gt;0</formula>
    </cfRule>
  </conditionalFormatting>
  <conditionalFormatting sqref="B9">
    <cfRule type="expression" dxfId="253" priority="1" stopIfTrue="1">
      <formula>MOD(ROW(),2)=0</formula>
    </cfRule>
    <cfRule type="expression" dxfId="252" priority="2" stopIfTrue="1">
      <formula>MOD(ROW(),2)&lt;&gt;0</formula>
    </cfRule>
  </conditionalFormatting>
  <conditionalFormatting sqref="B17:B21">
    <cfRule type="expression" dxfId="251" priority="5" stopIfTrue="1">
      <formula>MOD(ROW(),2)=0</formula>
    </cfRule>
    <cfRule type="expression" dxfId="250" priority="6" stopIfTrue="1">
      <formula>MOD(ROW(),2)&lt;&gt;0</formula>
    </cfRule>
  </conditionalFormatting>
  <conditionalFormatting sqref="B6:M21">
    <cfRule type="expression" dxfId="249" priority="23" stopIfTrue="1">
      <formula>MOD(ROW(),2)=0</formula>
    </cfRule>
    <cfRule type="expression" dxfId="248" priority="24" stopIfTrue="1">
      <formula>MOD(ROW(),2)&lt;&gt;0</formula>
    </cfRule>
  </conditionalFormatting>
  <conditionalFormatting sqref="B26:M78">
    <cfRule type="expression" dxfId="247" priority="9" stopIfTrue="1">
      <formula>MOD(ROW(),2)=0</formula>
    </cfRule>
    <cfRule type="expression" dxfId="246" priority="10" stopIfTrue="1">
      <formula>MOD(ROW(),2)&lt;&gt;0</formula>
    </cfRule>
  </conditionalFormatting>
  <hyperlinks>
    <hyperlink ref="B24" location="Assumptions!A1" display="Assumptions" xr:uid="{ACEFAEC2-CA17-4EE4-8EDD-75C8E6256CD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EC49F-3046-426E-AAFB-B5C9C463EE36}">
  <sheetPr codeName="Sheet4"/>
  <dimension ref="A1:I78"/>
  <sheetViews>
    <sheetView showGridLines="0" zoomScale="85" zoomScaleNormal="85" workbookViewId="0">
      <selection activeCell="A4" sqref="A4"/>
    </sheetView>
  </sheetViews>
  <sheetFormatPr defaultColWidth="8.90625" defaultRowHeight="12.5" x14ac:dyDescent="0.25"/>
  <cols>
    <col min="1" max="1" width="31.90625" style="25" customWidth="1"/>
    <col min="2" max="2" width="17.90625" style="25" customWidth="1"/>
    <col min="3" max="16384" width="8.90625" style="25"/>
  </cols>
  <sheetData>
    <row r="1" spans="1:9" ht="20" x14ac:dyDescent="0.4">
      <c r="A1" s="36" t="s">
        <v>0</v>
      </c>
      <c r="B1" s="37"/>
      <c r="C1" s="37"/>
      <c r="D1" s="37"/>
      <c r="E1" s="37"/>
      <c r="F1" s="37"/>
      <c r="G1" s="37"/>
      <c r="H1" s="37"/>
      <c r="I1" s="37"/>
    </row>
    <row r="2" spans="1:9" ht="15.5" x14ac:dyDescent="0.35">
      <c r="A2" s="97" t="str">
        <f>IF(title="&gt; Enter workbook title here","Enter workbook title in Cover sheet",title)</f>
        <v>NHSPS_NI - Consolidated Factor Spreadsheet</v>
      </c>
      <c r="B2" s="39"/>
      <c r="C2" s="39"/>
      <c r="D2" s="39"/>
      <c r="E2" s="39"/>
      <c r="F2" s="39"/>
      <c r="G2" s="39"/>
      <c r="H2" s="39"/>
      <c r="I2" s="39"/>
    </row>
    <row r="3" spans="1:9" ht="15.5" x14ac:dyDescent="0.35">
      <c r="A3" s="40" t="str">
        <f>table_factor_type_1&amp;" - x-"&amp;table_Series_Number_1</f>
        <v>Club - CARE Benefit Adjustment Factors  - x-101</v>
      </c>
      <c r="B3" s="39"/>
      <c r="C3" s="39"/>
      <c r="D3" s="39"/>
      <c r="E3" s="39"/>
      <c r="F3" s="39"/>
      <c r="G3" s="39"/>
      <c r="H3" s="39"/>
      <c r="I3" s="39"/>
    </row>
    <row r="4" spans="1:9" x14ac:dyDescent="0.25">
      <c r="A4" s="41"/>
    </row>
    <row r="6" spans="1:9" ht="12.9" customHeight="1" x14ac:dyDescent="0.3">
      <c r="A6" s="83" t="s">
        <v>276</v>
      </c>
      <c r="B6" s="161" t="s">
        <v>277</v>
      </c>
      <c r="C6" s="86"/>
      <c r="D6" s="86"/>
      <c r="E6" s="86"/>
      <c r="F6" s="86"/>
    </row>
    <row r="7" spans="1:9" ht="14.15" customHeight="1" x14ac:dyDescent="0.25">
      <c r="A7" s="85" t="s">
        <v>278</v>
      </c>
      <c r="B7" s="161" t="s">
        <v>310</v>
      </c>
      <c r="C7" s="86"/>
      <c r="D7" s="86"/>
      <c r="E7" s="86"/>
      <c r="F7" s="86"/>
    </row>
    <row r="8" spans="1:9" ht="14.15" customHeight="1" x14ac:dyDescent="0.25">
      <c r="A8" s="85" t="s">
        <v>280</v>
      </c>
      <c r="B8" s="161" t="s">
        <v>74</v>
      </c>
      <c r="C8" s="86"/>
      <c r="D8" s="86"/>
      <c r="E8" s="86"/>
      <c r="F8" s="86"/>
    </row>
    <row r="9" spans="1:9" ht="14.15" customHeight="1" x14ac:dyDescent="0.25">
      <c r="A9" s="85" t="s">
        <v>282</v>
      </c>
      <c r="B9" s="161" t="s">
        <v>311</v>
      </c>
      <c r="C9" s="86"/>
      <c r="D9" s="86"/>
      <c r="E9" s="86"/>
      <c r="F9" s="86"/>
    </row>
    <row r="10" spans="1:9" ht="14.15" customHeight="1" x14ac:dyDescent="0.25">
      <c r="A10" s="85" t="s">
        <v>6</v>
      </c>
      <c r="B10" s="161" t="s">
        <v>312</v>
      </c>
      <c r="C10" s="86"/>
      <c r="D10" s="86"/>
      <c r="E10" s="86"/>
      <c r="F10" s="86"/>
    </row>
    <row r="11" spans="1:9" ht="14.15" customHeight="1" x14ac:dyDescent="0.25">
      <c r="A11" s="85" t="s">
        <v>285</v>
      </c>
      <c r="B11" s="161" t="s">
        <v>313</v>
      </c>
      <c r="C11" s="86"/>
      <c r="D11" s="86"/>
      <c r="E11" s="86"/>
      <c r="F11" s="86"/>
    </row>
    <row r="12" spans="1:9" ht="14.15" customHeight="1" x14ac:dyDescent="0.25">
      <c r="A12" s="85" t="s">
        <v>287</v>
      </c>
      <c r="B12" s="161" t="s">
        <v>314</v>
      </c>
      <c r="C12" s="86"/>
      <c r="D12" s="86"/>
      <c r="E12" s="86"/>
      <c r="F12" s="86"/>
    </row>
    <row r="13" spans="1:9" ht="14.15" customHeight="1" x14ac:dyDescent="0.25">
      <c r="A13" s="85" t="s">
        <v>289</v>
      </c>
      <c r="B13" s="161">
        <v>0</v>
      </c>
      <c r="C13" s="86"/>
      <c r="D13" s="86"/>
      <c r="E13" s="86"/>
      <c r="F13" s="86"/>
    </row>
    <row r="14" spans="1:9" ht="14.15" customHeight="1" x14ac:dyDescent="0.25">
      <c r="A14" s="85" t="s">
        <v>291</v>
      </c>
      <c r="B14" s="161">
        <v>101</v>
      </c>
      <c r="C14" s="86"/>
      <c r="D14" s="86"/>
      <c r="E14" s="86"/>
      <c r="F14" s="86"/>
    </row>
    <row r="15" spans="1:9" ht="14.15" customHeight="1" x14ac:dyDescent="0.25">
      <c r="A15" s="85" t="s">
        <v>293</v>
      </c>
      <c r="B15" s="161" t="s">
        <v>315</v>
      </c>
      <c r="C15" s="86"/>
      <c r="D15" s="86"/>
      <c r="E15" s="86"/>
      <c r="F15" s="86"/>
    </row>
    <row r="16" spans="1:9" ht="14.15" customHeight="1" x14ac:dyDescent="0.25">
      <c r="A16" s="85" t="s">
        <v>295</v>
      </c>
      <c r="B16" s="161" t="s">
        <v>316</v>
      </c>
      <c r="C16" s="86"/>
      <c r="D16" s="86"/>
      <c r="E16" s="86"/>
      <c r="F16" s="86"/>
    </row>
    <row r="17" spans="1:6" ht="28.4" customHeight="1" x14ac:dyDescent="0.25">
      <c r="A17" s="85" t="s">
        <v>725</v>
      </c>
      <c r="B17" s="161"/>
      <c r="C17" s="86"/>
      <c r="D17" s="86"/>
      <c r="E17" s="86"/>
      <c r="F17" s="86"/>
    </row>
    <row r="18" spans="1:6" ht="14.15" customHeight="1" x14ac:dyDescent="0.25">
      <c r="A18" s="85" t="s">
        <v>299</v>
      </c>
      <c r="B18" s="162">
        <v>45202</v>
      </c>
      <c r="C18" s="96"/>
      <c r="D18" s="96"/>
      <c r="E18" s="96"/>
      <c r="F18" s="96"/>
    </row>
    <row r="19" spans="1:6" ht="14.15" customHeight="1" x14ac:dyDescent="0.25">
      <c r="A19" s="85" t="s">
        <v>301</v>
      </c>
      <c r="B19" s="162">
        <v>45200</v>
      </c>
      <c r="C19" s="70"/>
      <c r="D19" s="70"/>
      <c r="E19" s="70"/>
      <c r="F19" s="70"/>
    </row>
    <row r="20" spans="1:6" ht="14.15" customHeight="1" x14ac:dyDescent="0.25">
      <c r="A20" s="85" t="s">
        <v>303</v>
      </c>
      <c r="B20" s="161" t="s">
        <v>317</v>
      </c>
      <c r="C20" s="70"/>
      <c r="D20" s="70"/>
      <c r="E20" s="70"/>
      <c r="F20" s="70"/>
    </row>
    <row r="21" spans="1:6" x14ac:dyDescent="0.25">
      <c r="A21" s="85" t="s">
        <v>309</v>
      </c>
      <c r="B21" s="161" t="s">
        <v>318</v>
      </c>
      <c r="C21" s="70"/>
      <c r="D21" s="70"/>
      <c r="E21" s="70"/>
      <c r="F21" s="70"/>
    </row>
    <row r="23" spans="1:6" x14ac:dyDescent="0.25">
      <c r="B23" s="103" t="str">
        <f>HYPERLINK("#'Factor List'!A1","Back to Factor List")</f>
        <v>Back to Factor List</v>
      </c>
    </row>
    <row r="24" spans="1:6" x14ac:dyDescent="0.25">
      <c r="B24" s="103" t="s">
        <v>15</v>
      </c>
    </row>
    <row r="26" spans="1:6" ht="26" x14ac:dyDescent="0.25">
      <c r="A26" s="87" t="s">
        <v>499</v>
      </c>
      <c r="B26" s="87" t="s">
        <v>726</v>
      </c>
    </row>
    <row r="27" spans="1:6" x14ac:dyDescent="0.25">
      <c r="A27" s="88">
        <v>16</v>
      </c>
      <c r="B27" s="89">
        <v>1.006</v>
      </c>
    </row>
    <row r="28" spans="1:6" x14ac:dyDescent="0.25">
      <c r="A28" s="88">
        <f>A27+1</f>
        <v>17</v>
      </c>
      <c r="B28" s="89">
        <v>1.006</v>
      </c>
    </row>
    <row r="29" spans="1:6" x14ac:dyDescent="0.25">
      <c r="A29" s="88">
        <f t="shared" ref="A29:A78" si="0">A28+1</f>
        <v>18</v>
      </c>
      <c r="B29" s="89">
        <v>1.006</v>
      </c>
    </row>
    <row r="30" spans="1:6" x14ac:dyDescent="0.25">
      <c r="A30" s="88">
        <f t="shared" si="0"/>
        <v>19</v>
      </c>
      <c r="B30" s="89">
        <v>1.006</v>
      </c>
    </row>
    <row r="31" spans="1:6" x14ac:dyDescent="0.25">
      <c r="A31" s="88">
        <f t="shared" si="0"/>
        <v>20</v>
      </c>
      <c r="B31" s="89">
        <v>1.006</v>
      </c>
    </row>
    <row r="32" spans="1:6" x14ac:dyDescent="0.25">
      <c r="A32" s="88">
        <f t="shared" si="0"/>
        <v>21</v>
      </c>
      <c r="B32" s="89">
        <v>1.006</v>
      </c>
    </row>
    <row r="33" spans="1:2" x14ac:dyDescent="0.25">
      <c r="A33" s="88">
        <f t="shared" si="0"/>
        <v>22</v>
      </c>
      <c r="B33" s="89">
        <v>1.006</v>
      </c>
    </row>
    <row r="34" spans="1:2" x14ac:dyDescent="0.25">
      <c r="A34" s="88">
        <f t="shared" si="0"/>
        <v>23</v>
      </c>
      <c r="B34" s="89">
        <v>1.006</v>
      </c>
    </row>
    <row r="35" spans="1:2" x14ac:dyDescent="0.25">
      <c r="A35" s="88">
        <f t="shared" si="0"/>
        <v>24</v>
      </c>
      <c r="B35" s="89">
        <v>1.006</v>
      </c>
    </row>
    <row r="36" spans="1:2" x14ac:dyDescent="0.25">
      <c r="A36" s="88">
        <f>A35+1</f>
        <v>25</v>
      </c>
      <c r="B36" s="89">
        <v>1.006</v>
      </c>
    </row>
    <row r="37" spans="1:2" x14ac:dyDescent="0.25">
      <c r="A37" s="88">
        <f t="shared" si="0"/>
        <v>26</v>
      </c>
      <c r="B37" s="89">
        <v>1.006</v>
      </c>
    </row>
    <row r="38" spans="1:2" x14ac:dyDescent="0.25">
      <c r="A38" s="88">
        <f t="shared" si="0"/>
        <v>27</v>
      </c>
      <c r="B38" s="89">
        <v>1.006</v>
      </c>
    </row>
    <row r="39" spans="1:2" x14ac:dyDescent="0.25">
      <c r="A39" s="88">
        <f t="shared" si="0"/>
        <v>28</v>
      </c>
      <c r="B39" s="89">
        <v>1.006</v>
      </c>
    </row>
    <row r="40" spans="1:2" x14ac:dyDescent="0.25">
      <c r="A40" s="88">
        <f>A39+1</f>
        <v>29</v>
      </c>
      <c r="B40" s="89">
        <v>1.006</v>
      </c>
    </row>
    <row r="41" spans="1:2" x14ac:dyDescent="0.25">
      <c r="A41" s="88">
        <f t="shared" si="0"/>
        <v>30</v>
      </c>
      <c r="B41" s="89">
        <v>1.006</v>
      </c>
    </row>
    <row r="42" spans="1:2" x14ac:dyDescent="0.25">
      <c r="A42" s="88">
        <f t="shared" si="0"/>
        <v>31</v>
      </c>
      <c r="B42" s="89">
        <v>1.006</v>
      </c>
    </row>
    <row r="43" spans="1:2" x14ac:dyDescent="0.25">
      <c r="A43" s="88">
        <f t="shared" si="0"/>
        <v>32</v>
      </c>
      <c r="B43" s="89">
        <v>1.006</v>
      </c>
    </row>
    <row r="44" spans="1:2" x14ac:dyDescent="0.25">
      <c r="A44" s="88">
        <f t="shared" si="0"/>
        <v>33</v>
      </c>
      <c r="B44" s="89">
        <v>1.006</v>
      </c>
    </row>
    <row r="45" spans="1:2" x14ac:dyDescent="0.25">
      <c r="A45" s="88">
        <f t="shared" si="0"/>
        <v>34</v>
      </c>
      <c r="B45" s="89">
        <v>1.006</v>
      </c>
    </row>
    <row r="46" spans="1:2" x14ac:dyDescent="0.25">
      <c r="A46" s="88">
        <f t="shared" si="0"/>
        <v>35</v>
      </c>
      <c r="B46" s="89">
        <v>1.006</v>
      </c>
    </row>
    <row r="47" spans="1:2" x14ac:dyDescent="0.25">
      <c r="A47" s="88">
        <f t="shared" si="0"/>
        <v>36</v>
      </c>
      <c r="B47" s="89">
        <v>1.006</v>
      </c>
    </row>
    <row r="48" spans="1:2" x14ac:dyDescent="0.25">
      <c r="A48" s="88">
        <f t="shared" si="0"/>
        <v>37</v>
      </c>
      <c r="B48" s="89">
        <v>1.006</v>
      </c>
    </row>
    <row r="49" spans="1:2" x14ac:dyDescent="0.25">
      <c r="A49" s="88">
        <f t="shared" si="0"/>
        <v>38</v>
      </c>
      <c r="B49" s="89">
        <v>1.006</v>
      </c>
    </row>
    <row r="50" spans="1:2" x14ac:dyDescent="0.25">
      <c r="A50" s="88">
        <f t="shared" si="0"/>
        <v>39</v>
      </c>
      <c r="B50" s="89">
        <v>1.006</v>
      </c>
    </row>
    <row r="51" spans="1:2" x14ac:dyDescent="0.25">
      <c r="A51" s="88">
        <f t="shared" si="0"/>
        <v>40</v>
      </c>
      <c r="B51" s="89">
        <v>1.006</v>
      </c>
    </row>
    <row r="52" spans="1:2" x14ac:dyDescent="0.25">
      <c r="A52" s="88">
        <f t="shared" si="0"/>
        <v>41</v>
      </c>
      <c r="B52" s="89">
        <v>1.006</v>
      </c>
    </row>
    <row r="53" spans="1:2" x14ac:dyDescent="0.25">
      <c r="A53" s="88">
        <f t="shared" si="0"/>
        <v>42</v>
      </c>
      <c r="B53" s="89">
        <v>1.006</v>
      </c>
    </row>
    <row r="54" spans="1:2" x14ac:dyDescent="0.25">
      <c r="A54" s="88">
        <f t="shared" si="0"/>
        <v>43</v>
      </c>
      <c r="B54" s="89">
        <v>1.006</v>
      </c>
    </row>
    <row r="55" spans="1:2" x14ac:dyDescent="0.25">
      <c r="A55" s="88">
        <f t="shared" si="0"/>
        <v>44</v>
      </c>
      <c r="B55" s="89">
        <v>1.006</v>
      </c>
    </row>
    <row r="56" spans="1:2" x14ac:dyDescent="0.25">
      <c r="A56" s="88">
        <f t="shared" si="0"/>
        <v>45</v>
      </c>
      <c r="B56" s="89">
        <v>1.006</v>
      </c>
    </row>
    <row r="57" spans="1:2" x14ac:dyDescent="0.25">
      <c r="A57" s="88">
        <f t="shared" si="0"/>
        <v>46</v>
      </c>
      <c r="B57" s="89">
        <v>1.006</v>
      </c>
    </row>
    <row r="58" spans="1:2" x14ac:dyDescent="0.25">
      <c r="A58" s="88">
        <f t="shared" si="0"/>
        <v>47</v>
      </c>
      <c r="B58" s="89">
        <v>1.006</v>
      </c>
    </row>
    <row r="59" spans="1:2" x14ac:dyDescent="0.25">
      <c r="A59" s="88">
        <f t="shared" si="0"/>
        <v>48</v>
      </c>
      <c r="B59" s="89">
        <v>1.006</v>
      </c>
    </row>
    <row r="60" spans="1:2" x14ac:dyDescent="0.25">
      <c r="A60" s="88">
        <f t="shared" si="0"/>
        <v>49</v>
      </c>
      <c r="B60" s="89">
        <v>1.006</v>
      </c>
    </row>
    <row r="61" spans="1:2" x14ac:dyDescent="0.25">
      <c r="A61" s="88">
        <f t="shared" si="0"/>
        <v>50</v>
      </c>
      <c r="B61" s="89">
        <v>1.006</v>
      </c>
    </row>
    <row r="62" spans="1:2" x14ac:dyDescent="0.25">
      <c r="A62" s="88">
        <f t="shared" si="0"/>
        <v>51</v>
      </c>
      <c r="B62" s="89">
        <v>1.006</v>
      </c>
    </row>
    <row r="63" spans="1:2" x14ac:dyDescent="0.25">
      <c r="A63" s="88">
        <f t="shared" si="0"/>
        <v>52</v>
      </c>
      <c r="B63" s="89">
        <v>1.006</v>
      </c>
    </row>
    <row r="64" spans="1:2" x14ac:dyDescent="0.25">
      <c r="A64" s="88">
        <f t="shared" si="0"/>
        <v>53</v>
      </c>
      <c r="B64" s="89">
        <v>1.0049999999999999</v>
      </c>
    </row>
    <row r="65" spans="1:2" x14ac:dyDescent="0.25">
      <c r="A65" s="88">
        <f t="shared" si="0"/>
        <v>54</v>
      </c>
      <c r="B65" s="89">
        <v>1.0049999999999999</v>
      </c>
    </row>
    <row r="66" spans="1:2" x14ac:dyDescent="0.25">
      <c r="A66" s="88">
        <f t="shared" si="0"/>
        <v>55</v>
      </c>
      <c r="B66" s="89">
        <v>1.0049999999999999</v>
      </c>
    </row>
    <row r="67" spans="1:2" x14ac:dyDescent="0.25">
      <c r="A67" s="88">
        <f t="shared" si="0"/>
        <v>56</v>
      </c>
      <c r="B67" s="89">
        <v>1.0049999999999999</v>
      </c>
    </row>
    <row r="68" spans="1:2" x14ac:dyDescent="0.25">
      <c r="A68" s="88">
        <f t="shared" si="0"/>
        <v>57</v>
      </c>
      <c r="B68" s="89">
        <v>1.0049999999999999</v>
      </c>
    </row>
    <row r="69" spans="1:2" x14ac:dyDescent="0.25">
      <c r="A69" s="88">
        <f t="shared" si="0"/>
        <v>58</v>
      </c>
      <c r="B69" s="89">
        <v>1.0049999999999999</v>
      </c>
    </row>
    <row r="70" spans="1:2" x14ac:dyDescent="0.25">
      <c r="A70" s="88">
        <f t="shared" si="0"/>
        <v>59</v>
      </c>
      <c r="B70" s="89">
        <v>1.0049999999999999</v>
      </c>
    </row>
    <row r="71" spans="1:2" x14ac:dyDescent="0.25">
      <c r="A71" s="88">
        <f t="shared" si="0"/>
        <v>60</v>
      </c>
      <c r="B71" s="89">
        <v>1.0049999999999999</v>
      </c>
    </row>
    <row r="72" spans="1:2" x14ac:dyDescent="0.25">
      <c r="A72" s="88">
        <f t="shared" si="0"/>
        <v>61</v>
      </c>
      <c r="B72" s="89">
        <v>1.0049999999999999</v>
      </c>
    </row>
    <row r="73" spans="1:2" x14ac:dyDescent="0.25">
      <c r="A73" s="88">
        <f t="shared" si="0"/>
        <v>62</v>
      </c>
      <c r="B73" s="89">
        <v>1.0049999999999999</v>
      </c>
    </row>
    <row r="74" spans="1:2" x14ac:dyDescent="0.25">
      <c r="A74" s="88">
        <f t="shared" si="0"/>
        <v>63</v>
      </c>
      <c r="B74" s="89">
        <v>1.0049999999999999</v>
      </c>
    </row>
    <row r="75" spans="1:2" x14ac:dyDescent="0.25">
      <c r="A75" s="88">
        <f t="shared" si="0"/>
        <v>64</v>
      </c>
      <c r="B75" s="89">
        <v>1.0049999999999999</v>
      </c>
    </row>
    <row r="76" spans="1:2" x14ac:dyDescent="0.25">
      <c r="A76" s="88">
        <f t="shared" si="0"/>
        <v>65</v>
      </c>
      <c r="B76" s="89">
        <v>1.004</v>
      </c>
    </row>
    <row r="77" spans="1:2" x14ac:dyDescent="0.25">
      <c r="A77" s="88">
        <f t="shared" si="0"/>
        <v>66</v>
      </c>
      <c r="B77" s="89">
        <v>1.004</v>
      </c>
    </row>
    <row r="78" spans="1:2" x14ac:dyDescent="0.25">
      <c r="A78" s="88">
        <f t="shared" si="0"/>
        <v>67</v>
      </c>
      <c r="B78" s="89">
        <v>1.004</v>
      </c>
    </row>
  </sheetData>
  <sheetProtection algorithmName="SHA-512" hashValue="DDlKeY4X7VTdAi3a17QyvDFU+aCfT59W/kpXDa0ss8iFYcN3LNYl82O7U1oIt2SUTOuNawK9WO+xHd9EUhwl8g==" saltValue="3YzQ6H6JGo4zSweVceM2fw==" spinCount="100000" sheet="1" objects="1" scenarios="1"/>
  <conditionalFormatting sqref="A6:A21">
    <cfRule type="expression" dxfId="1133" priority="25" stopIfTrue="1">
      <formula>MOD(ROW(),2)=0</formula>
    </cfRule>
    <cfRule type="expression" dxfId="1132" priority="26" stopIfTrue="1">
      <formula>MOD(ROW(),2)&lt;&gt;0</formula>
    </cfRule>
  </conditionalFormatting>
  <conditionalFormatting sqref="A26:A78">
    <cfRule type="expression" dxfId="1131" priority="11" stopIfTrue="1">
      <formula>MOD(ROW(),2)=0</formula>
    </cfRule>
    <cfRule type="expression" dxfId="1130" priority="12" stopIfTrue="1">
      <formula>MOD(ROW(),2)&lt;&gt;0</formula>
    </cfRule>
  </conditionalFormatting>
  <conditionalFormatting sqref="B6:B21">
    <cfRule type="expression" dxfId="1129" priority="27" stopIfTrue="1">
      <formula>MOD(ROW(),2)=0</formula>
    </cfRule>
  </conditionalFormatting>
  <conditionalFormatting sqref="B26:B78">
    <cfRule type="expression" dxfId="1128" priority="13" stopIfTrue="1">
      <formula>MOD(ROW(),2)=0</formula>
    </cfRule>
    <cfRule type="expression" dxfId="1127" priority="14" stopIfTrue="1">
      <formula>MOD(ROW(),2)&lt;&gt;0</formula>
    </cfRule>
  </conditionalFormatting>
  <conditionalFormatting sqref="B6:F16 B6:B21">
    <cfRule type="expression" dxfId="1126" priority="28" stopIfTrue="1">
      <formula>MOD(ROW(),2)&lt;&gt;0</formula>
    </cfRule>
  </conditionalFormatting>
  <conditionalFormatting sqref="B6:F21">
    <cfRule type="expression" dxfId="1125" priority="1" stopIfTrue="1">
      <formula>MOD(ROW(),2)=0</formula>
    </cfRule>
  </conditionalFormatting>
  <conditionalFormatting sqref="B17:F21">
    <cfRule type="expression" dxfId="1124" priority="2" stopIfTrue="1">
      <formula>MOD(ROW(),2)&lt;&gt;0</formula>
    </cfRule>
  </conditionalFormatting>
  <hyperlinks>
    <hyperlink ref="B24" location="Assumptions!A1" display="Assumptions" xr:uid="{090A2E46-6921-4F3A-953F-AB1996F0284A}"/>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75"/>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x-803</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580</v>
      </c>
      <c r="C8" s="161"/>
      <c r="D8" s="161"/>
      <c r="E8" s="161"/>
      <c r="F8" s="161"/>
      <c r="G8" s="161"/>
      <c r="H8" s="161"/>
      <c r="I8" s="161"/>
      <c r="J8" s="161"/>
      <c r="K8" s="161"/>
      <c r="L8" s="161"/>
      <c r="M8" s="161"/>
    </row>
    <row r="9" spans="1:13" x14ac:dyDescent="0.25">
      <c r="A9" s="85" t="s">
        <v>282</v>
      </c>
      <c r="B9" s="161" t="s">
        <v>396</v>
      </c>
      <c r="C9" s="161"/>
      <c r="D9" s="161"/>
      <c r="E9" s="161"/>
      <c r="F9" s="161"/>
      <c r="G9" s="161"/>
      <c r="H9" s="161"/>
      <c r="I9" s="161"/>
      <c r="J9" s="161"/>
      <c r="K9" s="161"/>
      <c r="L9" s="161"/>
      <c r="M9" s="161"/>
    </row>
    <row r="10" spans="1:13" x14ac:dyDescent="0.25">
      <c r="A10" s="85" t="s">
        <v>6</v>
      </c>
      <c r="B10" s="161" t="s">
        <v>588</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589</v>
      </c>
      <c r="C12" s="161"/>
      <c r="D12" s="161"/>
      <c r="E12" s="161"/>
      <c r="F12" s="161"/>
      <c r="G12" s="161"/>
      <c r="H12" s="161"/>
      <c r="I12" s="161"/>
      <c r="J12" s="161"/>
      <c r="K12" s="161"/>
      <c r="L12" s="161"/>
      <c r="M12" s="161"/>
    </row>
    <row r="13" spans="1:13" x14ac:dyDescent="0.25">
      <c r="A13" s="85" t="s">
        <v>289</v>
      </c>
      <c r="B13" s="161">
        <v>0</v>
      </c>
      <c r="C13" s="161"/>
      <c r="D13" s="161"/>
      <c r="E13" s="161"/>
      <c r="F13" s="161"/>
      <c r="G13" s="161"/>
      <c r="H13" s="161"/>
      <c r="I13" s="161"/>
      <c r="J13" s="161"/>
      <c r="K13" s="161"/>
      <c r="L13" s="161"/>
      <c r="M13" s="161"/>
    </row>
    <row r="14" spans="1:13" x14ac:dyDescent="0.25">
      <c r="A14" s="85" t="s">
        <v>291</v>
      </c>
      <c r="B14" s="161">
        <v>803</v>
      </c>
      <c r="C14" s="161"/>
      <c r="D14" s="161"/>
      <c r="E14" s="161"/>
      <c r="F14" s="161"/>
      <c r="G14" s="161"/>
      <c r="H14" s="161"/>
      <c r="I14" s="161"/>
      <c r="J14" s="161"/>
      <c r="K14" s="161"/>
      <c r="L14" s="161"/>
      <c r="M14" s="161"/>
    </row>
    <row r="15" spans="1:13" x14ac:dyDescent="0.25">
      <c r="A15" s="85" t="s">
        <v>293</v>
      </c>
      <c r="B15" s="161" t="s">
        <v>590</v>
      </c>
      <c r="C15" s="161"/>
      <c r="D15" s="161"/>
      <c r="E15" s="161"/>
      <c r="F15" s="161"/>
      <c r="G15" s="161"/>
      <c r="H15" s="161"/>
      <c r="I15" s="161"/>
      <c r="J15" s="161"/>
      <c r="K15" s="161"/>
      <c r="L15" s="161"/>
      <c r="M15" s="161"/>
    </row>
    <row r="16" spans="1:13" x14ac:dyDescent="0.25">
      <c r="A16" s="85" t="s">
        <v>295</v>
      </c>
      <c r="B16" s="161" t="s">
        <v>591</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45135</v>
      </c>
      <c r="C18" s="161"/>
      <c r="D18" s="161"/>
      <c r="E18" s="161"/>
      <c r="F18" s="161"/>
      <c r="G18" s="161"/>
      <c r="H18" s="161"/>
      <c r="I18" s="161"/>
      <c r="J18" s="161"/>
      <c r="K18" s="161"/>
      <c r="L18" s="161"/>
      <c r="M18" s="161"/>
    </row>
    <row r="19" spans="1:13" x14ac:dyDescent="0.25">
      <c r="A19" s="85" t="s">
        <v>301</v>
      </c>
      <c r="B19" s="162">
        <v>45200</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50</v>
      </c>
      <c r="B27" s="117">
        <v>0.08</v>
      </c>
      <c r="C27" s="117">
        <v>7.9000000000000001E-2</v>
      </c>
      <c r="D27" s="117">
        <v>7.8E-2</v>
      </c>
      <c r="E27" s="117">
        <v>7.5999999999999998E-2</v>
      </c>
      <c r="F27" s="117">
        <v>7.4999999999999997E-2</v>
      </c>
      <c r="G27" s="117">
        <v>7.3999999999999996E-2</v>
      </c>
      <c r="H27" s="117">
        <v>7.1999999999999995E-2</v>
      </c>
      <c r="I27" s="117">
        <v>7.0999999999999994E-2</v>
      </c>
      <c r="J27" s="117">
        <v>7.0000000000000007E-2</v>
      </c>
      <c r="K27" s="117">
        <v>6.8000000000000005E-2</v>
      </c>
      <c r="L27" s="117">
        <v>6.7000000000000004E-2</v>
      </c>
      <c r="M27" s="117">
        <v>6.6000000000000003E-2</v>
      </c>
    </row>
    <row r="28" spans="1:13" x14ac:dyDescent="0.25">
      <c r="A28" s="99">
        <v>51</v>
      </c>
      <c r="B28" s="117">
        <v>6.5000000000000002E-2</v>
      </c>
      <c r="C28" s="117">
        <v>6.3E-2</v>
      </c>
      <c r="D28" s="117">
        <v>6.2E-2</v>
      </c>
      <c r="E28" s="117">
        <v>6.0999999999999999E-2</v>
      </c>
      <c r="F28" s="117">
        <v>5.8999999999999997E-2</v>
      </c>
      <c r="G28" s="117">
        <v>5.8000000000000003E-2</v>
      </c>
      <c r="H28" s="117">
        <v>5.7000000000000002E-2</v>
      </c>
      <c r="I28" s="117">
        <v>5.5E-2</v>
      </c>
      <c r="J28" s="117">
        <v>5.3999999999999999E-2</v>
      </c>
      <c r="K28" s="117">
        <v>5.2999999999999999E-2</v>
      </c>
      <c r="L28" s="117">
        <v>5.0999999999999997E-2</v>
      </c>
      <c r="M28" s="117">
        <v>0.05</v>
      </c>
    </row>
    <row r="29" spans="1:13" x14ac:dyDescent="0.25">
      <c r="A29" s="99">
        <v>52</v>
      </c>
      <c r="B29" s="117">
        <v>4.9000000000000002E-2</v>
      </c>
      <c r="C29" s="117">
        <v>4.7E-2</v>
      </c>
      <c r="D29" s="117">
        <v>4.5999999999999999E-2</v>
      </c>
      <c r="E29" s="117">
        <v>4.4999999999999998E-2</v>
      </c>
      <c r="F29" s="117">
        <v>4.2999999999999997E-2</v>
      </c>
      <c r="G29" s="117">
        <v>4.2000000000000003E-2</v>
      </c>
      <c r="H29" s="117">
        <v>4.1000000000000002E-2</v>
      </c>
      <c r="I29" s="117">
        <v>3.9E-2</v>
      </c>
      <c r="J29" s="117">
        <v>3.7999999999999999E-2</v>
      </c>
      <c r="K29" s="117">
        <v>3.6999999999999998E-2</v>
      </c>
      <c r="L29" s="117">
        <v>3.5000000000000003E-2</v>
      </c>
      <c r="M29" s="117">
        <v>3.4000000000000002E-2</v>
      </c>
    </row>
    <row r="30" spans="1:13" x14ac:dyDescent="0.25">
      <c r="A30" s="99">
        <v>53</v>
      </c>
      <c r="B30" s="117">
        <v>3.2000000000000001E-2</v>
      </c>
      <c r="C30" s="117">
        <v>3.1E-2</v>
      </c>
      <c r="D30" s="117">
        <v>0.03</v>
      </c>
      <c r="E30" s="117">
        <v>2.8000000000000001E-2</v>
      </c>
      <c r="F30" s="117">
        <v>2.7E-2</v>
      </c>
      <c r="G30" s="117">
        <v>2.5999999999999999E-2</v>
      </c>
      <c r="H30" s="117">
        <v>2.4E-2</v>
      </c>
      <c r="I30" s="117">
        <v>2.3E-2</v>
      </c>
      <c r="J30" s="117">
        <v>2.1999999999999999E-2</v>
      </c>
      <c r="K30" s="117">
        <v>0.02</v>
      </c>
      <c r="L30" s="117">
        <v>1.9E-2</v>
      </c>
      <c r="M30" s="117">
        <v>1.7000000000000001E-2</v>
      </c>
    </row>
    <row r="31" spans="1:13" x14ac:dyDescent="0.25">
      <c r="A31" s="99">
        <v>54</v>
      </c>
      <c r="B31" s="117">
        <v>1.6E-2</v>
      </c>
      <c r="C31" s="117">
        <v>1.4999999999999999E-2</v>
      </c>
      <c r="D31" s="117">
        <v>1.2999999999999999E-2</v>
      </c>
      <c r="E31" s="117">
        <v>1.2E-2</v>
      </c>
      <c r="F31" s="117">
        <v>0.01</v>
      </c>
      <c r="G31" s="117">
        <v>8.9999999999999993E-3</v>
      </c>
      <c r="H31" s="117">
        <v>8.0000000000000002E-3</v>
      </c>
      <c r="I31" s="117">
        <v>6.0000000000000001E-3</v>
      </c>
      <c r="J31" s="117">
        <v>5.0000000000000001E-3</v>
      </c>
      <c r="K31" s="117">
        <v>3.0000000000000001E-3</v>
      </c>
      <c r="L31" s="117">
        <v>2E-3</v>
      </c>
      <c r="M31" s="117">
        <v>1E-3</v>
      </c>
    </row>
    <row r="32" spans="1:13" x14ac:dyDescent="0.25">
      <c r="A32" s="99">
        <v>55</v>
      </c>
      <c r="B32" s="117">
        <v>0</v>
      </c>
      <c r="C32" s="117"/>
      <c r="D32" s="117"/>
      <c r="E32" s="117"/>
      <c r="F32" s="117"/>
      <c r="G32" s="117"/>
      <c r="H32" s="117"/>
      <c r="I32" s="117"/>
      <c r="J32" s="117"/>
      <c r="K32" s="117"/>
      <c r="L32" s="117"/>
      <c r="M32" s="117"/>
    </row>
    <row r="44" ht="39.65" customHeight="1" x14ac:dyDescent="0.25"/>
    <row r="46" ht="27.65" customHeight="1" x14ac:dyDescent="0.25"/>
  </sheetData>
  <sheetProtection algorithmName="SHA-512" hashValue="xCTCP3uie0G5rvVQ/Fw2PqDm8CqjQ2+H6teTQIKjclsylBIGnavjjVtXadqYTmc2JrsBUme0mkgn63bcGyN61A==" saltValue="R+oXqMU8pXdN/MDKxrkuvw==" spinCount="100000" sheet="1" objects="1" scenarios="1"/>
  <conditionalFormatting sqref="A6:A21">
    <cfRule type="expression" dxfId="245" priority="9" stopIfTrue="1">
      <formula>MOD(ROW(),2)=0</formula>
    </cfRule>
    <cfRule type="expression" dxfId="244" priority="10" stopIfTrue="1">
      <formula>MOD(ROW(),2)&lt;&gt;0</formula>
    </cfRule>
  </conditionalFormatting>
  <conditionalFormatting sqref="A26:A32">
    <cfRule type="expression" dxfId="243" priority="3" stopIfTrue="1">
      <formula>MOD(ROW(),2)=0</formula>
    </cfRule>
    <cfRule type="expression" dxfId="242" priority="4" stopIfTrue="1">
      <formula>MOD(ROW(),2)&lt;&gt;0</formula>
    </cfRule>
  </conditionalFormatting>
  <conditionalFormatting sqref="B9">
    <cfRule type="expression" dxfId="241" priority="1" stopIfTrue="1">
      <formula>MOD(ROW(),2)=0</formula>
    </cfRule>
    <cfRule type="expression" dxfId="240" priority="2" stopIfTrue="1">
      <formula>MOD(ROW(),2)&lt;&gt;0</formula>
    </cfRule>
  </conditionalFormatting>
  <conditionalFormatting sqref="B17:B21">
    <cfRule type="expression" dxfId="239" priority="7" stopIfTrue="1">
      <formula>MOD(ROW(),2)=0</formula>
    </cfRule>
    <cfRule type="expression" dxfId="238" priority="8" stopIfTrue="1">
      <formula>MOD(ROW(),2)&lt;&gt;0</formula>
    </cfRule>
  </conditionalFormatting>
  <conditionalFormatting sqref="B6:M21">
    <cfRule type="expression" dxfId="237" priority="19" stopIfTrue="1">
      <formula>MOD(ROW(),2)=0</formula>
    </cfRule>
    <cfRule type="expression" dxfId="236" priority="20" stopIfTrue="1">
      <formula>MOD(ROW(),2)&lt;&gt;0</formula>
    </cfRule>
  </conditionalFormatting>
  <conditionalFormatting sqref="B26:M32">
    <cfRule type="expression" dxfId="235" priority="5" stopIfTrue="1">
      <formula>MOD(ROW(),2)=0</formula>
    </cfRule>
    <cfRule type="expression" dxfId="234" priority="6" stopIfTrue="1">
      <formula>MOD(ROW(),2)&lt;&gt;0</formula>
    </cfRule>
  </conditionalFormatting>
  <hyperlinks>
    <hyperlink ref="B24" location="Assumptions!A1" display="Assumptions" xr:uid="{9215A070-C5A7-4F03-BFDF-1CCDF3DBB7E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76"/>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x-804</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580</v>
      </c>
      <c r="C8" s="161"/>
      <c r="D8" s="161"/>
      <c r="E8" s="161"/>
      <c r="F8" s="161"/>
      <c r="G8" s="161"/>
      <c r="H8" s="161"/>
      <c r="I8" s="161"/>
      <c r="J8" s="161"/>
      <c r="K8" s="161"/>
      <c r="L8" s="161"/>
      <c r="M8" s="161"/>
    </row>
    <row r="9" spans="1:13" x14ac:dyDescent="0.25">
      <c r="A9" s="85" t="s">
        <v>282</v>
      </c>
      <c r="B9" s="161" t="s">
        <v>396</v>
      </c>
      <c r="C9" s="161"/>
      <c r="D9" s="161"/>
      <c r="E9" s="161"/>
      <c r="F9" s="161"/>
      <c r="G9" s="161"/>
      <c r="H9" s="161"/>
      <c r="I9" s="161"/>
      <c r="J9" s="161"/>
      <c r="K9" s="161"/>
      <c r="L9" s="161"/>
      <c r="M9" s="161"/>
    </row>
    <row r="10" spans="1:13" x14ac:dyDescent="0.25">
      <c r="A10" s="85" t="s">
        <v>6</v>
      </c>
      <c r="B10" s="161" t="s">
        <v>592</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582</v>
      </c>
      <c r="C12" s="161"/>
      <c r="D12" s="161"/>
      <c r="E12" s="161"/>
      <c r="F12" s="161"/>
      <c r="G12" s="161"/>
      <c r="H12" s="161"/>
      <c r="I12" s="161"/>
      <c r="J12" s="161"/>
      <c r="K12" s="161"/>
      <c r="L12" s="161"/>
      <c r="M12" s="161"/>
    </row>
    <row r="13" spans="1:13" x14ac:dyDescent="0.25">
      <c r="A13" s="85" t="s">
        <v>289</v>
      </c>
      <c r="B13" s="161">
        <v>0</v>
      </c>
      <c r="C13" s="161"/>
      <c r="D13" s="161"/>
      <c r="E13" s="161"/>
      <c r="F13" s="161"/>
      <c r="G13" s="161"/>
      <c r="H13" s="161"/>
      <c r="I13" s="161"/>
      <c r="J13" s="161"/>
      <c r="K13" s="161"/>
      <c r="L13" s="161"/>
      <c r="M13" s="161"/>
    </row>
    <row r="14" spans="1:13" x14ac:dyDescent="0.25">
      <c r="A14" s="85" t="s">
        <v>291</v>
      </c>
      <c r="B14" s="161">
        <v>804</v>
      </c>
      <c r="C14" s="161"/>
      <c r="D14" s="161"/>
      <c r="E14" s="161"/>
      <c r="F14" s="161"/>
      <c r="G14" s="161"/>
      <c r="H14" s="161"/>
      <c r="I14" s="161"/>
      <c r="J14" s="161"/>
      <c r="K14" s="161"/>
      <c r="L14" s="161"/>
      <c r="M14" s="161"/>
    </row>
    <row r="15" spans="1:13" x14ac:dyDescent="0.25">
      <c r="A15" s="85" t="s">
        <v>293</v>
      </c>
      <c r="B15" s="161" t="s">
        <v>593</v>
      </c>
      <c r="C15" s="161"/>
      <c r="D15" s="161"/>
      <c r="E15" s="161"/>
      <c r="F15" s="161"/>
      <c r="G15" s="161"/>
      <c r="H15" s="161"/>
      <c r="I15" s="161"/>
      <c r="J15" s="161"/>
      <c r="K15" s="161"/>
      <c r="L15" s="161"/>
      <c r="M15" s="161"/>
    </row>
    <row r="16" spans="1:13" x14ac:dyDescent="0.25">
      <c r="A16" s="85" t="s">
        <v>295</v>
      </c>
      <c r="B16" s="161" t="s">
        <v>594</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45135</v>
      </c>
      <c r="C18" s="161"/>
      <c r="D18" s="161"/>
      <c r="E18" s="161"/>
      <c r="F18" s="161"/>
      <c r="G18" s="161"/>
      <c r="H18" s="161"/>
      <c r="I18" s="161"/>
      <c r="J18" s="161"/>
      <c r="K18" s="161"/>
      <c r="L18" s="161"/>
      <c r="M18" s="161"/>
    </row>
    <row r="19" spans="1:13" x14ac:dyDescent="0.25">
      <c r="A19" s="85" t="s">
        <v>301</v>
      </c>
      <c r="B19" s="162">
        <v>45200</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50</v>
      </c>
      <c r="B27" s="117">
        <v>8.8840000000000003</v>
      </c>
      <c r="C27" s="117">
        <v>8.82</v>
      </c>
      <c r="D27" s="117">
        <v>8.7569999999999997</v>
      </c>
      <c r="E27" s="117">
        <v>8.6929999999999996</v>
      </c>
      <c r="F27" s="117">
        <v>8.6289999999999996</v>
      </c>
      <c r="G27" s="117">
        <v>8.5649999999999995</v>
      </c>
      <c r="H27" s="117">
        <v>8.5020000000000007</v>
      </c>
      <c r="I27" s="117">
        <v>8.4380000000000006</v>
      </c>
      <c r="J27" s="117">
        <v>8.3740000000000006</v>
      </c>
      <c r="K27" s="117">
        <v>8.3109999999999999</v>
      </c>
      <c r="L27" s="117">
        <v>8.2469999999999999</v>
      </c>
      <c r="M27" s="117">
        <v>8.1829999999999998</v>
      </c>
    </row>
    <row r="28" spans="1:13" x14ac:dyDescent="0.25">
      <c r="A28" s="99">
        <v>51</v>
      </c>
      <c r="B28" s="117">
        <v>8.1180000000000003</v>
      </c>
      <c r="C28" s="117">
        <v>8.0519999999999996</v>
      </c>
      <c r="D28" s="117">
        <v>7.9859999999999998</v>
      </c>
      <c r="E28" s="117">
        <v>7.9189999999999996</v>
      </c>
      <c r="F28" s="117">
        <v>7.8529999999999998</v>
      </c>
      <c r="G28" s="117">
        <v>7.7869999999999999</v>
      </c>
      <c r="H28" s="117">
        <v>7.7210000000000001</v>
      </c>
      <c r="I28" s="117">
        <v>7.6539999999999999</v>
      </c>
      <c r="J28" s="117">
        <v>7.5880000000000001</v>
      </c>
      <c r="K28" s="117">
        <v>7.5220000000000002</v>
      </c>
      <c r="L28" s="117">
        <v>7.4560000000000004</v>
      </c>
      <c r="M28" s="117">
        <v>7.3890000000000002</v>
      </c>
    </row>
    <row r="29" spans="1:13" x14ac:dyDescent="0.25">
      <c r="A29" s="99">
        <v>52</v>
      </c>
      <c r="B29" s="117">
        <v>7.3220000000000001</v>
      </c>
      <c r="C29" s="117">
        <v>7.2530000000000001</v>
      </c>
      <c r="D29" s="117">
        <v>7.1840000000000002</v>
      </c>
      <c r="E29" s="117">
        <v>7.1150000000000002</v>
      </c>
      <c r="F29" s="117">
        <v>7.0460000000000003</v>
      </c>
      <c r="G29" s="117">
        <v>6.9770000000000003</v>
      </c>
      <c r="H29" s="117">
        <v>6.9089999999999998</v>
      </c>
      <c r="I29" s="117">
        <v>6.84</v>
      </c>
      <c r="J29" s="117">
        <v>6.7709999999999999</v>
      </c>
      <c r="K29" s="117">
        <v>6.702</v>
      </c>
      <c r="L29" s="117">
        <v>6.633</v>
      </c>
      <c r="M29" s="117">
        <v>6.5640000000000001</v>
      </c>
    </row>
    <row r="30" spans="1:13" x14ac:dyDescent="0.25">
      <c r="A30" s="99">
        <v>53</v>
      </c>
      <c r="B30" s="117">
        <v>6.4939999999999998</v>
      </c>
      <c r="C30" s="117">
        <v>6.4219999999999997</v>
      </c>
      <c r="D30" s="117">
        <v>6.351</v>
      </c>
      <c r="E30" s="117">
        <v>6.2789999999999999</v>
      </c>
      <c r="F30" s="117">
        <v>6.2069999999999999</v>
      </c>
      <c r="G30" s="117">
        <v>6.1360000000000001</v>
      </c>
      <c r="H30" s="117">
        <v>6.0640000000000001</v>
      </c>
      <c r="I30" s="117">
        <v>5.992</v>
      </c>
      <c r="J30" s="117">
        <v>5.9210000000000003</v>
      </c>
      <c r="K30" s="117">
        <v>5.8490000000000002</v>
      </c>
      <c r="L30" s="117">
        <v>5.7779999999999996</v>
      </c>
      <c r="M30" s="117">
        <v>5.7060000000000004</v>
      </c>
    </row>
    <row r="31" spans="1:13" x14ac:dyDescent="0.25">
      <c r="A31" s="99">
        <v>54</v>
      </c>
      <c r="B31" s="117">
        <v>5.633</v>
      </c>
      <c r="C31" s="117">
        <v>5.5579999999999998</v>
      </c>
      <c r="D31" s="117">
        <v>5.484</v>
      </c>
      <c r="E31" s="117">
        <v>5.4089999999999998</v>
      </c>
      <c r="F31" s="117">
        <v>5.335</v>
      </c>
      <c r="G31" s="117">
        <v>5.26</v>
      </c>
      <c r="H31" s="117">
        <v>5.1859999999999999</v>
      </c>
      <c r="I31" s="117">
        <v>5.1109999999999998</v>
      </c>
      <c r="J31" s="117">
        <v>5.0369999999999999</v>
      </c>
      <c r="K31" s="117">
        <v>4.9619999999999997</v>
      </c>
      <c r="L31" s="117">
        <v>4.8879999999999999</v>
      </c>
      <c r="M31" s="117">
        <v>4.8129999999999997</v>
      </c>
    </row>
    <row r="32" spans="1:13" x14ac:dyDescent="0.25">
      <c r="A32" s="99">
        <v>55</v>
      </c>
      <c r="B32" s="117">
        <v>4.7380000000000004</v>
      </c>
      <c r="C32" s="117">
        <v>4.6609999999999996</v>
      </c>
      <c r="D32" s="117">
        <v>4.5839999999999996</v>
      </c>
      <c r="E32" s="117">
        <v>4.5069999999999997</v>
      </c>
      <c r="F32" s="117">
        <v>4.43</v>
      </c>
      <c r="G32" s="117">
        <v>4.3529999999999998</v>
      </c>
      <c r="H32" s="117">
        <v>4.2759999999999998</v>
      </c>
      <c r="I32" s="117">
        <v>4.2</v>
      </c>
      <c r="J32" s="117">
        <v>4.1230000000000002</v>
      </c>
      <c r="K32" s="117">
        <v>4.0460000000000003</v>
      </c>
      <c r="L32" s="117">
        <v>3.9689999999999999</v>
      </c>
      <c r="M32" s="117">
        <v>3.8919999999999999</v>
      </c>
    </row>
    <row r="33" spans="1:13" x14ac:dyDescent="0.25">
      <c r="A33" s="99">
        <v>56</v>
      </c>
      <c r="B33" s="117">
        <v>3.8149999999999999</v>
      </c>
      <c r="C33" s="117">
        <v>3.7360000000000002</v>
      </c>
      <c r="D33" s="117">
        <v>3.6579999999999999</v>
      </c>
      <c r="E33" s="117">
        <v>3.58</v>
      </c>
      <c r="F33" s="117">
        <v>3.5019999999999998</v>
      </c>
      <c r="G33" s="117">
        <v>3.4239999999999999</v>
      </c>
      <c r="H33" s="117">
        <v>3.3460000000000001</v>
      </c>
      <c r="I33" s="117">
        <v>3.2679999999999998</v>
      </c>
      <c r="J33" s="117">
        <v>3.19</v>
      </c>
      <c r="K33" s="117">
        <v>3.1110000000000002</v>
      </c>
      <c r="L33" s="117">
        <v>3.0329999999999999</v>
      </c>
      <c r="M33" s="117">
        <v>2.9550000000000001</v>
      </c>
    </row>
    <row r="34" spans="1:13" x14ac:dyDescent="0.25">
      <c r="A34" s="99">
        <v>57</v>
      </c>
      <c r="B34" s="117">
        <v>2.8759999999999999</v>
      </c>
      <c r="C34" s="117">
        <v>2.7970000000000002</v>
      </c>
      <c r="D34" s="117">
        <v>2.7170000000000001</v>
      </c>
      <c r="E34" s="117">
        <v>2.6379999999999999</v>
      </c>
      <c r="F34" s="117">
        <v>2.5579999999999998</v>
      </c>
      <c r="G34" s="117">
        <v>2.4790000000000001</v>
      </c>
      <c r="H34" s="117">
        <v>2.399</v>
      </c>
      <c r="I34" s="117">
        <v>2.3199999999999998</v>
      </c>
      <c r="J34" s="117">
        <v>2.2400000000000002</v>
      </c>
      <c r="K34" s="117">
        <v>2.161</v>
      </c>
      <c r="L34" s="117">
        <v>2.081</v>
      </c>
      <c r="M34" s="117">
        <v>2.0019999999999998</v>
      </c>
    </row>
    <row r="35" spans="1:13" x14ac:dyDescent="0.25">
      <c r="A35" s="99">
        <v>58</v>
      </c>
      <c r="B35" s="117">
        <v>1.9219999999999999</v>
      </c>
      <c r="C35" s="117">
        <v>1.841</v>
      </c>
      <c r="D35" s="117">
        <v>1.76</v>
      </c>
      <c r="E35" s="117">
        <v>1.679</v>
      </c>
      <c r="F35" s="117">
        <v>1.5980000000000001</v>
      </c>
      <c r="G35" s="117">
        <v>1.5169999999999999</v>
      </c>
      <c r="H35" s="117">
        <v>1.4359999999999999</v>
      </c>
      <c r="I35" s="117">
        <v>1.355</v>
      </c>
      <c r="J35" s="117">
        <v>1.274</v>
      </c>
      <c r="K35" s="117">
        <v>1.1930000000000001</v>
      </c>
      <c r="L35" s="117">
        <v>1.1120000000000001</v>
      </c>
      <c r="M35" s="117">
        <v>1.0309999999999999</v>
      </c>
    </row>
    <row r="36" spans="1:13" x14ac:dyDescent="0.25">
      <c r="A36" s="99">
        <v>59</v>
      </c>
      <c r="B36" s="117">
        <v>0.94899999999999995</v>
      </c>
      <c r="C36" s="117">
        <v>0.86699999999999999</v>
      </c>
      <c r="D36" s="117">
        <v>0.78400000000000003</v>
      </c>
      <c r="E36" s="117">
        <v>0.70199999999999996</v>
      </c>
      <c r="F36" s="117">
        <v>0.61899999999999999</v>
      </c>
      <c r="G36" s="117">
        <v>0.53600000000000003</v>
      </c>
      <c r="H36" s="117">
        <v>0.45400000000000001</v>
      </c>
      <c r="I36" s="117">
        <v>0.371</v>
      </c>
      <c r="J36" s="117">
        <v>0.28899999999999998</v>
      </c>
      <c r="K36" s="117">
        <v>0.20599999999999999</v>
      </c>
      <c r="L36" s="117">
        <v>0.124</v>
      </c>
      <c r="M36" s="117">
        <v>4.1000000000000002E-2</v>
      </c>
    </row>
    <row r="37" spans="1:13" x14ac:dyDescent="0.25">
      <c r="A37" s="99">
        <v>60</v>
      </c>
      <c r="B37" s="117">
        <v>0</v>
      </c>
      <c r="C37" s="117"/>
      <c r="D37" s="117"/>
      <c r="E37" s="117"/>
      <c r="F37" s="117"/>
      <c r="G37" s="117"/>
      <c r="H37" s="117"/>
      <c r="I37" s="117"/>
      <c r="J37" s="117"/>
      <c r="K37" s="117"/>
      <c r="L37" s="117"/>
      <c r="M37" s="117"/>
    </row>
    <row r="44" spans="1:13" ht="39.65" customHeight="1" x14ac:dyDescent="0.25"/>
    <row r="46" spans="1:13" ht="27.65" customHeight="1" x14ac:dyDescent="0.25"/>
  </sheetData>
  <sheetProtection algorithmName="SHA-512" hashValue="3249cOerWthFZTSj2+DO+RBqXppYA4UNwn2aJvXbxHzfZ6qUu4AidO+mNw8SDVV2SaybylhuI2kDijUwBKDNXg==" saltValue="sVd6lnIVRodltq6b/c+3UA==" spinCount="100000" sheet="1" objects="1" scenarios="1"/>
  <conditionalFormatting sqref="A6:A21">
    <cfRule type="expression" dxfId="233" priority="9" stopIfTrue="1">
      <formula>MOD(ROW(),2)=0</formula>
    </cfRule>
    <cfRule type="expression" dxfId="232" priority="10" stopIfTrue="1">
      <formula>MOD(ROW(),2)&lt;&gt;0</formula>
    </cfRule>
  </conditionalFormatting>
  <conditionalFormatting sqref="A26:A37">
    <cfRule type="expression" dxfId="231" priority="3" stopIfTrue="1">
      <formula>MOD(ROW(),2)=0</formula>
    </cfRule>
    <cfRule type="expression" dxfId="230" priority="4" stopIfTrue="1">
      <formula>MOD(ROW(),2)&lt;&gt;0</formula>
    </cfRule>
  </conditionalFormatting>
  <conditionalFormatting sqref="B9">
    <cfRule type="expression" dxfId="229" priority="1" stopIfTrue="1">
      <formula>MOD(ROW(),2)=0</formula>
    </cfRule>
    <cfRule type="expression" dxfId="228" priority="2" stopIfTrue="1">
      <formula>MOD(ROW(),2)&lt;&gt;0</formula>
    </cfRule>
  </conditionalFormatting>
  <conditionalFormatting sqref="B17:B21">
    <cfRule type="expression" dxfId="227" priority="7" stopIfTrue="1">
      <formula>MOD(ROW(),2)=0</formula>
    </cfRule>
    <cfRule type="expression" dxfId="226" priority="8" stopIfTrue="1">
      <formula>MOD(ROW(),2)&lt;&gt;0</formula>
    </cfRule>
  </conditionalFormatting>
  <conditionalFormatting sqref="B6:M21">
    <cfRule type="expression" dxfId="225" priority="19" stopIfTrue="1">
      <formula>MOD(ROW(),2)=0</formula>
    </cfRule>
    <cfRule type="expression" dxfId="224" priority="20" stopIfTrue="1">
      <formula>MOD(ROW(),2)&lt;&gt;0</formula>
    </cfRule>
  </conditionalFormatting>
  <conditionalFormatting sqref="B26:M37">
    <cfRule type="expression" dxfId="223" priority="5" stopIfTrue="1">
      <formula>MOD(ROW(),2)=0</formula>
    </cfRule>
    <cfRule type="expression" dxfId="222" priority="6" stopIfTrue="1">
      <formula>MOD(ROW(),2)&lt;&gt;0</formula>
    </cfRule>
  </conditionalFormatting>
  <hyperlinks>
    <hyperlink ref="B24" location="Assumptions!A1" display="Assumptions" xr:uid="{A1477768-20A1-4443-8093-837F9E21093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77"/>
  <dimension ref="A1:M78"/>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x-805</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580</v>
      </c>
      <c r="C8" s="161"/>
      <c r="D8" s="161"/>
      <c r="E8" s="161"/>
      <c r="F8" s="161"/>
      <c r="G8" s="161"/>
      <c r="H8" s="161"/>
      <c r="I8" s="161"/>
      <c r="J8" s="161"/>
      <c r="K8" s="161"/>
      <c r="L8" s="161"/>
      <c r="M8" s="161"/>
    </row>
    <row r="9" spans="1:13" x14ac:dyDescent="0.25">
      <c r="A9" s="85" t="s">
        <v>282</v>
      </c>
      <c r="B9" s="161" t="s">
        <v>396</v>
      </c>
      <c r="C9" s="161"/>
      <c r="D9" s="161"/>
      <c r="E9" s="161"/>
      <c r="F9" s="161"/>
      <c r="G9" s="161"/>
      <c r="H9" s="161"/>
      <c r="I9" s="161"/>
      <c r="J9" s="161"/>
      <c r="K9" s="161"/>
      <c r="L9" s="161"/>
      <c r="M9" s="161"/>
    </row>
    <row r="10" spans="1:13" x14ac:dyDescent="0.25">
      <c r="A10" s="85" t="s">
        <v>6</v>
      </c>
      <c r="B10" s="161" t="s">
        <v>595</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582</v>
      </c>
      <c r="C12" s="161"/>
      <c r="D12" s="161"/>
      <c r="E12" s="161"/>
      <c r="F12" s="161"/>
      <c r="G12" s="161"/>
      <c r="H12" s="161"/>
      <c r="I12" s="161"/>
      <c r="J12" s="161"/>
      <c r="K12" s="161"/>
      <c r="L12" s="161"/>
      <c r="M12" s="161"/>
    </row>
    <row r="13" spans="1:13" x14ac:dyDescent="0.25">
      <c r="A13" s="85" t="s">
        <v>289</v>
      </c>
      <c r="B13" s="161">
        <v>0</v>
      </c>
      <c r="C13" s="161"/>
      <c r="D13" s="161"/>
      <c r="E13" s="161"/>
      <c r="F13" s="161"/>
      <c r="G13" s="161"/>
      <c r="H13" s="161"/>
      <c r="I13" s="161"/>
      <c r="J13" s="161"/>
      <c r="K13" s="161"/>
      <c r="L13" s="161"/>
      <c r="M13" s="161"/>
    </row>
    <row r="14" spans="1:13" x14ac:dyDescent="0.25">
      <c r="A14" s="85" t="s">
        <v>291</v>
      </c>
      <c r="B14" s="161">
        <v>805</v>
      </c>
      <c r="C14" s="161"/>
      <c r="D14" s="161"/>
      <c r="E14" s="161"/>
      <c r="F14" s="161"/>
      <c r="G14" s="161"/>
      <c r="H14" s="161"/>
      <c r="I14" s="161"/>
      <c r="J14" s="161"/>
      <c r="K14" s="161"/>
      <c r="L14" s="161"/>
      <c r="M14" s="161"/>
    </row>
    <row r="15" spans="1:13" x14ac:dyDescent="0.25">
      <c r="A15" s="85" t="s">
        <v>293</v>
      </c>
      <c r="B15" s="161" t="s">
        <v>596</v>
      </c>
      <c r="C15" s="161"/>
      <c r="D15" s="161"/>
      <c r="E15" s="161"/>
      <c r="F15" s="161"/>
      <c r="G15" s="161"/>
      <c r="H15" s="161"/>
      <c r="I15" s="161"/>
      <c r="J15" s="161"/>
      <c r="K15" s="161"/>
      <c r="L15" s="161"/>
      <c r="M15" s="161"/>
    </row>
    <row r="16" spans="1:13" x14ac:dyDescent="0.25">
      <c r="A16" s="85" t="s">
        <v>295</v>
      </c>
      <c r="B16" s="161" t="s">
        <v>597</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45135</v>
      </c>
      <c r="C18" s="161"/>
      <c r="D18" s="161"/>
      <c r="E18" s="161"/>
      <c r="F18" s="161"/>
      <c r="G18" s="161"/>
      <c r="H18" s="161"/>
      <c r="I18" s="161"/>
      <c r="J18" s="161"/>
      <c r="K18" s="161"/>
      <c r="L18" s="161"/>
      <c r="M18" s="161"/>
    </row>
    <row r="19" spans="1:13" x14ac:dyDescent="0.25">
      <c r="A19" s="85" t="s">
        <v>301</v>
      </c>
      <c r="B19" s="162">
        <v>45200</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50</v>
      </c>
      <c r="B27" s="117">
        <v>19.946999999999999</v>
      </c>
      <c r="C27" s="117">
        <v>19.972999999999999</v>
      </c>
      <c r="D27" s="117">
        <v>19.998999999999999</v>
      </c>
      <c r="E27" s="117">
        <v>20.024000000000001</v>
      </c>
      <c r="F27" s="117">
        <v>20.05</v>
      </c>
      <c r="G27" s="117">
        <v>20.076000000000001</v>
      </c>
      <c r="H27" s="117">
        <v>20.100999999999999</v>
      </c>
      <c r="I27" s="117">
        <v>20.126999999999999</v>
      </c>
      <c r="J27" s="117">
        <v>20.152999999999999</v>
      </c>
      <c r="K27" s="117">
        <v>20.178000000000001</v>
      </c>
      <c r="L27" s="117">
        <v>20.204000000000001</v>
      </c>
      <c r="M27" s="117">
        <v>20.23</v>
      </c>
    </row>
    <row r="28" spans="1:13" x14ac:dyDescent="0.25">
      <c r="A28" s="99">
        <v>51</v>
      </c>
      <c r="B28" s="117">
        <v>20.256</v>
      </c>
      <c r="C28" s="117">
        <v>20.282</v>
      </c>
      <c r="D28" s="117">
        <v>20.308</v>
      </c>
      <c r="E28" s="117">
        <v>20.334</v>
      </c>
      <c r="F28" s="117">
        <v>20.361000000000001</v>
      </c>
      <c r="G28" s="117">
        <v>20.387</v>
      </c>
      <c r="H28" s="117">
        <v>20.413</v>
      </c>
      <c r="I28" s="117">
        <v>20.439</v>
      </c>
      <c r="J28" s="117">
        <v>20.466000000000001</v>
      </c>
      <c r="K28" s="117">
        <v>20.492000000000001</v>
      </c>
      <c r="L28" s="117">
        <v>20.518000000000001</v>
      </c>
      <c r="M28" s="117">
        <v>20.544</v>
      </c>
    </row>
    <row r="29" spans="1:13" x14ac:dyDescent="0.25">
      <c r="A29" s="99">
        <v>52</v>
      </c>
      <c r="B29" s="117">
        <v>20.571000000000002</v>
      </c>
      <c r="C29" s="117">
        <v>20.597000000000001</v>
      </c>
      <c r="D29" s="117">
        <v>20.623999999999999</v>
      </c>
      <c r="E29" s="117">
        <v>20.651</v>
      </c>
      <c r="F29" s="117">
        <v>20.678000000000001</v>
      </c>
      <c r="G29" s="117">
        <v>20.704000000000001</v>
      </c>
      <c r="H29" s="117">
        <v>20.731000000000002</v>
      </c>
      <c r="I29" s="117">
        <v>20.757999999999999</v>
      </c>
      <c r="J29" s="117">
        <v>20.785</v>
      </c>
      <c r="K29" s="117">
        <v>20.811</v>
      </c>
      <c r="L29" s="117">
        <v>20.838000000000001</v>
      </c>
      <c r="M29" s="117">
        <v>20.864999999999998</v>
      </c>
    </row>
    <row r="30" spans="1:13" x14ac:dyDescent="0.25">
      <c r="A30" s="99">
        <v>53</v>
      </c>
      <c r="B30" s="117">
        <v>20.891999999999999</v>
      </c>
      <c r="C30" s="117">
        <v>20.919</v>
      </c>
      <c r="D30" s="117">
        <v>20.946999999999999</v>
      </c>
      <c r="E30" s="117">
        <v>20.974</v>
      </c>
      <c r="F30" s="117">
        <v>21.001000000000001</v>
      </c>
      <c r="G30" s="117">
        <v>21.029</v>
      </c>
      <c r="H30" s="117">
        <v>21.056000000000001</v>
      </c>
      <c r="I30" s="117">
        <v>21.082999999999998</v>
      </c>
      <c r="J30" s="117">
        <v>21.111000000000001</v>
      </c>
      <c r="K30" s="117">
        <v>21.138000000000002</v>
      </c>
      <c r="L30" s="117">
        <v>21.164999999999999</v>
      </c>
      <c r="M30" s="117">
        <v>21.193000000000001</v>
      </c>
    </row>
    <row r="31" spans="1:13" x14ac:dyDescent="0.25">
      <c r="A31" s="99">
        <v>54</v>
      </c>
      <c r="B31" s="117">
        <v>21.22</v>
      </c>
      <c r="C31" s="117">
        <v>21.248000000000001</v>
      </c>
      <c r="D31" s="117">
        <v>21.276</v>
      </c>
      <c r="E31" s="117">
        <v>21.303999999999998</v>
      </c>
      <c r="F31" s="117">
        <v>21.332000000000001</v>
      </c>
      <c r="G31" s="117">
        <v>21.36</v>
      </c>
      <c r="H31" s="117">
        <v>21.388000000000002</v>
      </c>
      <c r="I31" s="117">
        <v>21.416</v>
      </c>
      <c r="J31" s="117">
        <v>21.443999999999999</v>
      </c>
      <c r="K31" s="117">
        <v>21.472000000000001</v>
      </c>
      <c r="L31" s="117">
        <v>21.5</v>
      </c>
      <c r="M31" s="117">
        <v>21.527999999999999</v>
      </c>
    </row>
    <row r="32" spans="1:13" x14ac:dyDescent="0.25">
      <c r="A32" s="99">
        <v>55</v>
      </c>
      <c r="B32" s="117">
        <v>21.556000000000001</v>
      </c>
      <c r="C32" s="117">
        <v>21.585000000000001</v>
      </c>
      <c r="D32" s="117">
        <v>21.614000000000001</v>
      </c>
      <c r="E32" s="117">
        <v>21.641999999999999</v>
      </c>
      <c r="F32" s="117">
        <v>21.670999999999999</v>
      </c>
      <c r="G32" s="117">
        <v>21.699000000000002</v>
      </c>
      <c r="H32" s="117">
        <v>21.728000000000002</v>
      </c>
      <c r="I32" s="117">
        <v>21.757000000000001</v>
      </c>
      <c r="J32" s="117">
        <v>21.785</v>
      </c>
      <c r="K32" s="117">
        <v>21.814</v>
      </c>
      <c r="L32" s="117">
        <v>21.843</v>
      </c>
      <c r="M32" s="117">
        <v>21.870999999999999</v>
      </c>
    </row>
    <row r="33" spans="1:13" x14ac:dyDescent="0.25">
      <c r="A33" s="99">
        <v>56</v>
      </c>
      <c r="B33" s="117">
        <v>21.9</v>
      </c>
      <c r="C33" s="117">
        <v>21.928999999999998</v>
      </c>
      <c r="D33" s="117">
        <v>21.959</v>
      </c>
      <c r="E33" s="117">
        <v>21.988</v>
      </c>
      <c r="F33" s="117">
        <v>22.018000000000001</v>
      </c>
      <c r="G33" s="117">
        <v>22.047000000000001</v>
      </c>
      <c r="H33" s="117">
        <v>22.076000000000001</v>
      </c>
      <c r="I33" s="117">
        <v>22.106000000000002</v>
      </c>
      <c r="J33" s="117">
        <v>22.135000000000002</v>
      </c>
      <c r="K33" s="117">
        <v>22.164000000000001</v>
      </c>
      <c r="L33" s="117">
        <v>22.193999999999999</v>
      </c>
      <c r="M33" s="117">
        <v>22.222999999999999</v>
      </c>
    </row>
    <row r="34" spans="1:13" x14ac:dyDescent="0.25">
      <c r="A34" s="99">
        <v>57</v>
      </c>
      <c r="B34" s="117">
        <v>22.253</v>
      </c>
      <c r="C34" s="117">
        <v>22.283000000000001</v>
      </c>
      <c r="D34" s="117">
        <v>22.312999999999999</v>
      </c>
      <c r="E34" s="117">
        <v>22.343</v>
      </c>
      <c r="F34" s="117">
        <v>22.373000000000001</v>
      </c>
      <c r="G34" s="117">
        <v>22.402999999999999</v>
      </c>
      <c r="H34" s="117">
        <v>22.433</v>
      </c>
      <c r="I34" s="117">
        <v>22.463999999999999</v>
      </c>
      <c r="J34" s="117">
        <v>22.494</v>
      </c>
      <c r="K34" s="117">
        <v>22.524000000000001</v>
      </c>
      <c r="L34" s="117">
        <v>22.553999999999998</v>
      </c>
      <c r="M34" s="117">
        <v>22.584</v>
      </c>
    </row>
    <row r="35" spans="1:13" x14ac:dyDescent="0.25">
      <c r="A35" s="99">
        <v>58</v>
      </c>
      <c r="B35" s="117">
        <v>22.614999999999998</v>
      </c>
      <c r="C35" s="117">
        <v>22.646000000000001</v>
      </c>
      <c r="D35" s="117">
        <v>22.675999999999998</v>
      </c>
      <c r="E35" s="117">
        <v>22.707000000000001</v>
      </c>
      <c r="F35" s="117">
        <v>22.738</v>
      </c>
      <c r="G35" s="117">
        <v>22.768999999999998</v>
      </c>
      <c r="H35" s="117">
        <v>22.8</v>
      </c>
      <c r="I35" s="117">
        <v>22.831</v>
      </c>
      <c r="J35" s="117">
        <v>22.861999999999998</v>
      </c>
      <c r="K35" s="117">
        <v>22.893000000000001</v>
      </c>
      <c r="L35" s="117">
        <v>22.923999999999999</v>
      </c>
      <c r="M35" s="117">
        <v>22.954999999999998</v>
      </c>
    </row>
    <row r="36" spans="1:13" x14ac:dyDescent="0.25">
      <c r="A36" s="99">
        <v>59</v>
      </c>
      <c r="B36" s="117">
        <v>22.986999999999998</v>
      </c>
      <c r="C36" s="117">
        <v>23.018999999999998</v>
      </c>
      <c r="D36" s="117">
        <v>23.050999999999998</v>
      </c>
      <c r="E36" s="117">
        <v>23.082000000000001</v>
      </c>
      <c r="F36" s="117">
        <v>23.114000000000001</v>
      </c>
      <c r="G36" s="117">
        <v>23.146000000000001</v>
      </c>
      <c r="H36" s="117">
        <v>23.178000000000001</v>
      </c>
      <c r="I36" s="117">
        <v>23.21</v>
      </c>
      <c r="J36" s="117">
        <v>23.242000000000001</v>
      </c>
      <c r="K36" s="117">
        <v>23.274000000000001</v>
      </c>
      <c r="L36" s="117">
        <v>23.306000000000001</v>
      </c>
      <c r="M36" s="117">
        <v>23.338000000000001</v>
      </c>
    </row>
    <row r="37" spans="1:13" x14ac:dyDescent="0.25">
      <c r="A37" s="99">
        <v>60</v>
      </c>
      <c r="B37" s="117">
        <v>23.327999999999999</v>
      </c>
      <c r="C37" s="117">
        <v>23.277000000000001</v>
      </c>
      <c r="D37" s="117">
        <v>23.225999999999999</v>
      </c>
      <c r="E37" s="117">
        <v>23.175000000000001</v>
      </c>
      <c r="F37" s="117">
        <v>23.123999999999999</v>
      </c>
      <c r="G37" s="117">
        <v>23.071999999999999</v>
      </c>
      <c r="H37" s="117">
        <v>23.021000000000001</v>
      </c>
      <c r="I37" s="117">
        <v>22.97</v>
      </c>
      <c r="J37" s="117">
        <v>22.919</v>
      </c>
      <c r="K37" s="117">
        <v>22.867999999999999</v>
      </c>
      <c r="L37" s="117">
        <v>22.817</v>
      </c>
      <c r="M37" s="117">
        <v>22.765000000000001</v>
      </c>
    </row>
    <row r="38" spans="1:13" x14ac:dyDescent="0.25">
      <c r="A38" s="99">
        <v>61</v>
      </c>
      <c r="B38" s="117">
        <v>22.713999999999999</v>
      </c>
      <c r="C38" s="117">
        <v>22.663</v>
      </c>
      <c r="D38" s="117">
        <v>22.611000000000001</v>
      </c>
      <c r="E38" s="117">
        <v>22.56</v>
      </c>
      <c r="F38" s="117">
        <v>22.507999999999999</v>
      </c>
      <c r="G38" s="117">
        <v>22.457000000000001</v>
      </c>
      <c r="H38" s="117">
        <v>22.405000000000001</v>
      </c>
      <c r="I38" s="117">
        <v>22.353999999999999</v>
      </c>
      <c r="J38" s="117">
        <v>22.302</v>
      </c>
      <c r="K38" s="117">
        <v>22.251000000000001</v>
      </c>
      <c r="L38" s="117">
        <v>22.199000000000002</v>
      </c>
      <c r="M38" s="117">
        <v>22.148</v>
      </c>
    </row>
    <row r="39" spans="1:13" x14ac:dyDescent="0.25">
      <c r="A39" s="99">
        <v>62</v>
      </c>
      <c r="B39" s="117">
        <v>22.096</v>
      </c>
      <c r="C39" s="117">
        <v>22.044</v>
      </c>
      <c r="D39" s="117">
        <v>21.992000000000001</v>
      </c>
      <c r="E39" s="117">
        <v>21.940999999999999</v>
      </c>
      <c r="F39" s="117">
        <v>21.888999999999999</v>
      </c>
      <c r="G39" s="117">
        <v>21.837</v>
      </c>
      <c r="H39" s="117">
        <v>21.785</v>
      </c>
      <c r="I39" s="117">
        <v>21.733000000000001</v>
      </c>
      <c r="J39" s="117">
        <v>21.681000000000001</v>
      </c>
      <c r="K39" s="117">
        <v>21.629000000000001</v>
      </c>
      <c r="L39" s="117">
        <v>21.577000000000002</v>
      </c>
      <c r="M39" s="117">
        <v>21.524999999999999</v>
      </c>
    </row>
    <row r="40" spans="1:13" x14ac:dyDescent="0.25">
      <c r="A40" s="99">
        <v>63</v>
      </c>
      <c r="B40" s="117">
        <v>21.472999999999999</v>
      </c>
      <c r="C40" s="117">
        <v>21.420999999999999</v>
      </c>
      <c r="D40" s="117">
        <v>21.369</v>
      </c>
      <c r="E40" s="117">
        <v>21.315999999999999</v>
      </c>
      <c r="F40" s="117">
        <v>21.263999999999999</v>
      </c>
      <c r="G40" s="117">
        <v>21.210999999999999</v>
      </c>
      <c r="H40" s="117">
        <v>21.158999999999999</v>
      </c>
      <c r="I40" s="117">
        <v>21.106999999999999</v>
      </c>
      <c r="J40" s="117">
        <v>21.053999999999998</v>
      </c>
      <c r="K40" s="117">
        <v>21.001999999999999</v>
      </c>
      <c r="L40" s="117">
        <v>20.95</v>
      </c>
      <c r="M40" s="117">
        <v>20.896999999999998</v>
      </c>
    </row>
    <row r="41" spans="1:13" x14ac:dyDescent="0.25">
      <c r="A41" s="99">
        <v>64</v>
      </c>
      <c r="B41" s="117">
        <v>20.844000000000001</v>
      </c>
      <c r="C41" s="117">
        <v>20.791</v>
      </c>
      <c r="D41" s="117">
        <v>20.738</v>
      </c>
      <c r="E41" s="117">
        <v>20.684999999999999</v>
      </c>
      <c r="F41" s="117">
        <v>20.632000000000001</v>
      </c>
      <c r="G41" s="117">
        <v>20.579000000000001</v>
      </c>
      <c r="H41" s="117">
        <v>20.526</v>
      </c>
      <c r="I41" s="117">
        <v>20.472999999999999</v>
      </c>
      <c r="J41" s="117">
        <v>20.420000000000002</v>
      </c>
      <c r="K41" s="117">
        <v>20.367000000000001</v>
      </c>
      <c r="L41" s="117">
        <v>20.314</v>
      </c>
      <c r="M41" s="117">
        <v>20.260999999999999</v>
      </c>
    </row>
    <row r="42" spans="1:13" x14ac:dyDescent="0.25">
      <c r="A42" s="99">
        <v>65</v>
      </c>
      <c r="B42" s="117">
        <v>20.207000000000001</v>
      </c>
      <c r="C42" s="117">
        <v>20.154</v>
      </c>
      <c r="D42" s="117">
        <v>20.100999999999999</v>
      </c>
      <c r="E42" s="117">
        <v>20.047000000000001</v>
      </c>
      <c r="F42" s="117">
        <v>19.994</v>
      </c>
      <c r="G42" s="117">
        <v>19.940999999999999</v>
      </c>
      <c r="H42" s="117">
        <v>19.888000000000002</v>
      </c>
      <c r="I42" s="117">
        <v>19.834</v>
      </c>
      <c r="J42" s="117">
        <v>19.780999999999999</v>
      </c>
      <c r="K42" s="117">
        <v>19.728000000000002</v>
      </c>
      <c r="L42" s="117">
        <v>19.673999999999999</v>
      </c>
      <c r="M42" s="117">
        <v>19.620999999999999</v>
      </c>
    </row>
    <row r="43" spans="1:13" x14ac:dyDescent="0.25">
      <c r="A43" s="99">
        <v>66</v>
      </c>
      <c r="B43" s="117">
        <v>19.568000000000001</v>
      </c>
      <c r="C43" s="117">
        <v>19.513999999999999</v>
      </c>
      <c r="D43" s="117">
        <v>19.46</v>
      </c>
      <c r="E43" s="117">
        <v>19.405999999999999</v>
      </c>
      <c r="F43" s="117">
        <v>19.353000000000002</v>
      </c>
      <c r="G43" s="117">
        <v>19.298999999999999</v>
      </c>
      <c r="H43" s="117">
        <v>19.245000000000001</v>
      </c>
      <c r="I43" s="117">
        <v>19.190999999999999</v>
      </c>
      <c r="J43" s="117">
        <v>19.138000000000002</v>
      </c>
      <c r="K43" s="117">
        <v>19.084</v>
      </c>
      <c r="L43" s="117">
        <v>19.03</v>
      </c>
      <c r="M43" s="117">
        <v>18.975999999999999</v>
      </c>
    </row>
    <row r="44" spans="1:13" x14ac:dyDescent="0.25">
      <c r="A44" s="99">
        <v>67</v>
      </c>
      <c r="B44" s="117">
        <v>18.922999999999998</v>
      </c>
      <c r="C44" s="117">
        <v>18.867999999999999</v>
      </c>
      <c r="D44" s="117">
        <v>18.814</v>
      </c>
      <c r="E44" s="117">
        <v>18.760000000000002</v>
      </c>
      <c r="F44" s="117">
        <v>18.706</v>
      </c>
      <c r="G44" s="117">
        <v>18.652000000000001</v>
      </c>
      <c r="H44" s="117">
        <v>18.597999999999999</v>
      </c>
      <c r="I44" s="117">
        <v>18.544</v>
      </c>
      <c r="J44" s="117">
        <v>18.489999999999998</v>
      </c>
      <c r="K44" s="117">
        <v>18.436</v>
      </c>
      <c r="L44" s="117">
        <v>18.381</v>
      </c>
      <c r="M44" s="117">
        <v>18.327000000000002</v>
      </c>
    </row>
    <row r="45" spans="1:13" x14ac:dyDescent="0.25">
      <c r="A45" s="99">
        <v>68</v>
      </c>
      <c r="B45" s="117">
        <v>18.273</v>
      </c>
      <c r="C45" s="117">
        <v>18.219000000000001</v>
      </c>
      <c r="D45" s="117">
        <v>18.164000000000001</v>
      </c>
      <c r="E45" s="117">
        <v>18.11</v>
      </c>
      <c r="F45" s="117">
        <v>18.055</v>
      </c>
      <c r="G45" s="117">
        <v>18.001000000000001</v>
      </c>
      <c r="H45" s="117">
        <v>17.946000000000002</v>
      </c>
      <c r="I45" s="117">
        <v>17.891999999999999</v>
      </c>
      <c r="J45" s="117">
        <v>17.837</v>
      </c>
      <c r="K45" s="117">
        <v>17.783000000000001</v>
      </c>
      <c r="L45" s="117">
        <v>17.728000000000002</v>
      </c>
      <c r="M45" s="117">
        <v>17.673999999999999</v>
      </c>
    </row>
    <row r="46" spans="1:13" x14ac:dyDescent="0.25">
      <c r="A46" s="99">
        <v>69</v>
      </c>
      <c r="B46" s="117">
        <v>17.617000000000001</v>
      </c>
      <c r="C46" s="117">
        <v>17.556999999999999</v>
      </c>
      <c r="D46" s="117">
        <v>17.497</v>
      </c>
      <c r="E46" s="117">
        <v>17.437000000000001</v>
      </c>
      <c r="F46" s="117">
        <v>17.378</v>
      </c>
      <c r="G46" s="117">
        <v>17.318000000000001</v>
      </c>
      <c r="H46" s="117">
        <v>17.257999999999999</v>
      </c>
      <c r="I46" s="117">
        <v>17.198</v>
      </c>
      <c r="J46" s="117">
        <v>17.138000000000002</v>
      </c>
      <c r="K46" s="117">
        <v>17.079000000000001</v>
      </c>
      <c r="L46" s="117">
        <v>17.018999999999998</v>
      </c>
      <c r="M46" s="117">
        <v>16.959</v>
      </c>
    </row>
    <row r="47" spans="1:13" x14ac:dyDescent="0.25">
      <c r="A47" s="99">
        <v>70</v>
      </c>
      <c r="B47" s="117">
        <v>16.902000000000001</v>
      </c>
      <c r="C47" s="117">
        <v>16.846</v>
      </c>
      <c r="D47" s="117">
        <v>16.791</v>
      </c>
      <c r="E47" s="117">
        <v>16.736000000000001</v>
      </c>
      <c r="F47" s="117">
        <v>16.681000000000001</v>
      </c>
      <c r="G47" s="117">
        <v>16.626000000000001</v>
      </c>
      <c r="H47" s="117">
        <v>16.571000000000002</v>
      </c>
      <c r="I47" s="117">
        <v>16.515000000000001</v>
      </c>
      <c r="J47" s="117">
        <v>16.46</v>
      </c>
      <c r="K47" s="117">
        <v>16.405000000000001</v>
      </c>
      <c r="L47" s="117">
        <v>16.350000000000001</v>
      </c>
      <c r="M47" s="117">
        <v>16.295000000000002</v>
      </c>
    </row>
    <row r="48" spans="1:13" x14ac:dyDescent="0.25">
      <c r="A48" s="99">
        <v>71</v>
      </c>
      <c r="B48" s="117">
        <v>16.239999999999998</v>
      </c>
      <c r="C48" s="117">
        <v>16.184000000000001</v>
      </c>
      <c r="D48" s="117">
        <v>16.129000000000001</v>
      </c>
      <c r="E48" s="117">
        <v>16.074000000000002</v>
      </c>
      <c r="F48" s="117">
        <v>16.018999999999998</v>
      </c>
      <c r="G48" s="117">
        <v>15.964</v>
      </c>
      <c r="H48" s="117">
        <v>15.909000000000001</v>
      </c>
      <c r="I48" s="117">
        <v>15.853999999999999</v>
      </c>
      <c r="J48" s="117">
        <v>15.798999999999999</v>
      </c>
      <c r="K48" s="117">
        <v>15.744</v>
      </c>
      <c r="L48" s="117">
        <v>15.689</v>
      </c>
      <c r="M48" s="117">
        <v>15.634</v>
      </c>
    </row>
    <row r="49" spans="1:13" x14ac:dyDescent="0.25">
      <c r="A49" s="99">
        <v>72</v>
      </c>
      <c r="B49" s="117">
        <v>15.577999999999999</v>
      </c>
      <c r="C49" s="117">
        <v>15.523</v>
      </c>
      <c r="D49" s="117">
        <v>15.468</v>
      </c>
      <c r="E49" s="117">
        <v>15.413</v>
      </c>
      <c r="F49" s="117">
        <v>15.358000000000001</v>
      </c>
      <c r="G49" s="117">
        <v>15.303000000000001</v>
      </c>
      <c r="H49" s="117">
        <v>15.247</v>
      </c>
      <c r="I49" s="117">
        <v>15.192</v>
      </c>
      <c r="J49" s="117">
        <v>15.137</v>
      </c>
      <c r="K49" s="117">
        <v>15.082000000000001</v>
      </c>
      <c r="L49" s="117">
        <v>15.026999999999999</v>
      </c>
      <c r="M49" s="117">
        <v>14.972</v>
      </c>
    </row>
    <row r="50" spans="1:13" x14ac:dyDescent="0.25">
      <c r="A50" s="99">
        <v>73</v>
      </c>
      <c r="B50" s="117">
        <v>14.916</v>
      </c>
      <c r="C50" s="117">
        <v>14.861000000000001</v>
      </c>
      <c r="D50" s="117">
        <v>14.805999999999999</v>
      </c>
      <c r="E50" s="117">
        <v>14.750999999999999</v>
      </c>
      <c r="F50" s="117">
        <v>14.696</v>
      </c>
      <c r="G50" s="117">
        <v>14.641</v>
      </c>
      <c r="H50" s="117">
        <v>14.585000000000001</v>
      </c>
      <c r="I50" s="117">
        <v>14.53</v>
      </c>
      <c r="J50" s="117">
        <v>14.475</v>
      </c>
      <c r="K50" s="117">
        <v>14.42</v>
      </c>
      <c r="L50" s="117">
        <v>14.365</v>
      </c>
      <c r="M50" s="117">
        <v>14.308999999999999</v>
      </c>
    </row>
    <row r="51" spans="1:13" x14ac:dyDescent="0.25">
      <c r="A51" s="99">
        <v>74</v>
      </c>
      <c r="B51" s="117">
        <v>14.25</v>
      </c>
      <c r="C51" s="117">
        <v>14.186</v>
      </c>
      <c r="D51" s="117">
        <v>14.122</v>
      </c>
      <c r="E51" s="117">
        <v>14.058</v>
      </c>
      <c r="F51" s="117">
        <v>13.994999999999999</v>
      </c>
      <c r="G51" s="117">
        <v>13.930999999999999</v>
      </c>
      <c r="H51" s="117">
        <v>13.867000000000001</v>
      </c>
      <c r="I51" s="117">
        <v>13.803000000000001</v>
      </c>
      <c r="J51" s="117">
        <v>13.739000000000001</v>
      </c>
      <c r="K51" s="117">
        <v>13.675000000000001</v>
      </c>
      <c r="L51" s="117">
        <v>13.612</v>
      </c>
      <c r="M51" s="117">
        <v>13.548</v>
      </c>
    </row>
    <row r="52" spans="1:13" x14ac:dyDescent="0.25">
      <c r="A52" s="99">
        <v>75</v>
      </c>
      <c r="B52" s="117">
        <v>13.488</v>
      </c>
      <c r="C52" s="117">
        <v>13.433999999999999</v>
      </c>
      <c r="D52" s="117">
        <v>13.379</v>
      </c>
      <c r="E52" s="117">
        <v>13.324</v>
      </c>
      <c r="F52" s="117">
        <v>13.269</v>
      </c>
      <c r="G52" s="117">
        <v>13.215</v>
      </c>
      <c r="H52" s="117">
        <v>13.16</v>
      </c>
      <c r="I52" s="117">
        <v>13.105</v>
      </c>
      <c r="J52" s="117">
        <v>13.05</v>
      </c>
      <c r="K52" s="117">
        <v>12.994999999999999</v>
      </c>
      <c r="L52" s="117">
        <v>12.941000000000001</v>
      </c>
      <c r="M52" s="117">
        <v>12.885999999999999</v>
      </c>
    </row>
    <row r="53" spans="1:13" x14ac:dyDescent="0.25">
      <c r="A53" s="99">
        <v>76</v>
      </c>
      <c r="B53" s="117">
        <v>12.831</v>
      </c>
      <c r="C53" s="117">
        <v>12.776999999999999</v>
      </c>
      <c r="D53" s="117">
        <v>12.722</v>
      </c>
      <c r="E53" s="117">
        <v>12.667999999999999</v>
      </c>
      <c r="F53" s="117">
        <v>12.614000000000001</v>
      </c>
      <c r="G53" s="117">
        <v>12.558999999999999</v>
      </c>
      <c r="H53" s="117">
        <v>12.505000000000001</v>
      </c>
      <c r="I53" s="117">
        <v>12.45</v>
      </c>
      <c r="J53" s="117">
        <v>12.396000000000001</v>
      </c>
      <c r="K53" s="117">
        <v>12.340999999999999</v>
      </c>
      <c r="L53" s="117">
        <v>12.287000000000001</v>
      </c>
      <c r="M53" s="117">
        <v>12.233000000000001</v>
      </c>
    </row>
    <row r="54" spans="1:13" x14ac:dyDescent="0.25">
      <c r="A54" s="99">
        <v>77</v>
      </c>
      <c r="B54" s="117">
        <v>12.178000000000001</v>
      </c>
      <c r="C54" s="117">
        <v>12.125</v>
      </c>
      <c r="D54" s="117">
        <v>12.071</v>
      </c>
      <c r="E54" s="117">
        <v>12.016999999999999</v>
      </c>
      <c r="F54" s="117">
        <v>11.962999999999999</v>
      </c>
      <c r="G54" s="117">
        <v>11.909000000000001</v>
      </c>
      <c r="H54" s="117">
        <v>11.855</v>
      </c>
      <c r="I54" s="117">
        <v>11.801</v>
      </c>
      <c r="J54" s="117">
        <v>11.747</v>
      </c>
      <c r="K54" s="117">
        <v>11.693</v>
      </c>
      <c r="L54" s="117">
        <v>11.638999999999999</v>
      </c>
      <c r="M54" s="117">
        <v>11.585000000000001</v>
      </c>
    </row>
    <row r="55" spans="1:13" x14ac:dyDescent="0.25">
      <c r="A55" s="99">
        <v>78</v>
      </c>
      <c r="B55" s="117">
        <v>11.532</v>
      </c>
      <c r="C55" s="117">
        <v>11.478999999999999</v>
      </c>
      <c r="D55" s="117">
        <v>11.425000000000001</v>
      </c>
      <c r="E55" s="117">
        <v>11.372</v>
      </c>
      <c r="F55" s="117">
        <v>11.319000000000001</v>
      </c>
      <c r="G55" s="117">
        <v>11.266</v>
      </c>
      <c r="H55" s="117">
        <v>11.212999999999999</v>
      </c>
      <c r="I55" s="117">
        <v>11.159000000000001</v>
      </c>
      <c r="J55" s="117">
        <v>11.106</v>
      </c>
      <c r="K55" s="117">
        <v>11.053000000000001</v>
      </c>
      <c r="L55" s="117">
        <v>11</v>
      </c>
      <c r="M55" s="117">
        <v>10.946999999999999</v>
      </c>
    </row>
    <row r="56" spans="1:13" x14ac:dyDescent="0.25">
      <c r="A56" s="99">
        <v>79</v>
      </c>
      <c r="B56" s="117">
        <v>10.888</v>
      </c>
      <c r="C56" s="117">
        <v>10.824999999999999</v>
      </c>
      <c r="D56" s="117">
        <v>10.762</v>
      </c>
      <c r="E56" s="117">
        <v>10.699</v>
      </c>
      <c r="F56" s="117">
        <v>10.635999999999999</v>
      </c>
      <c r="G56" s="117">
        <v>10.573</v>
      </c>
      <c r="H56" s="117">
        <v>10.51</v>
      </c>
      <c r="I56" s="117">
        <v>10.446999999999999</v>
      </c>
      <c r="J56" s="117">
        <v>10.384</v>
      </c>
      <c r="K56" s="117">
        <v>10.321</v>
      </c>
      <c r="L56" s="117">
        <v>10.257999999999999</v>
      </c>
      <c r="M56" s="117">
        <v>10.195</v>
      </c>
    </row>
    <row r="57" spans="1:13" x14ac:dyDescent="0.25">
      <c r="A57" s="99">
        <v>80</v>
      </c>
      <c r="B57" s="117">
        <v>10.138</v>
      </c>
      <c r="C57" s="117">
        <v>10.087</v>
      </c>
      <c r="D57" s="117">
        <v>10.036</v>
      </c>
      <c r="E57" s="117">
        <v>9.9849999999999994</v>
      </c>
      <c r="F57" s="117">
        <v>9.9339999999999993</v>
      </c>
      <c r="G57" s="117">
        <v>9.8829999999999991</v>
      </c>
      <c r="H57" s="117">
        <v>9.8320000000000007</v>
      </c>
      <c r="I57" s="117">
        <v>9.7810000000000006</v>
      </c>
      <c r="J57" s="117">
        <v>9.73</v>
      </c>
      <c r="K57" s="117">
        <v>9.68</v>
      </c>
      <c r="L57" s="117">
        <v>9.6289999999999996</v>
      </c>
      <c r="M57" s="117">
        <v>9.5779999999999994</v>
      </c>
    </row>
    <row r="58" spans="1:13" x14ac:dyDescent="0.25">
      <c r="A58" s="99">
        <v>81</v>
      </c>
      <c r="B58" s="117">
        <v>9.5269999999999992</v>
      </c>
      <c r="C58" s="117">
        <v>9.4779999999999998</v>
      </c>
      <c r="D58" s="117">
        <v>9.4280000000000008</v>
      </c>
      <c r="E58" s="117">
        <v>9.3780000000000001</v>
      </c>
      <c r="F58" s="117">
        <v>9.3290000000000006</v>
      </c>
      <c r="G58" s="117">
        <v>9.2789999999999999</v>
      </c>
      <c r="H58" s="117">
        <v>9.2289999999999992</v>
      </c>
      <c r="I58" s="117">
        <v>9.18</v>
      </c>
      <c r="J58" s="117">
        <v>9.1300000000000008</v>
      </c>
      <c r="K58" s="117">
        <v>9.08</v>
      </c>
      <c r="L58" s="117">
        <v>9.0310000000000006</v>
      </c>
      <c r="M58" s="117">
        <v>8.9809999999999999</v>
      </c>
    </row>
    <row r="59" spans="1:13" x14ac:dyDescent="0.25">
      <c r="A59" s="99">
        <v>82</v>
      </c>
      <c r="B59" s="117">
        <v>8.9320000000000004</v>
      </c>
      <c r="C59" s="117">
        <v>8.8840000000000003</v>
      </c>
      <c r="D59" s="117">
        <v>8.8360000000000003</v>
      </c>
      <c r="E59" s="117">
        <v>8.7870000000000008</v>
      </c>
      <c r="F59" s="117">
        <v>8.7390000000000008</v>
      </c>
      <c r="G59" s="117">
        <v>8.6910000000000007</v>
      </c>
      <c r="H59" s="117">
        <v>8.6430000000000007</v>
      </c>
      <c r="I59" s="117">
        <v>8.5950000000000006</v>
      </c>
      <c r="J59" s="117">
        <v>8.5459999999999994</v>
      </c>
      <c r="K59" s="117">
        <v>8.4979999999999993</v>
      </c>
      <c r="L59" s="117">
        <v>8.4499999999999993</v>
      </c>
      <c r="M59" s="117">
        <v>8.4019999999999992</v>
      </c>
    </row>
    <row r="60" spans="1:13" x14ac:dyDescent="0.25">
      <c r="A60" s="99">
        <v>83</v>
      </c>
      <c r="B60" s="117">
        <v>8.3539999999999992</v>
      </c>
      <c r="C60" s="117">
        <v>8.3079999999999998</v>
      </c>
      <c r="D60" s="117">
        <v>8.2609999999999992</v>
      </c>
      <c r="E60" s="117">
        <v>8.2149999999999999</v>
      </c>
      <c r="F60" s="117">
        <v>8.1679999999999993</v>
      </c>
      <c r="G60" s="117">
        <v>8.1219999999999999</v>
      </c>
      <c r="H60" s="117">
        <v>8.0749999999999993</v>
      </c>
      <c r="I60" s="117">
        <v>8.0289999999999999</v>
      </c>
      <c r="J60" s="117">
        <v>7.9820000000000002</v>
      </c>
      <c r="K60" s="117">
        <v>7.9359999999999999</v>
      </c>
      <c r="L60" s="117">
        <v>7.8890000000000002</v>
      </c>
      <c r="M60" s="117">
        <v>7.8419999999999996</v>
      </c>
    </row>
    <row r="61" spans="1:13" x14ac:dyDescent="0.25">
      <c r="A61" s="99">
        <v>84</v>
      </c>
      <c r="B61" s="117">
        <v>7.7919999999999998</v>
      </c>
      <c r="C61" s="117">
        <v>7.7370000000000001</v>
      </c>
      <c r="D61" s="117">
        <v>7.6820000000000004</v>
      </c>
      <c r="E61" s="117">
        <v>7.6280000000000001</v>
      </c>
      <c r="F61" s="117">
        <v>7.5730000000000004</v>
      </c>
      <c r="G61" s="117">
        <v>7.5179999999999998</v>
      </c>
      <c r="H61" s="117">
        <v>7.4630000000000001</v>
      </c>
      <c r="I61" s="117">
        <v>7.4089999999999998</v>
      </c>
      <c r="J61" s="117">
        <v>7.3540000000000001</v>
      </c>
      <c r="K61" s="117">
        <v>7.2990000000000004</v>
      </c>
      <c r="L61" s="117">
        <v>7.2439999999999998</v>
      </c>
      <c r="M61" s="117">
        <v>7.19</v>
      </c>
    </row>
    <row r="62" spans="1:13" x14ac:dyDescent="0.25">
      <c r="A62" s="99">
        <v>85</v>
      </c>
      <c r="B62" s="117">
        <v>7.141</v>
      </c>
      <c r="C62" s="117">
        <v>7.0979999999999999</v>
      </c>
      <c r="D62" s="117">
        <v>7.056</v>
      </c>
      <c r="E62" s="117">
        <v>7.0129999999999999</v>
      </c>
      <c r="F62" s="117">
        <v>6.97</v>
      </c>
      <c r="G62" s="117">
        <v>6.9279999999999999</v>
      </c>
      <c r="H62" s="117">
        <v>6.8849999999999998</v>
      </c>
      <c r="I62" s="117">
        <v>6.843</v>
      </c>
      <c r="J62" s="117">
        <v>6.8</v>
      </c>
      <c r="K62" s="117">
        <v>6.7569999999999997</v>
      </c>
      <c r="L62" s="117">
        <v>6.7149999999999999</v>
      </c>
      <c r="M62" s="117">
        <v>6.6719999999999997</v>
      </c>
    </row>
    <row r="63" spans="1:13" x14ac:dyDescent="0.25">
      <c r="A63" s="99">
        <v>86</v>
      </c>
      <c r="B63" s="117">
        <v>6.6310000000000002</v>
      </c>
      <c r="C63" s="117">
        <v>6.59</v>
      </c>
      <c r="D63" s="117">
        <v>6.55</v>
      </c>
      <c r="E63" s="117">
        <v>6.5090000000000003</v>
      </c>
      <c r="F63" s="117">
        <v>6.4690000000000003</v>
      </c>
      <c r="G63" s="117">
        <v>6.4279999999999999</v>
      </c>
      <c r="H63" s="117">
        <v>6.3879999999999999</v>
      </c>
      <c r="I63" s="117">
        <v>6.3470000000000004</v>
      </c>
      <c r="J63" s="117">
        <v>6.3070000000000004</v>
      </c>
      <c r="K63" s="117">
        <v>6.266</v>
      </c>
      <c r="L63" s="117">
        <v>6.226</v>
      </c>
      <c r="M63" s="117">
        <v>6.1849999999999996</v>
      </c>
    </row>
    <row r="64" spans="1:13" x14ac:dyDescent="0.25">
      <c r="A64" s="99">
        <v>87</v>
      </c>
      <c r="B64" s="117">
        <v>6.1459999999999999</v>
      </c>
      <c r="C64" s="117">
        <v>6.1079999999999997</v>
      </c>
      <c r="D64" s="117">
        <v>6.069</v>
      </c>
      <c r="E64" s="117">
        <v>6.0309999999999997</v>
      </c>
      <c r="F64" s="117">
        <v>5.9930000000000003</v>
      </c>
      <c r="G64" s="117">
        <v>5.9550000000000001</v>
      </c>
      <c r="H64" s="117">
        <v>5.9160000000000004</v>
      </c>
      <c r="I64" s="117">
        <v>5.8780000000000001</v>
      </c>
      <c r="J64" s="117">
        <v>5.84</v>
      </c>
      <c r="K64" s="117">
        <v>5.8019999999999996</v>
      </c>
      <c r="L64" s="117">
        <v>5.7629999999999999</v>
      </c>
      <c r="M64" s="117">
        <v>5.7249999999999996</v>
      </c>
    </row>
    <row r="65" spans="1:13" x14ac:dyDescent="0.25">
      <c r="A65" s="99">
        <v>88</v>
      </c>
      <c r="B65" s="117">
        <v>5.6879999999999997</v>
      </c>
      <c r="C65" s="117">
        <v>5.6520000000000001</v>
      </c>
      <c r="D65" s="117">
        <v>5.617</v>
      </c>
      <c r="E65" s="117">
        <v>5.5810000000000004</v>
      </c>
      <c r="F65" s="117">
        <v>5.5449999999999999</v>
      </c>
      <c r="G65" s="117">
        <v>5.5090000000000003</v>
      </c>
      <c r="H65" s="117">
        <v>5.4729999999999999</v>
      </c>
      <c r="I65" s="117">
        <v>5.4370000000000003</v>
      </c>
      <c r="J65" s="117">
        <v>5.4020000000000001</v>
      </c>
      <c r="K65" s="117">
        <v>5.3659999999999997</v>
      </c>
      <c r="L65" s="117">
        <v>5.33</v>
      </c>
      <c r="M65" s="117">
        <v>5.2939999999999996</v>
      </c>
    </row>
    <row r="66" spans="1:13" x14ac:dyDescent="0.25">
      <c r="A66" s="99">
        <v>89</v>
      </c>
      <c r="B66" s="117">
        <v>5.2549999999999999</v>
      </c>
      <c r="C66" s="117">
        <v>5.2130000000000001</v>
      </c>
      <c r="D66" s="117">
        <v>5.1710000000000003</v>
      </c>
      <c r="E66" s="117">
        <v>5.1289999999999996</v>
      </c>
      <c r="F66" s="117">
        <v>5.0869999999999997</v>
      </c>
      <c r="G66" s="117">
        <v>5.0449999999999999</v>
      </c>
      <c r="H66" s="117">
        <v>5.0030000000000001</v>
      </c>
      <c r="I66" s="117">
        <v>4.9610000000000003</v>
      </c>
      <c r="J66" s="117">
        <v>4.9189999999999996</v>
      </c>
      <c r="K66" s="117">
        <v>4.8769999999999998</v>
      </c>
      <c r="L66" s="117">
        <v>4.835</v>
      </c>
      <c r="M66" s="117">
        <v>4.7930000000000001</v>
      </c>
    </row>
    <row r="67" spans="1:13" x14ac:dyDescent="0.25">
      <c r="A67" s="99">
        <v>90</v>
      </c>
      <c r="B67" s="117">
        <v>4.7569999999999997</v>
      </c>
      <c r="C67" s="117">
        <v>4.726</v>
      </c>
      <c r="D67" s="117">
        <v>4.6950000000000003</v>
      </c>
      <c r="E67" s="117">
        <v>4.6639999999999997</v>
      </c>
      <c r="F67" s="117">
        <v>4.6340000000000003</v>
      </c>
      <c r="G67" s="117">
        <v>4.6029999999999998</v>
      </c>
      <c r="H67" s="117">
        <v>4.5720000000000001</v>
      </c>
      <c r="I67" s="117">
        <v>4.5410000000000004</v>
      </c>
      <c r="J67" s="117">
        <v>4.5110000000000001</v>
      </c>
      <c r="K67" s="117">
        <v>4.4800000000000004</v>
      </c>
      <c r="L67" s="117">
        <v>4.4489999999999998</v>
      </c>
      <c r="M67" s="117">
        <v>4.4180000000000001</v>
      </c>
    </row>
    <row r="68" spans="1:13" x14ac:dyDescent="0.25">
      <c r="A68" s="99">
        <v>91</v>
      </c>
      <c r="B68" s="117">
        <v>4.3890000000000002</v>
      </c>
      <c r="C68" s="117">
        <v>4.3609999999999998</v>
      </c>
      <c r="D68" s="117">
        <v>4.3319999999999999</v>
      </c>
      <c r="E68" s="117">
        <v>4.3040000000000003</v>
      </c>
      <c r="F68" s="117">
        <v>4.2759999999999998</v>
      </c>
      <c r="G68" s="117">
        <v>4.2480000000000002</v>
      </c>
      <c r="H68" s="117">
        <v>4.2190000000000003</v>
      </c>
      <c r="I68" s="117">
        <v>4.1909999999999998</v>
      </c>
      <c r="J68" s="117">
        <v>4.1630000000000003</v>
      </c>
      <c r="K68" s="117">
        <v>4.1349999999999998</v>
      </c>
      <c r="L68" s="117">
        <v>4.1059999999999999</v>
      </c>
      <c r="M68" s="117">
        <v>4.0780000000000003</v>
      </c>
    </row>
    <row r="69" spans="1:13" x14ac:dyDescent="0.25">
      <c r="A69" s="99">
        <v>92</v>
      </c>
      <c r="B69" s="117">
        <v>4.0510000000000002</v>
      </c>
      <c r="C69" s="117">
        <v>4.0250000000000004</v>
      </c>
      <c r="D69" s="117">
        <v>3.9990000000000001</v>
      </c>
      <c r="E69" s="117">
        <v>3.9729999999999999</v>
      </c>
      <c r="F69" s="117">
        <v>3.948</v>
      </c>
      <c r="G69" s="117">
        <v>3.9220000000000002</v>
      </c>
      <c r="H69" s="117">
        <v>3.8959999999999999</v>
      </c>
      <c r="I69" s="117">
        <v>3.87</v>
      </c>
      <c r="J69" s="117">
        <v>3.8439999999999999</v>
      </c>
      <c r="K69" s="117">
        <v>3.8180000000000001</v>
      </c>
      <c r="L69" s="117">
        <v>3.7919999999999998</v>
      </c>
      <c r="M69" s="117">
        <v>3.7669999999999999</v>
      </c>
    </row>
    <row r="70" spans="1:13" x14ac:dyDescent="0.25">
      <c r="A70" s="99">
        <v>93</v>
      </c>
      <c r="B70" s="117">
        <v>3.742</v>
      </c>
      <c r="C70" s="117">
        <v>3.718</v>
      </c>
      <c r="D70" s="117">
        <v>3.6949999999999998</v>
      </c>
      <c r="E70" s="117">
        <v>3.6709999999999998</v>
      </c>
      <c r="F70" s="117">
        <v>3.6480000000000001</v>
      </c>
      <c r="G70" s="117">
        <v>3.6240000000000001</v>
      </c>
      <c r="H70" s="117">
        <v>3.601</v>
      </c>
      <c r="I70" s="117">
        <v>3.577</v>
      </c>
      <c r="J70" s="117">
        <v>3.5539999999999998</v>
      </c>
      <c r="K70" s="117">
        <v>3.5310000000000001</v>
      </c>
      <c r="L70" s="117">
        <v>3.5070000000000001</v>
      </c>
      <c r="M70" s="117">
        <v>3.484</v>
      </c>
    </row>
    <row r="71" spans="1:13" x14ac:dyDescent="0.25">
      <c r="A71" s="99">
        <v>94</v>
      </c>
      <c r="B71" s="117">
        <v>3.4609999999999999</v>
      </c>
      <c r="C71" s="117">
        <v>3.44</v>
      </c>
      <c r="D71" s="117">
        <v>3.4180000000000001</v>
      </c>
      <c r="E71" s="117">
        <v>3.3969999999999998</v>
      </c>
      <c r="F71" s="117">
        <v>3.375</v>
      </c>
      <c r="G71" s="117">
        <v>3.3540000000000001</v>
      </c>
      <c r="H71" s="117">
        <v>3.3330000000000002</v>
      </c>
      <c r="I71" s="117">
        <v>3.3109999999999999</v>
      </c>
      <c r="J71" s="117">
        <v>3.29</v>
      </c>
      <c r="K71" s="117">
        <v>3.2679999999999998</v>
      </c>
      <c r="L71" s="117">
        <v>3.2469999999999999</v>
      </c>
      <c r="M71" s="117">
        <v>3.2250000000000001</v>
      </c>
    </row>
    <row r="72" spans="1:13" x14ac:dyDescent="0.25">
      <c r="A72" s="99">
        <v>95</v>
      </c>
      <c r="B72" s="117">
        <v>3.2050000000000001</v>
      </c>
      <c r="C72" s="117">
        <v>3.1859999999999999</v>
      </c>
      <c r="D72" s="117">
        <v>3.1669999999999998</v>
      </c>
      <c r="E72" s="117">
        <v>3.1480000000000001</v>
      </c>
      <c r="F72" s="117">
        <v>3.129</v>
      </c>
      <c r="G72" s="117">
        <v>3.109</v>
      </c>
      <c r="H72" s="117">
        <v>3.09</v>
      </c>
      <c r="I72" s="117">
        <v>3.0710000000000002</v>
      </c>
      <c r="J72" s="117">
        <v>3.052</v>
      </c>
      <c r="K72" s="117">
        <v>3.0329999999999999</v>
      </c>
      <c r="L72" s="117">
        <v>3.0139999999999998</v>
      </c>
      <c r="M72" s="117">
        <v>2.9950000000000001</v>
      </c>
    </row>
    <row r="73" spans="1:13" x14ac:dyDescent="0.25">
      <c r="A73" s="99">
        <v>96</v>
      </c>
      <c r="B73" s="117">
        <v>2.976</v>
      </c>
      <c r="C73" s="117">
        <v>2.9590000000000001</v>
      </c>
      <c r="D73" s="117">
        <v>2.9420000000000002</v>
      </c>
      <c r="E73" s="117">
        <v>2.9249999999999998</v>
      </c>
      <c r="F73" s="117">
        <v>2.9079999999999999</v>
      </c>
      <c r="G73" s="117">
        <v>2.891</v>
      </c>
      <c r="H73" s="117">
        <v>2.8740000000000001</v>
      </c>
      <c r="I73" s="117">
        <v>2.8570000000000002</v>
      </c>
      <c r="J73" s="117">
        <v>2.84</v>
      </c>
      <c r="K73" s="117">
        <v>2.823</v>
      </c>
      <c r="L73" s="117">
        <v>2.806</v>
      </c>
      <c r="M73" s="117">
        <v>2.7890000000000001</v>
      </c>
    </row>
    <row r="74" spans="1:13" x14ac:dyDescent="0.25">
      <c r="A74" s="99">
        <v>97</v>
      </c>
      <c r="B74" s="117">
        <v>2.7730000000000001</v>
      </c>
      <c r="C74" s="117">
        <v>2.758</v>
      </c>
      <c r="D74" s="117">
        <v>2.7429999999999999</v>
      </c>
      <c r="E74" s="117">
        <v>2.7269999999999999</v>
      </c>
      <c r="F74" s="117">
        <v>2.7120000000000002</v>
      </c>
      <c r="G74" s="117">
        <v>2.6970000000000001</v>
      </c>
      <c r="H74" s="117">
        <v>2.6819999999999999</v>
      </c>
      <c r="I74" s="117">
        <v>2.6669999999999998</v>
      </c>
      <c r="J74" s="117">
        <v>2.6520000000000001</v>
      </c>
      <c r="K74" s="117">
        <v>2.637</v>
      </c>
      <c r="L74" s="117">
        <v>2.6219999999999999</v>
      </c>
      <c r="M74" s="117">
        <v>2.6070000000000002</v>
      </c>
    </row>
    <row r="75" spans="1:13" x14ac:dyDescent="0.25">
      <c r="A75" s="99">
        <v>98</v>
      </c>
      <c r="B75" s="117">
        <v>2.593</v>
      </c>
      <c r="C75" s="117">
        <v>2.58</v>
      </c>
      <c r="D75" s="117">
        <v>2.5670000000000002</v>
      </c>
      <c r="E75" s="117">
        <v>2.5539999999999998</v>
      </c>
      <c r="F75" s="117">
        <v>2.5409999999999999</v>
      </c>
      <c r="G75" s="117">
        <v>2.528</v>
      </c>
      <c r="H75" s="117">
        <v>2.5150000000000001</v>
      </c>
      <c r="I75" s="117">
        <v>2.5019999999999998</v>
      </c>
      <c r="J75" s="117">
        <v>2.4900000000000002</v>
      </c>
      <c r="K75" s="117">
        <v>2.4769999999999999</v>
      </c>
      <c r="L75" s="117">
        <v>2.464</v>
      </c>
      <c r="M75" s="117">
        <v>2.4510000000000001</v>
      </c>
    </row>
    <row r="76" spans="1:13" x14ac:dyDescent="0.25">
      <c r="A76" s="99">
        <v>99</v>
      </c>
      <c r="B76" s="117">
        <v>2.44</v>
      </c>
      <c r="C76" s="117">
        <v>2.4300000000000002</v>
      </c>
      <c r="D76" s="117">
        <v>2.42</v>
      </c>
      <c r="E76" s="117">
        <v>2.411</v>
      </c>
      <c r="F76" s="117">
        <v>2.4009999999999998</v>
      </c>
      <c r="G76" s="117">
        <v>2.391</v>
      </c>
      <c r="H76" s="117">
        <v>2.3809999999999998</v>
      </c>
      <c r="I76" s="117">
        <v>2.3719999999999999</v>
      </c>
      <c r="J76" s="117">
        <v>2.3620000000000001</v>
      </c>
      <c r="K76" s="117">
        <v>2.3519999999999999</v>
      </c>
      <c r="L76" s="117">
        <v>2.343</v>
      </c>
      <c r="M76" s="117">
        <v>2.3330000000000002</v>
      </c>
    </row>
    <row r="77" spans="1:13" x14ac:dyDescent="0.25">
      <c r="A77" s="99">
        <v>100</v>
      </c>
      <c r="B77" s="117">
        <v>2.3250000000000002</v>
      </c>
      <c r="C77" s="117">
        <v>2.3170000000000002</v>
      </c>
      <c r="D77" s="117">
        <v>2.31</v>
      </c>
      <c r="E77" s="117">
        <v>2.3029999999999999</v>
      </c>
      <c r="F77" s="117">
        <v>2.2949999999999999</v>
      </c>
      <c r="G77" s="117">
        <v>2.2879999999999998</v>
      </c>
      <c r="H77" s="117">
        <v>2.2810000000000001</v>
      </c>
      <c r="I77" s="117">
        <v>2.2730000000000001</v>
      </c>
      <c r="J77" s="117">
        <v>2.266</v>
      </c>
      <c r="K77" s="117">
        <v>2.2589999999999999</v>
      </c>
      <c r="L77" s="117">
        <v>2.2509999999999999</v>
      </c>
      <c r="M77" s="117">
        <v>2.2440000000000002</v>
      </c>
    </row>
    <row r="78" spans="1:13" x14ac:dyDescent="0.25">
      <c r="A78" s="99">
        <v>101</v>
      </c>
      <c r="B78" s="117">
        <v>2.2400000000000002</v>
      </c>
      <c r="C78" s="117"/>
      <c r="D78" s="117"/>
      <c r="E78" s="117"/>
      <c r="F78" s="117"/>
      <c r="G78" s="117"/>
      <c r="H78" s="117"/>
      <c r="I78" s="117"/>
      <c r="J78" s="117"/>
      <c r="K78" s="117"/>
      <c r="L78" s="117"/>
      <c r="M78" s="117"/>
    </row>
  </sheetData>
  <sheetProtection algorithmName="SHA-512" hashValue="h4ncOmfvRPiiT6s6fRsWS8Ne1ScdyVVG2Wcly4CLlMJMUMlcEWmC5BJ3Kke6EN6Bjdo3CCWRTZ1gn5zR6vtDZQ==" saltValue="zRrpuZvWA1Mh+VqMAC7CAQ==" spinCount="100000" sheet="1" objects="1" scenarios="1"/>
  <conditionalFormatting sqref="A6:A21">
    <cfRule type="expression" dxfId="221" priority="9" stopIfTrue="1">
      <formula>MOD(ROW(),2)=0</formula>
    </cfRule>
    <cfRule type="expression" dxfId="220" priority="10" stopIfTrue="1">
      <formula>MOD(ROW(),2)&lt;&gt;0</formula>
    </cfRule>
  </conditionalFormatting>
  <conditionalFormatting sqref="A26:A78">
    <cfRule type="expression" dxfId="219" priority="3" stopIfTrue="1">
      <formula>MOD(ROW(),2)=0</formula>
    </cfRule>
    <cfRule type="expression" dxfId="218" priority="4" stopIfTrue="1">
      <formula>MOD(ROW(),2)&lt;&gt;0</formula>
    </cfRule>
  </conditionalFormatting>
  <conditionalFormatting sqref="B9">
    <cfRule type="expression" dxfId="217" priority="1" stopIfTrue="1">
      <formula>MOD(ROW(),2)=0</formula>
    </cfRule>
    <cfRule type="expression" dxfId="216" priority="2" stopIfTrue="1">
      <formula>MOD(ROW(),2)&lt;&gt;0</formula>
    </cfRule>
  </conditionalFormatting>
  <conditionalFormatting sqref="B17:B21">
    <cfRule type="expression" dxfId="215" priority="7" stopIfTrue="1">
      <formula>MOD(ROW(),2)=0</formula>
    </cfRule>
    <cfRule type="expression" dxfId="214" priority="8" stopIfTrue="1">
      <formula>MOD(ROW(),2)&lt;&gt;0</formula>
    </cfRule>
  </conditionalFormatting>
  <conditionalFormatting sqref="B6:M21">
    <cfRule type="expression" dxfId="213" priority="19" stopIfTrue="1">
      <formula>MOD(ROW(),2)=0</formula>
    </cfRule>
    <cfRule type="expression" dxfId="212" priority="20" stopIfTrue="1">
      <formula>MOD(ROW(),2)&lt;&gt;0</formula>
    </cfRule>
  </conditionalFormatting>
  <conditionalFormatting sqref="B26:M78">
    <cfRule type="expression" dxfId="211" priority="5" stopIfTrue="1">
      <formula>MOD(ROW(),2)=0</formula>
    </cfRule>
    <cfRule type="expression" dxfId="210" priority="6" stopIfTrue="1">
      <formula>MOD(ROW(),2)&lt;&gt;0</formula>
    </cfRule>
  </conditionalFormatting>
  <hyperlinks>
    <hyperlink ref="B24" location="Assumptions!A1" display="Assumptions" xr:uid="{1CF8471E-2DF0-4E64-9086-B0C8980DE3A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78"/>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x-806</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580</v>
      </c>
      <c r="C8" s="161"/>
      <c r="D8" s="161"/>
      <c r="E8" s="161"/>
      <c r="F8" s="161"/>
      <c r="G8" s="161"/>
      <c r="H8" s="161"/>
      <c r="I8" s="161"/>
      <c r="J8" s="161"/>
      <c r="K8" s="161"/>
      <c r="L8" s="161"/>
      <c r="M8" s="161"/>
    </row>
    <row r="9" spans="1:13" x14ac:dyDescent="0.25">
      <c r="A9" s="85" t="s">
        <v>282</v>
      </c>
      <c r="B9" s="161" t="s">
        <v>396</v>
      </c>
      <c r="C9" s="161"/>
      <c r="D9" s="161"/>
      <c r="E9" s="161"/>
      <c r="F9" s="161"/>
      <c r="G9" s="161"/>
      <c r="H9" s="161"/>
      <c r="I9" s="161"/>
      <c r="J9" s="161"/>
      <c r="K9" s="161"/>
      <c r="L9" s="161"/>
      <c r="M9" s="161"/>
    </row>
    <row r="10" spans="1:13" x14ac:dyDescent="0.25">
      <c r="A10" s="85" t="s">
        <v>6</v>
      </c>
      <c r="B10" s="161" t="s">
        <v>598</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582</v>
      </c>
      <c r="C12" s="161"/>
      <c r="D12" s="161"/>
      <c r="E12" s="161"/>
      <c r="F12" s="161"/>
      <c r="G12" s="161"/>
      <c r="H12" s="161"/>
      <c r="I12" s="161"/>
      <c r="J12" s="161"/>
      <c r="K12" s="161"/>
      <c r="L12" s="161"/>
      <c r="M12" s="161"/>
    </row>
    <row r="13" spans="1:13" x14ac:dyDescent="0.25">
      <c r="A13" s="85" t="s">
        <v>289</v>
      </c>
      <c r="B13" s="161">
        <v>0</v>
      </c>
      <c r="C13" s="161"/>
      <c r="D13" s="161"/>
      <c r="E13" s="161"/>
      <c r="F13" s="161"/>
      <c r="G13" s="161"/>
      <c r="H13" s="161"/>
      <c r="I13" s="161"/>
      <c r="J13" s="161"/>
      <c r="K13" s="161"/>
      <c r="L13" s="161"/>
      <c r="M13" s="161"/>
    </row>
    <row r="14" spans="1:13" x14ac:dyDescent="0.25">
      <c r="A14" s="85" t="s">
        <v>291</v>
      </c>
      <c r="B14" s="161">
        <v>806</v>
      </c>
      <c r="C14" s="161"/>
      <c r="D14" s="161"/>
      <c r="E14" s="161"/>
      <c r="F14" s="161"/>
      <c r="G14" s="161"/>
      <c r="H14" s="161"/>
      <c r="I14" s="161"/>
      <c r="J14" s="161"/>
      <c r="K14" s="161"/>
      <c r="L14" s="161"/>
      <c r="M14" s="161"/>
    </row>
    <row r="15" spans="1:13" x14ac:dyDescent="0.25">
      <c r="A15" s="85" t="s">
        <v>293</v>
      </c>
      <c r="B15" s="161" t="s">
        <v>599</v>
      </c>
      <c r="C15" s="161"/>
      <c r="D15" s="161"/>
      <c r="E15" s="161"/>
      <c r="F15" s="161"/>
      <c r="G15" s="161"/>
      <c r="H15" s="161"/>
      <c r="I15" s="161"/>
      <c r="J15" s="161"/>
      <c r="K15" s="161"/>
      <c r="L15" s="161"/>
      <c r="M15" s="161"/>
    </row>
    <row r="16" spans="1:13" x14ac:dyDescent="0.25">
      <c r="A16" s="85" t="s">
        <v>295</v>
      </c>
      <c r="B16" s="161" t="s">
        <v>600</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45135</v>
      </c>
      <c r="C18" s="161"/>
      <c r="D18" s="161"/>
      <c r="E18" s="161"/>
      <c r="F18" s="161"/>
      <c r="G18" s="161"/>
      <c r="H18" s="161"/>
      <c r="I18" s="161"/>
      <c r="J18" s="161"/>
      <c r="K18" s="161"/>
      <c r="L18" s="161"/>
      <c r="M18" s="161"/>
    </row>
    <row r="19" spans="1:13" x14ac:dyDescent="0.25">
      <c r="A19" s="85" t="s">
        <v>301</v>
      </c>
      <c r="B19" s="162">
        <v>45200</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50</v>
      </c>
      <c r="B27" s="117">
        <v>0.155</v>
      </c>
      <c r="C27" s="117">
        <v>0.153</v>
      </c>
      <c r="D27" s="117">
        <v>0.152</v>
      </c>
      <c r="E27" s="117">
        <v>0.151</v>
      </c>
      <c r="F27" s="117">
        <v>0.15</v>
      </c>
      <c r="G27" s="117">
        <v>0.14899999999999999</v>
      </c>
      <c r="H27" s="117">
        <v>0.14699999999999999</v>
      </c>
      <c r="I27" s="117">
        <v>0.14599999999999999</v>
      </c>
      <c r="J27" s="117">
        <v>0.14499999999999999</v>
      </c>
      <c r="K27" s="117">
        <v>0.14399999999999999</v>
      </c>
      <c r="L27" s="117">
        <v>0.14299999999999999</v>
      </c>
      <c r="M27" s="117">
        <v>0.14099999999999999</v>
      </c>
    </row>
    <row r="28" spans="1:13" x14ac:dyDescent="0.25">
      <c r="A28" s="99">
        <v>51</v>
      </c>
      <c r="B28" s="117">
        <v>0.14000000000000001</v>
      </c>
      <c r="C28" s="117">
        <v>0.13900000000000001</v>
      </c>
      <c r="D28" s="117">
        <v>0.13800000000000001</v>
      </c>
      <c r="E28" s="117">
        <v>0.13700000000000001</v>
      </c>
      <c r="F28" s="117">
        <v>0.13500000000000001</v>
      </c>
      <c r="G28" s="117">
        <v>0.13400000000000001</v>
      </c>
      <c r="H28" s="117">
        <v>0.13300000000000001</v>
      </c>
      <c r="I28" s="117">
        <v>0.13200000000000001</v>
      </c>
      <c r="J28" s="117">
        <v>0.13</v>
      </c>
      <c r="K28" s="117">
        <v>0.129</v>
      </c>
      <c r="L28" s="117">
        <v>0.128</v>
      </c>
      <c r="M28" s="117">
        <v>0.127</v>
      </c>
    </row>
    <row r="29" spans="1:13" x14ac:dyDescent="0.25">
      <c r="A29" s="99">
        <v>52</v>
      </c>
      <c r="B29" s="117">
        <v>0.126</v>
      </c>
      <c r="C29" s="117">
        <v>0.124</v>
      </c>
      <c r="D29" s="117">
        <v>0.123</v>
      </c>
      <c r="E29" s="117">
        <v>0.122</v>
      </c>
      <c r="F29" s="117">
        <v>0.121</v>
      </c>
      <c r="G29" s="117">
        <v>0.11899999999999999</v>
      </c>
      <c r="H29" s="117">
        <v>0.11799999999999999</v>
      </c>
      <c r="I29" s="117">
        <v>0.11700000000000001</v>
      </c>
      <c r="J29" s="117">
        <v>0.11600000000000001</v>
      </c>
      <c r="K29" s="117">
        <v>0.114</v>
      </c>
      <c r="L29" s="117">
        <v>0.113</v>
      </c>
      <c r="M29" s="117">
        <v>0.112</v>
      </c>
    </row>
    <row r="30" spans="1:13" x14ac:dyDescent="0.25">
      <c r="A30" s="99">
        <v>53</v>
      </c>
      <c r="B30" s="117">
        <v>0.111</v>
      </c>
      <c r="C30" s="117">
        <v>0.109</v>
      </c>
      <c r="D30" s="117">
        <v>0.108</v>
      </c>
      <c r="E30" s="117">
        <v>0.107</v>
      </c>
      <c r="F30" s="117">
        <v>0.106</v>
      </c>
      <c r="G30" s="117">
        <v>0.104</v>
      </c>
      <c r="H30" s="117">
        <v>0.10299999999999999</v>
      </c>
      <c r="I30" s="117">
        <v>0.10199999999999999</v>
      </c>
      <c r="J30" s="117">
        <v>0.10100000000000001</v>
      </c>
      <c r="K30" s="117">
        <v>9.9000000000000005E-2</v>
      </c>
      <c r="L30" s="117">
        <v>9.8000000000000004E-2</v>
      </c>
      <c r="M30" s="117">
        <v>9.7000000000000003E-2</v>
      </c>
    </row>
    <row r="31" spans="1:13" x14ac:dyDescent="0.25">
      <c r="A31" s="99">
        <v>54</v>
      </c>
      <c r="B31" s="117">
        <v>9.6000000000000002E-2</v>
      </c>
      <c r="C31" s="117">
        <v>9.4E-2</v>
      </c>
      <c r="D31" s="117">
        <v>9.2999999999999999E-2</v>
      </c>
      <c r="E31" s="117">
        <v>9.1999999999999998E-2</v>
      </c>
      <c r="F31" s="117">
        <v>0.09</v>
      </c>
      <c r="G31" s="117">
        <v>8.8999999999999996E-2</v>
      </c>
      <c r="H31" s="117">
        <v>8.7999999999999995E-2</v>
      </c>
      <c r="I31" s="117">
        <v>8.6999999999999994E-2</v>
      </c>
      <c r="J31" s="117">
        <v>8.5000000000000006E-2</v>
      </c>
      <c r="K31" s="117">
        <v>8.4000000000000005E-2</v>
      </c>
      <c r="L31" s="117">
        <v>8.3000000000000004E-2</v>
      </c>
      <c r="M31" s="117">
        <v>8.1000000000000003E-2</v>
      </c>
    </row>
    <row r="32" spans="1:13" x14ac:dyDescent="0.25">
      <c r="A32" s="99">
        <v>55</v>
      </c>
      <c r="B32" s="117">
        <v>0.08</v>
      </c>
      <c r="C32" s="117">
        <v>7.9000000000000001E-2</v>
      </c>
      <c r="D32" s="117">
        <v>7.8E-2</v>
      </c>
      <c r="E32" s="117">
        <v>7.5999999999999998E-2</v>
      </c>
      <c r="F32" s="117">
        <v>7.4999999999999997E-2</v>
      </c>
      <c r="G32" s="117">
        <v>7.3999999999999996E-2</v>
      </c>
      <c r="H32" s="117">
        <v>7.1999999999999995E-2</v>
      </c>
      <c r="I32" s="117">
        <v>7.0999999999999994E-2</v>
      </c>
      <c r="J32" s="117">
        <v>7.0000000000000007E-2</v>
      </c>
      <c r="K32" s="117">
        <v>6.8000000000000005E-2</v>
      </c>
      <c r="L32" s="117">
        <v>6.7000000000000004E-2</v>
      </c>
      <c r="M32" s="117">
        <v>6.6000000000000003E-2</v>
      </c>
    </row>
    <row r="33" spans="1:13" x14ac:dyDescent="0.25">
      <c r="A33" s="99">
        <v>56</v>
      </c>
      <c r="B33" s="117">
        <v>6.5000000000000002E-2</v>
      </c>
      <c r="C33" s="117">
        <v>6.3E-2</v>
      </c>
      <c r="D33" s="117">
        <v>6.2E-2</v>
      </c>
      <c r="E33" s="117">
        <v>6.0999999999999999E-2</v>
      </c>
      <c r="F33" s="117">
        <v>5.8999999999999997E-2</v>
      </c>
      <c r="G33" s="117">
        <v>5.8000000000000003E-2</v>
      </c>
      <c r="H33" s="117">
        <v>5.7000000000000002E-2</v>
      </c>
      <c r="I33" s="117">
        <v>5.5E-2</v>
      </c>
      <c r="J33" s="117">
        <v>5.3999999999999999E-2</v>
      </c>
      <c r="K33" s="117">
        <v>5.2999999999999999E-2</v>
      </c>
      <c r="L33" s="117">
        <v>5.0999999999999997E-2</v>
      </c>
      <c r="M33" s="117">
        <v>0.05</v>
      </c>
    </row>
    <row r="34" spans="1:13" x14ac:dyDescent="0.25">
      <c r="A34" s="99">
        <v>57</v>
      </c>
      <c r="B34" s="117">
        <v>4.9000000000000002E-2</v>
      </c>
      <c r="C34" s="117">
        <v>4.7E-2</v>
      </c>
      <c r="D34" s="117">
        <v>4.5999999999999999E-2</v>
      </c>
      <c r="E34" s="117">
        <v>4.4999999999999998E-2</v>
      </c>
      <c r="F34" s="117">
        <v>4.2999999999999997E-2</v>
      </c>
      <c r="G34" s="117">
        <v>4.2000000000000003E-2</v>
      </c>
      <c r="H34" s="117">
        <v>4.1000000000000002E-2</v>
      </c>
      <c r="I34" s="117">
        <v>3.9E-2</v>
      </c>
      <c r="J34" s="117">
        <v>3.7999999999999999E-2</v>
      </c>
      <c r="K34" s="117">
        <v>3.6999999999999998E-2</v>
      </c>
      <c r="L34" s="117">
        <v>3.5000000000000003E-2</v>
      </c>
      <c r="M34" s="117">
        <v>3.4000000000000002E-2</v>
      </c>
    </row>
    <row r="35" spans="1:13" x14ac:dyDescent="0.25">
      <c r="A35" s="99">
        <v>58</v>
      </c>
      <c r="B35" s="117">
        <v>3.2000000000000001E-2</v>
      </c>
      <c r="C35" s="117">
        <v>3.1E-2</v>
      </c>
      <c r="D35" s="117">
        <v>0.03</v>
      </c>
      <c r="E35" s="117">
        <v>2.8000000000000001E-2</v>
      </c>
      <c r="F35" s="117">
        <v>2.7E-2</v>
      </c>
      <c r="G35" s="117">
        <v>2.5999999999999999E-2</v>
      </c>
      <c r="H35" s="117">
        <v>2.4E-2</v>
      </c>
      <c r="I35" s="117">
        <v>2.3E-2</v>
      </c>
      <c r="J35" s="117">
        <v>2.1999999999999999E-2</v>
      </c>
      <c r="K35" s="117">
        <v>0.02</v>
      </c>
      <c r="L35" s="117">
        <v>1.9E-2</v>
      </c>
      <c r="M35" s="117">
        <v>1.7000000000000001E-2</v>
      </c>
    </row>
    <row r="36" spans="1:13" x14ac:dyDescent="0.25">
      <c r="A36" s="99">
        <v>59</v>
      </c>
      <c r="B36" s="117">
        <v>1.6E-2</v>
      </c>
      <c r="C36" s="117">
        <v>1.4999999999999999E-2</v>
      </c>
      <c r="D36" s="117">
        <v>1.2999999999999999E-2</v>
      </c>
      <c r="E36" s="117">
        <v>1.2E-2</v>
      </c>
      <c r="F36" s="117">
        <v>0.01</v>
      </c>
      <c r="G36" s="117">
        <v>8.9999999999999993E-3</v>
      </c>
      <c r="H36" s="117">
        <v>8.0000000000000002E-3</v>
      </c>
      <c r="I36" s="117">
        <v>6.0000000000000001E-3</v>
      </c>
      <c r="J36" s="117">
        <v>5.0000000000000001E-3</v>
      </c>
      <c r="K36" s="117">
        <v>3.0000000000000001E-3</v>
      </c>
      <c r="L36" s="117">
        <v>2E-3</v>
      </c>
      <c r="M36" s="117">
        <v>1E-3</v>
      </c>
    </row>
    <row r="37" spans="1:13" x14ac:dyDescent="0.25">
      <c r="A37" s="99">
        <v>60</v>
      </c>
      <c r="B37" s="117">
        <v>0</v>
      </c>
      <c r="C37" s="117"/>
      <c r="D37" s="117"/>
      <c r="E37" s="117"/>
      <c r="F37" s="117"/>
      <c r="G37" s="117"/>
      <c r="H37" s="117"/>
      <c r="I37" s="117"/>
      <c r="J37" s="117"/>
      <c r="K37" s="117"/>
      <c r="L37" s="117"/>
      <c r="M37" s="117"/>
    </row>
    <row r="44" spans="1:13" ht="39.65" customHeight="1" x14ac:dyDescent="0.25"/>
    <row r="46" spans="1:13" ht="27.65" customHeight="1" x14ac:dyDescent="0.25"/>
  </sheetData>
  <sheetProtection algorithmName="SHA-512" hashValue="l/EDNMtEykKDVbIP6dKXosFVIyaJ0skrly8yfcUPXXwdFoTF1BEIKY5GwdKVMMPQgZKSAPrYjyapi/jD/SJ0wA==" saltValue="0h6uhCx9S+eMYbaKzoSlWw==" spinCount="100000" sheet="1" objects="1" scenarios="1"/>
  <conditionalFormatting sqref="A6:A21">
    <cfRule type="expression" dxfId="209" priority="9" stopIfTrue="1">
      <formula>MOD(ROW(),2)=0</formula>
    </cfRule>
    <cfRule type="expression" dxfId="208" priority="10" stopIfTrue="1">
      <formula>MOD(ROW(),2)&lt;&gt;0</formula>
    </cfRule>
  </conditionalFormatting>
  <conditionalFormatting sqref="A26:A37">
    <cfRule type="expression" dxfId="207" priority="3" stopIfTrue="1">
      <formula>MOD(ROW(),2)=0</formula>
    </cfRule>
    <cfRule type="expression" dxfId="206" priority="4" stopIfTrue="1">
      <formula>MOD(ROW(),2)&lt;&gt;0</formula>
    </cfRule>
  </conditionalFormatting>
  <conditionalFormatting sqref="B9">
    <cfRule type="expression" dxfId="205" priority="1" stopIfTrue="1">
      <formula>MOD(ROW(),2)=0</formula>
    </cfRule>
    <cfRule type="expression" dxfId="204" priority="2" stopIfTrue="1">
      <formula>MOD(ROW(),2)&lt;&gt;0</formula>
    </cfRule>
  </conditionalFormatting>
  <conditionalFormatting sqref="B17:B21">
    <cfRule type="expression" dxfId="203" priority="7" stopIfTrue="1">
      <formula>MOD(ROW(),2)=0</formula>
    </cfRule>
    <cfRule type="expression" dxfId="202" priority="8" stopIfTrue="1">
      <formula>MOD(ROW(),2)&lt;&gt;0</formula>
    </cfRule>
  </conditionalFormatting>
  <conditionalFormatting sqref="B6:M21">
    <cfRule type="expression" dxfId="201" priority="19" stopIfTrue="1">
      <formula>MOD(ROW(),2)=0</formula>
    </cfRule>
    <cfRule type="expression" dxfId="200" priority="20" stopIfTrue="1">
      <formula>MOD(ROW(),2)&lt;&gt;0</formula>
    </cfRule>
  </conditionalFormatting>
  <conditionalFormatting sqref="B26:M37">
    <cfRule type="expression" dxfId="199" priority="5" stopIfTrue="1">
      <formula>MOD(ROW(),2)=0</formula>
    </cfRule>
    <cfRule type="expression" dxfId="198" priority="6" stopIfTrue="1">
      <formula>MOD(ROW(),2)&lt;&gt;0</formula>
    </cfRule>
  </conditionalFormatting>
  <hyperlinks>
    <hyperlink ref="B24" location="Assumptions!A1" display="Assumptions" xr:uid="{B4ABDF7E-01CB-467F-9960-6DAA7218DE6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79"/>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x-807</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601</v>
      </c>
      <c r="C8" s="161"/>
      <c r="D8" s="161"/>
      <c r="E8" s="161"/>
      <c r="F8" s="161"/>
      <c r="G8" s="161"/>
      <c r="H8" s="161"/>
      <c r="I8" s="161"/>
      <c r="J8" s="161"/>
      <c r="K8" s="161"/>
      <c r="L8" s="161"/>
      <c r="M8" s="161"/>
    </row>
    <row r="9" spans="1:13" x14ac:dyDescent="0.25">
      <c r="A9" s="85" t="s">
        <v>282</v>
      </c>
      <c r="B9" s="161" t="s">
        <v>396</v>
      </c>
      <c r="C9" s="161"/>
      <c r="D9" s="161"/>
      <c r="E9" s="161"/>
      <c r="F9" s="161"/>
      <c r="G9" s="161"/>
      <c r="H9" s="161"/>
      <c r="I9" s="161"/>
      <c r="J9" s="161"/>
      <c r="K9" s="161"/>
      <c r="L9" s="161"/>
      <c r="M9" s="161"/>
    </row>
    <row r="10" spans="1:13" x14ac:dyDescent="0.25">
      <c r="A10" s="85" t="s">
        <v>6</v>
      </c>
      <c r="B10" s="161" t="s">
        <v>602</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582</v>
      </c>
      <c r="C12" s="161"/>
      <c r="D12" s="161"/>
      <c r="E12" s="161"/>
      <c r="F12" s="161"/>
      <c r="G12" s="161"/>
      <c r="H12" s="161"/>
      <c r="I12" s="161"/>
      <c r="J12" s="161"/>
      <c r="K12" s="161"/>
      <c r="L12" s="161"/>
      <c r="M12" s="161"/>
    </row>
    <row r="13" spans="1:13" x14ac:dyDescent="0.25">
      <c r="A13" s="85" t="s">
        <v>289</v>
      </c>
      <c r="B13" s="161">
        <v>0</v>
      </c>
      <c r="C13" s="161"/>
      <c r="D13" s="161"/>
      <c r="E13" s="161"/>
      <c r="F13" s="161"/>
      <c r="G13" s="161"/>
      <c r="H13" s="161"/>
      <c r="I13" s="161"/>
      <c r="J13" s="161"/>
      <c r="K13" s="161"/>
      <c r="L13" s="161"/>
      <c r="M13" s="161"/>
    </row>
    <row r="14" spans="1:13" x14ac:dyDescent="0.25">
      <c r="A14" s="85" t="s">
        <v>291</v>
      </c>
      <c r="B14" s="161">
        <v>807</v>
      </c>
      <c r="C14" s="161"/>
      <c r="D14" s="161"/>
      <c r="E14" s="161"/>
      <c r="F14" s="161"/>
      <c r="G14" s="161"/>
      <c r="H14" s="161"/>
      <c r="I14" s="161"/>
      <c r="J14" s="161"/>
      <c r="K14" s="161"/>
      <c r="L14" s="161"/>
      <c r="M14" s="161"/>
    </row>
    <row r="15" spans="1:13" x14ac:dyDescent="0.25">
      <c r="A15" s="85" t="s">
        <v>293</v>
      </c>
      <c r="B15" s="161" t="s">
        <v>603</v>
      </c>
      <c r="C15" s="161"/>
      <c r="D15" s="161"/>
      <c r="E15" s="161"/>
      <c r="F15" s="161"/>
      <c r="G15" s="161"/>
      <c r="H15" s="161"/>
      <c r="I15" s="161"/>
      <c r="J15" s="161"/>
      <c r="K15" s="161"/>
      <c r="L15" s="161"/>
      <c r="M15" s="161"/>
    </row>
    <row r="16" spans="1:13" x14ac:dyDescent="0.25">
      <c r="A16" s="85" t="s">
        <v>295</v>
      </c>
      <c r="B16" s="161" t="s">
        <v>604</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45135</v>
      </c>
      <c r="C18" s="161"/>
      <c r="D18" s="161"/>
      <c r="E18" s="161"/>
      <c r="F18" s="161"/>
      <c r="G18" s="161"/>
      <c r="H18" s="161"/>
      <c r="I18" s="161"/>
      <c r="J18" s="161"/>
      <c r="K18" s="161"/>
      <c r="L18" s="161"/>
      <c r="M18" s="161"/>
    </row>
    <row r="19" spans="1:13" x14ac:dyDescent="0.25">
      <c r="A19" s="85" t="s">
        <v>301</v>
      </c>
      <c r="B19" s="162">
        <v>45200</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55</v>
      </c>
      <c r="B27" s="117">
        <v>9.0909999999999993</v>
      </c>
      <c r="C27" s="117">
        <v>9.02</v>
      </c>
      <c r="D27" s="117">
        <v>8.9499999999999993</v>
      </c>
      <c r="E27" s="117">
        <v>8.8789999999999996</v>
      </c>
      <c r="F27" s="117">
        <v>8.8089999999999993</v>
      </c>
      <c r="G27" s="117">
        <v>8.7379999999999995</v>
      </c>
      <c r="H27" s="117">
        <v>8.6679999999999993</v>
      </c>
      <c r="I27" s="117">
        <v>8.5969999999999995</v>
      </c>
      <c r="J27" s="117">
        <v>8.5269999999999992</v>
      </c>
      <c r="K27" s="117">
        <v>8.4559999999999995</v>
      </c>
      <c r="L27" s="117">
        <v>8.3859999999999992</v>
      </c>
      <c r="M27" s="117">
        <v>8.3149999999999995</v>
      </c>
    </row>
    <row r="28" spans="1:13" x14ac:dyDescent="0.25">
      <c r="A28" s="99">
        <v>56</v>
      </c>
      <c r="B28" s="117">
        <v>8.2439999999999998</v>
      </c>
      <c r="C28" s="117">
        <v>8.1720000000000006</v>
      </c>
      <c r="D28" s="117">
        <v>8.1010000000000009</v>
      </c>
      <c r="E28" s="117">
        <v>8.0289999999999999</v>
      </c>
      <c r="F28" s="117">
        <v>7.9569999999999999</v>
      </c>
      <c r="G28" s="117">
        <v>7.8860000000000001</v>
      </c>
      <c r="H28" s="117">
        <v>7.8140000000000001</v>
      </c>
      <c r="I28" s="117">
        <v>7.742</v>
      </c>
      <c r="J28" s="117">
        <v>7.6710000000000003</v>
      </c>
      <c r="K28" s="117">
        <v>7.5990000000000002</v>
      </c>
      <c r="L28" s="117">
        <v>7.5270000000000001</v>
      </c>
      <c r="M28" s="117">
        <v>7.4560000000000004</v>
      </c>
    </row>
    <row r="29" spans="1:13" x14ac:dyDescent="0.25">
      <c r="A29" s="99">
        <v>57</v>
      </c>
      <c r="B29" s="117">
        <v>7.3840000000000003</v>
      </c>
      <c r="C29" s="117">
        <v>7.3109999999999999</v>
      </c>
      <c r="D29" s="117">
        <v>7.2380000000000004</v>
      </c>
      <c r="E29" s="117">
        <v>7.165</v>
      </c>
      <c r="F29" s="117">
        <v>7.0919999999999996</v>
      </c>
      <c r="G29" s="117">
        <v>7.02</v>
      </c>
      <c r="H29" s="117">
        <v>6.9470000000000001</v>
      </c>
      <c r="I29" s="117">
        <v>6.8739999999999997</v>
      </c>
      <c r="J29" s="117">
        <v>6.8010000000000002</v>
      </c>
      <c r="K29" s="117">
        <v>6.7279999999999998</v>
      </c>
      <c r="L29" s="117">
        <v>6.6559999999999997</v>
      </c>
      <c r="M29" s="117">
        <v>6.5830000000000002</v>
      </c>
    </row>
    <row r="30" spans="1:13" x14ac:dyDescent="0.25">
      <c r="A30" s="99">
        <v>58</v>
      </c>
      <c r="B30" s="117">
        <v>6.51</v>
      </c>
      <c r="C30" s="117">
        <v>6.4359999999999999</v>
      </c>
      <c r="D30" s="117">
        <v>6.3620000000000001</v>
      </c>
      <c r="E30" s="117">
        <v>6.2880000000000003</v>
      </c>
      <c r="F30" s="117">
        <v>6.2140000000000004</v>
      </c>
      <c r="G30" s="117">
        <v>6.14</v>
      </c>
      <c r="H30" s="117">
        <v>6.0659999999999998</v>
      </c>
      <c r="I30" s="117">
        <v>5.992</v>
      </c>
      <c r="J30" s="117">
        <v>5.9180000000000001</v>
      </c>
      <c r="K30" s="117">
        <v>5.8440000000000003</v>
      </c>
      <c r="L30" s="117">
        <v>5.77</v>
      </c>
      <c r="M30" s="117">
        <v>5.6959999999999997</v>
      </c>
    </row>
    <row r="31" spans="1:13" x14ac:dyDescent="0.25">
      <c r="A31" s="99">
        <v>59</v>
      </c>
      <c r="B31" s="117">
        <v>5.6219999999999999</v>
      </c>
      <c r="C31" s="117">
        <v>5.5469999999999997</v>
      </c>
      <c r="D31" s="117">
        <v>5.4720000000000004</v>
      </c>
      <c r="E31" s="117">
        <v>5.3970000000000002</v>
      </c>
      <c r="F31" s="117">
        <v>5.3220000000000001</v>
      </c>
      <c r="G31" s="117">
        <v>5.2469999999999999</v>
      </c>
      <c r="H31" s="117">
        <v>5.1719999999999997</v>
      </c>
      <c r="I31" s="117">
        <v>5.0970000000000004</v>
      </c>
      <c r="J31" s="117">
        <v>5.0209999999999999</v>
      </c>
      <c r="K31" s="117">
        <v>4.9459999999999997</v>
      </c>
      <c r="L31" s="117">
        <v>4.8710000000000004</v>
      </c>
      <c r="M31" s="117">
        <v>4.7960000000000003</v>
      </c>
    </row>
    <row r="32" spans="1:13" x14ac:dyDescent="0.25">
      <c r="A32" s="99">
        <v>60</v>
      </c>
      <c r="B32" s="117">
        <v>4.7210000000000001</v>
      </c>
      <c r="C32" s="117">
        <v>4.6440000000000001</v>
      </c>
      <c r="D32" s="117">
        <v>4.5679999999999996</v>
      </c>
      <c r="E32" s="117">
        <v>4.492</v>
      </c>
      <c r="F32" s="117">
        <v>4.415</v>
      </c>
      <c r="G32" s="117">
        <v>4.3390000000000004</v>
      </c>
      <c r="H32" s="117">
        <v>4.2629999999999999</v>
      </c>
      <c r="I32" s="117">
        <v>4.1859999999999999</v>
      </c>
      <c r="J32" s="117">
        <v>4.1100000000000003</v>
      </c>
      <c r="K32" s="117">
        <v>4.0339999999999998</v>
      </c>
      <c r="L32" s="117">
        <v>3.9569999999999999</v>
      </c>
      <c r="M32" s="117">
        <v>3.8809999999999998</v>
      </c>
    </row>
    <row r="33" spans="1:13" x14ac:dyDescent="0.25">
      <c r="A33" s="99">
        <v>61</v>
      </c>
      <c r="B33" s="117">
        <v>3.8039999999999998</v>
      </c>
      <c r="C33" s="117">
        <v>3.726</v>
      </c>
      <c r="D33" s="117">
        <v>3.649</v>
      </c>
      <c r="E33" s="117">
        <v>3.5710000000000002</v>
      </c>
      <c r="F33" s="117">
        <v>3.4929999999999999</v>
      </c>
      <c r="G33" s="117">
        <v>3.415</v>
      </c>
      <c r="H33" s="117">
        <v>3.3380000000000001</v>
      </c>
      <c r="I33" s="117">
        <v>3.26</v>
      </c>
      <c r="J33" s="117">
        <v>3.1819999999999999</v>
      </c>
      <c r="K33" s="117">
        <v>3.1040000000000001</v>
      </c>
      <c r="L33" s="117">
        <v>3.0270000000000001</v>
      </c>
      <c r="M33" s="117">
        <v>2.9489999999999998</v>
      </c>
    </row>
    <row r="34" spans="1:13" x14ac:dyDescent="0.25">
      <c r="A34" s="99">
        <v>62</v>
      </c>
      <c r="B34" s="117">
        <v>2.87</v>
      </c>
      <c r="C34" s="117">
        <v>2.7909999999999999</v>
      </c>
      <c r="D34" s="117">
        <v>2.7120000000000002</v>
      </c>
      <c r="E34" s="117">
        <v>2.633</v>
      </c>
      <c r="F34" s="117">
        <v>2.5529999999999999</v>
      </c>
      <c r="G34" s="117">
        <v>2.4740000000000002</v>
      </c>
      <c r="H34" s="117">
        <v>2.395</v>
      </c>
      <c r="I34" s="117">
        <v>2.3159999999999998</v>
      </c>
      <c r="J34" s="117">
        <v>2.2370000000000001</v>
      </c>
      <c r="K34" s="117">
        <v>2.157</v>
      </c>
      <c r="L34" s="117">
        <v>2.0779999999999998</v>
      </c>
      <c r="M34" s="117">
        <v>1.9990000000000001</v>
      </c>
    </row>
    <row r="35" spans="1:13" x14ac:dyDescent="0.25">
      <c r="A35" s="99">
        <v>63</v>
      </c>
      <c r="B35" s="117">
        <v>1.919</v>
      </c>
      <c r="C35" s="117">
        <v>1.8380000000000001</v>
      </c>
      <c r="D35" s="117">
        <v>1.7569999999999999</v>
      </c>
      <c r="E35" s="117">
        <v>1.6759999999999999</v>
      </c>
      <c r="F35" s="117">
        <v>1.5960000000000001</v>
      </c>
      <c r="G35" s="117">
        <v>1.5149999999999999</v>
      </c>
      <c r="H35" s="117">
        <v>1.4339999999999999</v>
      </c>
      <c r="I35" s="117">
        <v>1.353</v>
      </c>
      <c r="J35" s="117">
        <v>1.272</v>
      </c>
      <c r="K35" s="117">
        <v>1.1919999999999999</v>
      </c>
      <c r="L35" s="117">
        <v>1.111</v>
      </c>
      <c r="M35" s="117">
        <v>1.03</v>
      </c>
    </row>
    <row r="36" spans="1:13" x14ac:dyDescent="0.25">
      <c r="A36" s="99">
        <v>64</v>
      </c>
      <c r="B36" s="117">
        <v>0.94799999999999995</v>
      </c>
      <c r="C36" s="117">
        <v>0.86599999999999999</v>
      </c>
      <c r="D36" s="117">
        <v>0.78300000000000003</v>
      </c>
      <c r="E36" s="117">
        <v>0.70099999999999996</v>
      </c>
      <c r="F36" s="117">
        <v>0.61799999999999999</v>
      </c>
      <c r="G36" s="117">
        <v>0.53600000000000003</v>
      </c>
      <c r="H36" s="117">
        <v>0.45400000000000001</v>
      </c>
      <c r="I36" s="117">
        <v>0.371</v>
      </c>
      <c r="J36" s="117">
        <v>0.28899999999999998</v>
      </c>
      <c r="K36" s="117">
        <v>0.20599999999999999</v>
      </c>
      <c r="L36" s="117">
        <v>0.124</v>
      </c>
      <c r="M36" s="117">
        <v>4.1000000000000002E-2</v>
      </c>
    </row>
    <row r="37" spans="1:13" x14ac:dyDescent="0.25">
      <c r="A37" s="99">
        <v>65</v>
      </c>
      <c r="B37" s="117">
        <v>0</v>
      </c>
      <c r="C37" s="117"/>
      <c r="D37" s="117"/>
      <c r="E37" s="117"/>
      <c r="F37" s="117"/>
      <c r="G37" s="117"/>
      <c r="H37" s="117"/>
      <c r="I37" s="117"/>
      <c r="J37" s="117"/>
      <c r="K37" s="117"/>
      <c r="L37" s="117"/>
      <c r="M37" s="117"/>
    </row>
    <row r="44" spans="1:13" ht="39.65" customHeight="1" x14ac:dyDescent="0.25"/>
    <row r="46" spans="1:13" ht="27.65" customHeight="1" x14ac:dyDescent="0.25"/>
  </sheetData>
  <sheetProtection algorithmName="SHA-512" hashValue="XR4MhkHYPmmmnXEgESItpdJTgnBR/SfA5nLLuDj3pdmJ41gLrB85CTAlWFmltCkOIhx7xTtSLYFCkXt1H4QQLA==" saltValue="PqlTLszm321UZa/rHq9hIg==" spinCount="100000" sheet="1" objects="1" scenarios="1"/>
  <conditionalFormatting sqref="A6:A21">
    <cfRule type="expression" dxfId="197" priority="9" stopIfTrue="1">
      <formula>MOD(ROW(),2)=0</formula>
    </cfRule>
    <cfRule type="expression" dxfId="196" priority="10" stopIfTrue="1">
      <formula>MOD(ROW(),2)&lt;&gt;0</formula>
    </cfRule>
  </conditionalFormatting>
  <conditionalFormatting sqref="A26:A37">
    <cfRule type="expression" dxfId="195" priority="3" stopIfTrue="1">
      <formula>MOD(ROW(),2)=0</formula>
    </cfRule>
    <cfRule type="expression" dxfId="194" priority="4" stopIfTrue="1">
      <formula>MOD(ROW(),2)&lt;&gt;0</formula>
    </cfRule>
  </conditionalFormatting>
  <conditionalFormatting sqref="B9">
    <cfRule type="expression" dxfId="193" priority="1" stopIfTrue="1">
      <formula>MOD(ROW(),2)=0</formula>
    </cfRule>
    <cfRule type="expression" dxfId="192" priority="2" stopIfTrue="1">
      <formula>MOD(ROW(),2)&lt;&gt;0</formula>
    </cfRule>
  </conditionalFormatting>
  <conditionalFormatting sqref="B17:B21">
    <cfRule type="expression" dxfId="191" priority="7" stopIfTrue="1">
      <formula>MOD(ROW(),2)=0</formula>
    </cfRule>
    <cfRule type="expression" dxfId="190" priority="8" stopIfTrue="1">
      <formula>MOD(ROW(),2)&lt;&gt;0</formula>
    </cfRule>
  </conditionalFormatting>
  <conditionalFormatting sqref="B6:M21">
    <cfRule type="expression" dxfId="189" priority="19" stopIfTrue="1">
      <formula>MOD(ROW(),2)=0</formula>
    </cfRule>
    <cfRule type="expression" dxfId="188" priority="20" stopIfTrue="1">
      <formula>MOD(ROW(),2)&lt;&gt;0</formula>
    </cfRule>
  </conditionalFormatting>
  <conditionalFormatting sqref="B26:M37">
    <cfRule type="expression" dxfId="187" priority="5" stopIfTrue="1">
      <formula>MOD(ROW(),2)=0</formula>
    </cfRule>
    <cfRule type="expression" dxfId="186" priority="6" stopIfTrue="1">
      <formula>MOD(ROW(),2)&lt;&gt;0</formula>
    </cfRule>
  </conditionalFormatting>
  <hyperlinks>
    <hyperlink ref="B24" location="Assumptions!A1" display="Assumptions" xr:uid="{ADEE837D-146C-4EB7-999A-F1194908897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80"/>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x-808</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601</v>
      </c>
      <c r="C8" s="161"/>
      <c r="D8" s="161"/>
      <c r="E8" s="161"/>
      <c r="F8" s="161"/>
      <c r="G8" s="161"/>
      <c r="H8" s="161"/>
      <c r="I8" s="161"/>
      <c r="J8" s="161"/>
      <c r="K8" s="161"/>
      <c r="L8" s="161"/>
      <c r="M8" s="161"/>
    </row>
    <row r="9" spans="1:13" x14ac:dyDescent="0.25">
      <c r="A9" s="85" t="s">
        <v>282</v>
      </c>
      <c r="B9" s="161" t="s">
        <v>396</v>
      </c>
      <c r="C9" s="161"/>
      <c r="D9" s="161"/>
      <c r="E9" s="161"/>
      <c r="F9" s="161"/>
      <c r="G9" s="161"/>
      <c r="H9" s="161"/>
      <c r="I9" s="161"/>
      <c r="J9" s="161"/>
      <c r="K9" s="161"/>
      <c r="L9" s="161"/>
      <c r="M9" s="161"/>
    </row>
    <row r="10" spans="1:13" x14ac:dyDescent="0.25">
      <c r="A10" s="85" t="s">
        <v>6</v>
      </c>
      <c r="B10" s="161" t="s">
        <v>605</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582</v>
      </c>
      <c r="C12" s="161"/>
      <c r="D12" s="161"/>
      <c r="E12" s="161"/>
      <c r="F12" s="161"/>
      <c r="G12" s="161"/>
      <c r="H12" s="161"/>
      <c r="I12" s="161"/>
      <c r="J12" s="161"/>
      <c r="K12" s="161"/>
      <c r="L12" s="161"/>
      <c r="M12" s="161"/>
    </row>
    <row r="13" spans="1:13" x14ac:dyDescent="0.25">
      <c r="A13" s="85" t="s">
        <v>289</v>
      </c>
      <c r="B13" s="161">
        <v>0</v>
      </c>
      <c r="C13" s="161"/>
      <c r="D13" s="161"/>
      <c r="E13" s="161"/>
      <c r="F13" s="161"/>
      <c r="G13" s="161"/>
      <c r="H13" s="161"/>
      <c r="I13" s="161"/>
      <c r="J13" s="161"/>
      <c r="K13" s="161"/>
      <c r="L13" s="161"/>
      <c r="M13" s="161"/>
    </row>
    <row r="14" spans="1:13" x14ac:dyDescent="0.25">
      <c r="A14" s="85" t="s">
        <v>291</v>
      </c>
      <c r="B14" s="161">
        <v>808</v>
      </c>
      <c r="C14" s="161"/>
      <c r="D14" s="161"/>
      <c r="E14" s="161"/>
      <c r="F14" s="161"/>
      <c r="G14" s="161"/>
      <c r="H14" s="161"/>
      <c r="I14" s="161"/>
      <c r="J14" s="161"/>
      <c r="K14" s="161"/>
      <c r="L14" s="161"/>
      <c r="M14" s="161"/>
    </row>
    <row r="15" spans="1:13" x14ac:dyDescent="0.25">
      <c r="A15" s="85" t="s">
        <v>293</v>
      </c>
      <c r="B15" s="161" t="s">
        <v>606</v>
      </c>
      <c r="C15" s="161"/>
      <c r="D15" s="161"/>
      <c r="E15" s="161"/>
      <c r="F15" s="161"/>
      <c r="G15" s="161"/>
      <c r="H15" s="161"/>
      <c r="I15" s="161"/>
      <c r="J15" s="161"/>
      <c r="K15" s="161"/>
      <c r="L15" s="161"/>
      <c r="M15" s="161"/>
    </row>
    <row r="16" spans="1:13" x14ac:dyDescent="0.25">
      <c r="A16" s="85" t="s">
        <v>295</v>
      </c>
      <c r="B16" s="161" t="s">
        <v>607</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45135</v>
      </c>
      <c r="C18" s="161"/>
      <c r="D18" s="161"/>
      <c r="E18" s="161"/>
      <c r="F18" s="161"/>
      <c r="G18" s="161"/>
      <c r="H18" s="161"/>
      <c r="I18" s="161"/>
      <c r="J18" s="161"/>
      <c r="K18" s="161"/>
      <c r="L18" s="161"/>
      <c r="M18" s="161"/>
    </row>
    <row r="19" spans="1:13" x14ac:dyDescent="0.25">
      <c r="A19" s="85" t="s">
        <v>301</v>
      </c>
      <c r="B19" s="162">
        <v>45200</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55</v>
      </c>
      <c r="B27" s="117">
        <v>0.155</v>
      </c>
      <c r="C27" s="117">
        <v>0.153</v>
      </c>
      <c r="D27" s="117">
        <v>0.152</v>
      </c>
      <c r="E27" s="117">
        <v>0.151</v>
      </c>
      <c r="F27" s="117">
        <v>0.15</v>
      </c>
      <c r="G27" s="117">
        <v>0.14899999999999999</v>
      </c>
      <c r="H27" s="117">
        <v>0.14699999999999999</v>
      </c>
      <c r="I27" s="117">
        <v>0.14599999999999999</v>
      </c>
      <c r="J27" s="117">
        <v>0.14499999999999999</v>
      </c>
      <c r="K27" s="117">
        <v>0.14399999999999999</v>
      </c>
      <c r="L27" s="117">
        <v>0.14299999999999999</v>
      </c>
      <c r="M27" s="117">
        <v>0.14099999999999999</v>
      </c>
    </row>
    <row r="28" spans="1:13" x14ac:dyDescent="0.25">
      <c r="A28" s="99">
        <v>56</v>
      </c>
      <c r="B28" s="117">
        <v>0.14000000000000001</v>
      </c>
      <c r="C28" s="117">
        <v>0.13900000000000001</v>
      </c>
      <c r="D28" s="117">
        <v>0.13800000000000001</v>
      </c>
      <c r="E28" s="117">
        <v>0.13700000000000001</v>
      </c>
      <c r="F28" s="117">
        <v>0.13500000000000001</v>
      </c>
      <c r="G28" s="117">
        <v>0.13400000000000001</v>
      </c>
      <c r="H28" s="117">
        <v>0.13300000000000001</v>
      </c>
      <c r="I28" s="117">
        <v>0.13200000000000001</v>
      </c>
      <c r="J28" s="117">
        <v>0.13</v>
      </c>
      <c r="K28" s="117">
        <v>0.129</v>
      </c>
      <c r="L28" s="117">
        <v>0.128</v>
      </c>
      <c r="M28" s="117">
        <v>0.127</v>
      </c>
    </row>
    <row r="29" spans="1:13" x14ac:dyDescent="0.25">
      <c r="A29" s="99">
        <v>57</v>
      </c>
      <c r="B29" s="117">
        <v>0.126</v>
      </c>
      <c r="C29" s="117">
        <v>0.124</v>
      </c>
      <c r="D29" s="117">
        <v>0.123</v>
      </c>
      <c r="E29" s="117">
        <v>0.122</v>
      </c>
      <c r="F29" s="117">
        <v>0.121</v>
      </c>
      <c r="G29" s="117">
        <v>0.11899999999999999</v>
      </c>
      <c r="H29" s="117">
        <v>0.11799999999999999</v>
      </c>
      <c r="I29" s="117">
        <v>0.11700000000000001</v>
      </c>
      <c r="J29" s="117">
        <v>0.11600000000000001</v>
      </c>
      <c r="K29" s="117">
        <v>0.114</v>
      </c>
      <c r="L29" s="117">
        <v>0.113</v>
      </c>
      <c r="M29" s="117">
        <v>0.112</v>
      </c>
    </row>
    <row r="30" spans="1:13" x14ac:dyDescent="0.25">
      <c r="A30" s="99">
        <v>58</v>
      </c>
      <c r="B30" s="117">
        <v>0.111</v>
      </c>
      <c r="C30" s="117">
        <v>0.109</v>
      </c>
      <c r="D30" s="117">
        <v>0.108</v>
      </c>
      <c r="E30" s="117">
        <v>0.107</v>
      </c>
      <c r="F30" s="117">
        <v>0.106</v>
      </c>
      <c r="G30" s="117">
        <v>0.104</v>
      </c>
      <c r="H30" s="117">
        <v>0.10299999999999999</v>
      </c>
      <c r="I30" s="117">
        <v>0.10199999999999999</v>
      </c>
      <c r="J30" s="117">
        <v>0.10100000000000001</v>
      </c>
      <c r="K30" s="117">
        <v>9.9000000000000005E-2</v>
      </c>
      <c r="L30" s="117">
        <v>9.8000000000000004E-2</v>
      </c>
      <c r="M30" s="117">
        <v>9.7000000000000003E-2</v>
      </c>
    </row>
    <row r="31" spans="1:13" x14ac:dyDescent="0.25">
      <c r="A31" s="99">
        <v>59</v>
      </c>
      <c r="B31" s="117">
        <v>9.6000000000000002E-2</v>
      </c>
      <c r="C31" s="117">
        <v>9.4E-2</v>
      </c>
      <c r="D31" s="117">
        <v>9.2999999999999999E-2</v>
      </c>
      <c r="E31" s="117">
        <v>9.1999999999999998E-2</v>
      </c>
      <c r="F31" s="117">
        <v>0.09</v>
      </c>
      <c r="G31" s="117">
        <v>8.8999999999999996E-2</v>
      </c>
      <c r="H31" s="117">
        <v>8.7999999999999995E-2</v>
      </c>
      <c r="I31" s="117">
        <v>8.6999999999999994E-2</v>
      </c>
      <c r="J31" s="117">
        <v>8.5000000000000006E-2</v>
      </c>
      <c r="K31" s="117">
        <v>8.4000000000000005E-2</v>
      </c>
      <c r="L31" s="117">
        <v>8.3000000000000004E-2</v>
      </c>
      <c r="M31" s="117">
        <v>8.1000000000000003E-2</v>
      </c>
    </row>
    <row r="32" spans="1:13" x14ac:dyDescent="0.25">
      <c r="A32" s="99">
        <v>60</v>
      </c>
      <c r="B32" s="117">
        <v>0.08</v>
      </c>
      <c r="C32" s="117">
        <v>7.9000000000000001E-2</v>
      </c>
      <c r="D32" s="117">
        <v>7.8E-2</v>
      </c>
      <c r="E32" s="117">
        <v>7.5999999999999998E-2</v>
      </c>
      <c r="F32" s="117">
        <v>7.4999999999999997E-2</v>
      </c>
      <c r="G32" s="117">
        <v>7.3999999999999996E-2</v>
      </c>
      <c r="H32" s="117">
        <v>7.1999999999999995E-2</v>
      </c>
      <c r="I32" s="117">
        <v>7.0999999999999994E-2</v>
      </c>
      <c r="J32" s="117">
        <v>7.0000000000000007E-2</v>
      </c>
      <c r="K32" s="117">
        <v>6.8000000000000005E-2</v>
      </c>
      <c r="L32" s="117">
        <v>6.7000000000000004E-2</v>
      </c>
      <c r="M32" s="117">
        <v>6.6000000000000003E-2</v>
      </c>
    </row>
    <row r="33" spans="1:13" x14ac:dyDescent="0.25">
      <c r="A33" s="99">
        <v>61</v>
      </c>
      <c r="B33" s="117">
        <v>6.5000000000000002E-2</v>
      </c>
      <c r="C33" s="117">
        <v>6.3E-2</v>
      </c>
      <c r="D33" s="117">
        <v>6.2E-2</v>
      </c>
      <c r="E33" s="117">
        <v>6.0999999999999999E-2</v>
      </c>
      <c r="F33" s="117">
        <v>5.8999999999999997E-2</v>
      </c>
      <c r="G33" s="117">
        <v>5.8000000000000003E-2</v>
      </c>
      <c r="H33" s="117">
        <v>5.7000000000000002E-2</v>
      </c>
      <c r="I33" s="117">
        <v>5.5E-2</v>
      </c>
      <c r="J33" s="117">
        <v>5.3999999999999999E-2</v>
      </c>
      <c r="K33" s="117">
        <v>5.2999999999999999E-2</v>
      </c>
      <c r="L33" s="117">
        <v>5.0999999999999997E-2</v>
      </c>
      <c r="M33" s="117">
        <v>0.05</v>
      </c>
    </row>
    <row r="34" spans="1:13" x14ac:dyDescent="0.25">
      <c r="A34" s="99">
        <v>62</v>
      </c>
      <c r="B34" s="117">
        <v>4.9000000000000002E-2</v>
      </c>
      <c r="C34" s="117">
        <v>4.7E-2</v>
      </c>
      <c r="D34" s="117">
        <v>4.5999999999999999E-2</v>
      </c>
      <c r="E34" s="117">
        <v>4.4999999999999998E-2</v>
      </c>
      <c r="F34" s="117">
        <v>4.2999999999999997E-2</v>
      </c>
      <c r="G34" s="117">
        <v>4.2000000000000003E-2</v>
      </c>
      <c r="H34" s="117">
        <v>4.1000000000000002E-2</v>
      </c>
      <c r="I34" s="117">
        <v>3.9E-2</v>
      </c>
      <c r="J34" s="117">
        <v>3.7999999999999999E-2</v>
      </c>
      <c r="K34" s="117">
        <v>3.6999999999999998E-2</v>
      </c>
      <c r="L34" s="117">
        <v>3.5000000000000003E-2</v>
      </c>
      <c r="M34" s="117">
        <v>3.4000000000000002E-2</v>
      </c>
    </row>
    <row r="35" spans="1:13" x14ac:dyDescent="0.25">
      <c r="A35" s="99">
        <v>63</v>
      </c>
      <c r="B35" s="117">
        <v>3.2000000000000001E-2</v>
      </c>
      <c r="C35" s="117">
        <v>3.1E-2</v>
      </c>
      <c r="D35" s="117">
        <v>0.03</v>
      </c>
      <c r="E35" s="117">
        <v>2.8000000000000001E-2</v>
      </c>
      <c r="F35" s="117">
        <v>2.7E-2</v>
      </c>
      <c r="G35" s="117">
        <v>2.5999999999999999E-2</v>
      </c>
      <c r="H35" s="117">
        <v>2.4E-2</v>
      </c>
      <c r="I35" s="117">
        <v>2.3E-2</v>
      </c>
      <c r="J35" s="117">
        <v>2.1999999999999999E-2</v>
      </c>
      <c r="K35" s="117">
        <v>0.02</v>
      </c>
      <c r="L35" s="117">
        <v>1.9E-2</v>
      </c>
      <c r="M35" s="117">
        <v>1.7000000000000001E-2</v>
      </c>
    </row>
    <row r="36" spans="1:13" x14ac:dyDescent="0.25">
      <c r="A36" s="99">
        <v>64</v>
      </c>
      <c r="B36" s="117">
        <v>1.6E-2</v>
      </c>
      <c r="C36" s="117">
        <v>1.4999999999999999E-2</v>
      </c>
      <c r="D36" s="117">
        <v>1.2999999999999999E-2</v>
      </c>
      <c r="E36" s="117">
        <v>1.2E-2</v>
      </c>
      <c r="F36" s="117">
        <v>0.01</v>
      </c>
      <c r="G36" s="117">
        <v>8.9999999999999993E-3</v>
      </c>
      <c r="H36" s="117">
        <v>8.0000000000000002E-3</v>
      </c>
      <c r="I36" s="117">
        <v>6.0000000000000001E-3</v>
      </c>
      <c r="J36" s="117">
        <v>5.0000000000000001E-3</v>
      </c>
      <c r="K36" s="117">
        <v>3.0000000000000001E-3</v>
      </c>
      <c r="L36" s="117">
        <v>2E-3</v>
      </c>
      <c r="M36" s="117">
        <v>1E-3</v>
      </c>
    </row>
    <row r="37" spans="1:13" x14ac:dyDescent="0.25">
      <c r="A37" s="99">
        <v>65</v>
      </c>
      <c r="B37" s="117">
        <v>0</v>
      </c>
      <c r="C37" s="117"/>
      <c r="D37" s="117"/>
      <c r="E37" s="117"/>
      <c r="F37" s="117"/>
      <c r="G37" s="117"/>
      <c r="H37" s="117"/>
      <c r="I37" s="117"/>
      <c r="J37" s="117"/>
      <c r="K37" s="117"/>
      <c r="L37" s="117"/>
      <c r="M37" s="117"/>
    </row>
    <row r="44" spans="1:13" ht="39.65" customHeight="1" x14ac:dyDescent="0.25"/>
    <row r="46" spans="1:13" ht="27.65" customHeight="1" x14ac:dyDescent="0.25"/>
  </sheetData>
  <sheetProtection algorithmName="SHA-512" hashValue="+bhjTFPYxze7bpV8AEfMOEz7HzkziipY+CZKLFJMR/hQbmUyhpu1rtrHd6ieqRT3pNcasNkqso/BW7wDVH6zeQ==" saltValue="0kogGwM83EUPCxWTHOcz2A==" spinCount="100000" sheet="1" objects="1" scenarios="1"/>
  <conditionalFormatting sqref="A6:A21">
    <cfRule type="expression" dxfId="185" priority="9" stopIfTrue="1">
      <formula>MOD(ROW(),2)=0</formula>
    </cfRule>
    <cfRule type="expression" dxfId="184" priority="10" stopIfTrue="1">
      <formula>MOD(ROW(),2)&lt;&gt;0</formula>
    </cfRule>
  </conditionalFormatting>
  <conditionalFormatting sqref="A26:A37">
    <cfRule type="expression" dxfId="183" priority="3" stopIfTrue="1">
      <formula>MOD(ROW(),2)=0</formula>
    </cfRule>
    <cfRule type="expression" dxfId="182" priority="4" stopIfTrue="1">
      <formula>MOD(ROW(),2)&lt;&gt;0</formula>
    </cfRule>
  </conditionalFormatting>
  <conditionalFormatting sqref="B9">
    <cfRule type="expression" dxfId="181" priority="1" stopIfTrue="1">
      <formula>MOD(ROW(),2)=0</formula>
    </cfRule>
    <cfRule type="expression" dxfId="180" priority="2" stopIfTrue="1">
      <formula>MOD(ROW(),2)&lt;&gt;0</formula>
    </cfRule>
  </conditionalFormatting>
  <conditionalFormatting sqref="B17:B21">
    <cfRule type="expression" dxfId="179" priority="7" stopIfTrue="1">
      <formula>MOD(ROW(),2)=0</formula>
    </cfRule>
    <cfRule type="expression" dxfId="178" priority="8" stopIfTrue="1">
      <formula>MOD(ROW(),2)&lt;&gt;0</formula>
    </cfRule>
  </conditionalFormatting>
  <conditionalFormatting sqref="B6:M21">
    <cfRule type="expression" dxfId="177" priority="19" stopIfTrue="1">
      <formula>MOD(ROW(),2)=0</formula>
    </cfRule>
    <cfRule type="expression" dxfId="176" priority="20" stopIfTrue="1">
      <formula>MOD(ROW(),2)&lt;&gt;0</formula>
    </cfRule>
  </conditionalFormatting>
  <conditionalFormatting sqref="B26:M37">
    <cfRule type="expression" dxfId="175" priority="5" stopIfTrue="1">
      <formula>MOD(ROW(),2)=0</formula>
    </cfRule>
    <cfRule type="expression" dxfId="174" priority="6" stopIfTrue="1">
      <formula>MOD(ROW(),2)&lt;&gt;0</formula>
    </cfRule>
  </conditionalFormatting>
  <hyperlinks>
    <hyperlink ref="B24" location="Assumptions!A1" display="Assumptions" xr:uid="{F927572B-37B7-49CB-92F5-F18383F870A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81"/>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x-809</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580</v>
      </c>
      <c r="C8" s="161"/>
      <c r="D8" s="161"/>
      <c r="E8" s="161"/>
      <c r="F8" s="161"/>
      <c r="G8" s="161"/>
      <c r="H8" s="161"/>
      <c r="I8" s="161"/>
      <c r="J8" s="161"/>
      <c r="K8" s="161"/>
      <c r="L8" s="161"/>
      <c r="M8" s="161"/>
    </row>
    <row r="9" spans="1:13" x14ac:dyDescent="0.25">
      <c r="A9" s="85" t="s">
        <v>282</v>
      </c>
      <c r="B9" s="161" t="s">
        <v>396</v>
      </c>
      <c r="C9" s="161"/>
      <c r="D9" s="161"/>
      <c r="E9" s="161"/>
      <c r="F9" s="161"/>
      <c r="G9" s="161"/>
      <c r="H9" s="161"/>
      <c r="I9" s="161"/>
      <c r="J9" s="161"/>
      <c r="K9" s="161"/>
      <c r="L9" s="161"/>
      <c r="M9" s="161"/>
    </row>
    <row r="10" spans="1:13" x14ac:dyDescent="0.25">
      <c r="A10" s="85" t="s">
        <v>6</v>
      </c>
      <c r="B10" s="161" t="s">
        <v>608</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582</v>
      </c>
      <c r="C12" s="161"/>
      <c r="D12" s="161"/>
      <c r="E12" s="161"/>
      <c r="F12" s="161"/>
      <c r="G12" s="161"/>
      <c r="H12" s="161"/>
      <c r="I12" s="161"/>
      <c r="J12" s="161"/>
      <c r="K12" s="161"/>
      <c r="L12" s="161"/>
      <c r="M12" s="161"/>
    </row>
    <row r="13" spans="1:13" x14ac:dyDescent="0.25">
      <c r="A13" s="85" t="s">
        <v>289</v>
      </c>
      <c r="B13" s="161">
        <v>0</v>
      </c>
      <c r="C13" s="161"/>
      <c r="D13" s="161"/>
      <c r="E13" s="161"/>
      <c r="F13" s="161"/>
      <c r="G13" s="161"/>
      <c r="H13" s="161"/>
      <c r="I13" s="161"/>
      <c r="J13" s="161"/>
      <c r="K13" s="161"/>
      <c r="L13" s="161"/>
      <c r="M13" s="161"/>
    </row>
    <row r="14" spans="1:13" x14ac:dyDescent="0.25">
      <c r="A14" s="85" t="s">
        <v>291</v>
      </c>
      <c r="B14" s="161">
        <v>809</v>
      </c>
      <c r="C14" s="161"/>
      <c r="D14" s="161"/>
      <c r="E14" s="161"/>
      <c r="F14" s="161"/>
      <c r="G14" s="161"/>
      <c r="H14" s="161"/>
      <c r="I14" s="161"/>
      <c r="J14" s="161"/>
      <c r="K14" s="161"/>
      <c r="L14" s="161"/>
      <c r="M14" s="161"/>
    </row>
    <row r="15" spans="1:13" x14ac:dyDescent="0.25">
      <c r="A15" s="85" t="s">
        <v>293</v>
      </c>
      <c r="B15" s="161" t="s">
        <v>609</v>
      </c>
      <c r="C15" s="161"/>
      <c r="D15" s="161"/>
      <c r="E15" s="161"/>
      <c r="F15" s="161"/>
      <c r="G15" s="161"/>
      <c r="H15" s="161"/>
      <c r="I15" s="161"/>
      <c r="J15" s="161"/>
      <c r="K15" s="161"/>
      <c r="L15" s="161"/>
      <c r="M15" s="161"/>
    </row>
    <row r="16" spans="1:13" x14ac:dyDescent="0.25">
      <c r="A16" s="85" t="s">
        <v>295</v>
      </c>
      <c r="B16" s="161" t="s">
        <v>610</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45135</v>
      </c>
      <c r="C18" s="161"/>
      <c r="D18" s="161"/>
      <c r="E18" s="161"/>
      <c r="F18" s="161"/>
      <c r="G18" s="161"/>
      <c r="H18" s="161"/>
      <c r="I18" s="161"/>
      <c r="J18" s="161"/>
      <c r="K18" s="161"/>
      <c r="L18" s="161"/>
      <c r="M18" s="161"/>
    </row>
    <row r="19" spans="1:13" x14ac:dyDescent="0.25">
      <c r="A19" s="85" t="s">
        <v>301</v>
      </c>
      <c r="B19" s="162">
        <v>45200</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50</v>
      </c>
      <c r="B27" s="117">
        <v>8.5999999999999993E-2</v>
      </c>
      <c r="C27" s="117">
        <v>8.5000000000000006E-2</v>
      </c>
      <c r="D27" s="117">
        <v>8.3000000000000004E-2</v>
      </c>
      <c r="E27" s="117">
        <v>8.2000000000000003E-2</v>
      </c>
      <c r="F27" s="117">
        <v>8.1000000000000003E-2</v>
      </c>
      <c r="G27" s="117">
        <v>0.08</v>
      </c>
      <c r="H27" s="117">
        <v>7.8E-2</v>
      </c>
      <c r="I27" s="117">
        <v>7.6999999999999999E-2</v>
      </c>
      <c r="J27" s="117">
        <v>7.5999999999999998E-2</v>
      </c>
      <c r="K27" s="117">
        <v>7.3999999999999996E-2</v>
      </c>
      <c r="L27" s="117">
        <v>7.2999999999999995E-2</v>
      </c>
      <c r="M27" s="117">
        <v>7.1999999999999995E-2</v>
      </c>
    </row>
    <row r="28" spans="1:13" x14ac:dyDescent="0.25">
      <c r="A28" s="99">
        <v>51</v>
      </c>
      <c r="B28" s="117">
        <v>7.0999999999999994E-2</v>
      </c>
      <c r="C28" s="117">
        <v>6.9000000000000006E-2</v>
      </c>
      <c r="D28" s="117">
        <v>6.8000000000000005E-2</v>
      </c>
      <c r="E28" s="117">
        <v>6.6000000000000003E-2</v>
      </c>
      <c r="F28" s="117">
        <v>6.5000000000000002E-2</v>
      </c>
      <c r="G28" s="117">
        <v>6.4000000000000001E-2</v>
      </c>
      <c r="H28" s="117">
        <v>6.2E-2</v>
      </c>
      <c r="I28" s="117">
        <v>6.0999999999999999E-2</v>
      </c>
      <c r="J28" s="117">
        <v>0.06</v>
      </c>
      <c r="K28" s="117">
        <v>5.8000000000000003E-2</v>
      </c>
      <c r="L28" s="117">
        <v>5.7000000000000002E-2</v>
      </c>
      <c r="M28" s="117">
        <v>5.6000000000000001E-2</v>
      </c>
    </row>
    <row r="29" spans="1:13" x14ac:dyDescent="0.25">
      <c r="A29" s="99">
        <v>52</v>
      </c>
      <c r="B29" s="117">
        <v>5.3999999999999999E-2</v>
      </c>
      <c r="C29" s="117">
        <v>5.2999999999999999E-2</v>
      </c>
      <c r="D29" s="117">
        <v>5.0999999999999997E-2</v>
      </c>
      <c r="E29" s="117">
        <v>0.05</v>
      </c>
      <c r="F29" s="117">
        <v>4.8000000000000001E-2</v>
      </c>
      <c r="G29" s="117">
        <v>4.7E-2</v>
      </c>
      <c r="H29" s="117">
        <v>4.4999999999999998E-2</v>
      </c>
      <c r="I29" s="117">
        <v>4.3999999999999997E-2</v>
      </c>
      <c r="J29" s="117">
        <v>4.2999999999999997E-2</v>
      </c>
      <c r="K29" s="117">
        <v>4.1000000000000002E-2</v>
      </c>
      <c r="L29" s="117">
        <v>0.04</v>
      </c>
      <c r="M29" s="117">
        <v>3.7999999999999999E-2</v>
      </c>
    </row>
    <row r="30" spans="1:13" x14ac:dyDescent="0.25">
      <c r="A30" s="99">
        <v>53</v>
      </c>
      <c r="B30" s="117">
        <v>3.6999999999999998E-2</v>
      </c>
      <c r="C30" s="117">
        <v>3.5000000000000003E-2</v>
      </c>
      <c r="D30" s="117">
        <v>3.4000000000000002E-2</v>
      </c>
      <c r="E30" s="117">
        <v>3.2000000000000001E-2</v>
      </c>
      <c r="F30" s="117">
        <v>3.1E-2</v>
      </c>
      <c r="G30" s="117">
        <v>2.9000000000000001E-2</v>
      </c>
      <c r="H30" s="117">
        <v>2.8000000000000001E-2</v>
      </c>
      <c r="I30" s="117">
        <v>2.5999999999999999E-2</v>
      </c>
      <c r="J30" s="117">
        <v>2.5000000000000001E-2</v>
      </c>
      <c r="K30" s="117">
        <v>2.3E-2</v>
      </c>
      <c r="L30" s="117">
        <v>2.1999999999999999E-2</v>
      </c>
      <c r="M30" s="117">
        <v>0.02</v>
      </c>
    </row>
    <row r="31" spans="1:13" x14ac:dyDescent="0.25">
      <c r="A31" s="99">
        <v>54</v>
      </c>
      <c r="B31" s="117">
        <v>1.7999999999999999E-2</v>
      </c>
      <c r="C31" s="117">
        <v>1.7000000000000001E-2</v>
      </c>
      <c r="D31" s="117">
        <v>1.4999999999999999E-2</v>
      </c>
      <c r="E31" s="117">
        <v>1.4E-2</v>
      </c>
      <c r="F31" s="117">
        <v>1.2E-2</v>
      </c>
      <c r="G31" s="117">
        <v>0.01</v>
      </c>
      <c r="H31" s="117">
        <v>8.9999999999999993E-3</v>
      </c>
      <c r="I31" s="117">
        <v>7.0000000000000001E-3</v>
      </c>
      <c r="J31" s="117">
        <v>6.0000000000000001E-3</v>
      </c>
      <c r="K31" s="117">
        <v>4.0000000000000001E-3</v>
      </c>
      <c r="L31" s="117">
        <v>2E-3</v>
      </c>
      <c r="M31" s="117">
        <v>1E-3</v>
      </c>
    </row>
    <row r="32" spans="1:13" x14ac:dyDescent="0.25">
      <c r="A32" s="99">
        <v>55</v>
      </c>
      <c r="B32" s="117">
        <v>0</v>
      </c>
      <c r="C32" s="117"/>
      <c r="D32" s="117"/>
      <c r="E32" s="117"/>
      <c r="F32" s="117"/>
      <c r="G32" s="117"/>
      <c r="H32" s="117"/>
      <c r="I32" s="117"/>
      <c r="J32" s="117"/>
      <c r="K32" s="117"/>
      <c r="L32" s="117"/>
      <c r="M32" s="117"/>
    </row>
    <row r="44" ht="39.65" customHeight="1" x14ac:dyDescent="0.25"/>
    <row r="46" ht="27.65" customHeight="1" x14ac:dyDescent="0.25"/>
  </sheetData>
  <sheetProtection algorithmName="SHA-512" hashValue="yDQB/CYRVIKRZAb54Ct+OtK/DKyDz3zcMTw6uvBlXLRFIn7mJQhDepYedUOWa5JlMoBuwLGYkCg6It0bYBiaVw==" saltValue="uXUFzBzC2D7Vc8z0rX+elw==" spinCount="100000" sheet="1" objects="1" scenarios="1"/>
  <conditionalFormatting sqref="A6:A21">
    <cfRule type="expression" dxfId="173" priority="9" stopIfTrue="1">
      <formula>MOD(ROW(),2)=0</formula>
    </cfRule>
    <cfRule type="expression" dxfId="172" priority="10" stopIfTrue="1">
      <formula>MOD(ROW(),2)&lt;&gt;0</formula>
    </cfRule>
  </conditionalFormatting>
  <conditionalFormatting sqref="A26:A32">
    <cfRule type="expression" dxfId="171" priority="3" stopIfTrue="1">
      <formula>MOD(ROW(),2)=0</formula>
    </cfRule>
    <cfRule type="expression" dxfId="170" priority="4" stopIfTrue="1">
      <formula>MOD(ROW(),2)&lt;&gt;0</formula>
    </cfRule>
  </conditionalFormatting>
  <conditionalFormatting sqref="B9">
    <cfRule type="expression" dxfId="169" priority="1" stopIfTrue="1">
      <formula>MOD(ROW(),2)=0</formula>
    </cfRule>
    <cfRule type="expression" dxfId="168" priority="2" stopIfTrue="1">
      <formula>MOD(ROW(),2)&lt;&gt;0</formula>
    </cfRule>
  </conditionalFormatting>
  <conditionalFormatting sqref="B17:B21">
    <cfRule type="expression" dxfId="167" priority="7" stopIfTrue="1">
      <formula>MOD(ROW(),2)=0</formula>
    </cfRule>
    <cfRule type="expression" dxfId="166" priority="8" stopIfTrue="1">
      <formula>MOD(ROW(),2)&lt;&gt;0</formula>
    </cfRule>
  </conditionalFormatting>
  <conditionalFormatting sqref="B6:M21">
    <cfRule type="expression" dxfId="165" priority="19" stopIfTrue="1">
      <formula>MOD(ROW(),2)=0</formula>
    </cfRule>
    <cfRule type="expression" dxfId="164" priority="20" stopIfTrue="1">
      <formula>MOD(ROW(),2)&lt;&gt;0</formula>
    </cfRule>
  </conditionalFormatting>
  <conditionalFormatting sqref="B26:M32">
    <cfRule type="expression" dxfId="163" priority="5" stopIfTrue="1">
      <formula>MOD(ROW(),2)=0</formula>
    </cfRule>
    <cfRule type="expression" dxfId="162" priority="6" stopIfTrue="1">
      <formula>MOD(ROW(),2)&lt;&gt;0</formula>
    </cfRule>
  </conditionalFormatting>
  <hyperlinks>
    <hyperlink ref="B24" location="Assumptions!A1" display="Assumptions" xr:uid="{B803B04E-401F-43E3-A3B4-2A47CA10DB0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82"/>
  <dimension ref="A1:AB46"/>
  <sheetViews>
    <sheetView showGridLines="0" zoomScale="85" zoomScaleNormal="85" workbookViewId="0">
      <selection activeCell="B16" sqref="B16"/>
    </sheetView>
  </sheetViews>
  <sheetFormatPr defaultColWidth="10" defaultRowHeight="12.5" x14ac:dyDescent="0.25"/>
  <cols>
    <col min="1" max="1" width="31.90625" style="25" customWidth="1"/>
    <col min="2" max="13" width="22.90625" style="25" customWidth="1"/>
    <col min="14" max="15" width="10" style="25"/>
    <col min="16" max="16" width="31.90625" style="25" customWidth="1"/>
    <col min="17" max="28" width="22.90625" style="25" customWidth="1"/>
    <col min="29" max="16384" width="10" style="25"/>
  </cols>
  <sheetData>
    <row r="1" spans="1:28" ht="20" x14ac:dyDescent="0.4">
      <c r="A1" s="36" t="s">
        <v>0</v>
      </c>
      <c r="B1" s="37"/>
      <c r="C1" s="37"/>
      <c r="D1" s="37"/>
      <c r="E1" s="37"/>
      <c r="F1" s="37"/>
      <c r="G1" s="37"/>
      <c r="H1" s="37"/>
      <c r="I1" s="37"/>
    </row>
    <row r="2" spans="1:28" ht="15.5" x14ac:dyDescent="0.35">
      <c r="A2" s="38" t="str">
        <f>IF(title="&gt; Enter workbook title here","Enter workbook title in Cover sheet",title)</f>
        <v>NHSPS_NI - Consolidated Factor Spreadsheet</v>
      </c>
      <c r="B2" s="39"/>
      <c r="C2" s="39"/>
      <c r="D2" s="39"/>
      <c r="E2" s="39"/>
      <c r="F2" s="39"/>
      <c r="G2" s="39"/>
      <c r="H2" s="39"/>
      <c r="I2" s="39"/>
    </row>
    <row r="3" spans="1:28" ht="15.5" x14ac:dyDescent="0.35">
      <c r="A3" s="40" t="str">
        <f>TABLE_FACTOR_TYPE_1&amp;" - x-"&amp;TABLE_SERIES_NUMBER_1</f>
        <v>ERF - x-810</v>
      </c>
      <c r="B3" s="39"/>
      <c r="C3" s="39"/>
      <c r="D3" s="39"/>
      <c r="E3" s="39"/>
      <c r="F3" s="39"/>
      <c r="G3" s="39"/>
      <c r="H3" s="39"/>
      <c r="I3" s="39"/>
    </row>
    <row r="4" spans="1:28" x14ac:dyDescent="0.25">
      <c r="A4" s="41"/>
    </row>
    <row r="6" spans="1:28" ht="13" x14ac:dyDescent="0.3">
      <c r="A6" s="83" t="s">
        <v>276</v>
      </c>
      <c r="B6" s="161" t="s">
        <v>277</v>
      </c>
      <c r="C6" s="161"/>
      <c r="D6" s="161"/>
      <c r="E6" s="161"/>
      <c r="F6" s="161"/>
      <c r="G6" s="161"/>
      <c r="H6" s="161"/>
      <c r="I6" s="161"/>
      <c r="J6" s="161"/>
      <c r="K6" s="161"/>
      <c r="L6" s="161"/>
      <c r="M6" s="161"/>
      <c r="P6" s="83" t="s">
        <v>276</v>
      </c>
      <c r="Q6" s="161" t="s">
        <v>277</v>
      </c>
      <c r="R6" s="161"/>
      <c r="S6" s="161"/>
      <c r="T6" s="161"/>
      <c r="U6" s="161"/>
      <c r="V6" s="161"/>
      <c r="W6" s="161"/>
      <c r="X6" s="161"/>
      <c r="Y6" s="161"/>
      <c r="Z6" s="161"/>
      <c r="AA6" s="161"/>
      <c r="AB6" s="161"/>
    </row>
    <row r="7" spans="1:28" x14ac:dyDescent="0.25">
      <c r="A7" s="85" t="s">
        <v>278</v>
      </c>
      <c r="B7" s="161" t="s">
        <v>310</v>
      </c>
      <c r="C7" s="161"/>
      <c r="D7" s="161"/>
      <c r="E7" s="161"/>
      <c r="F7" s="161"/>
      <c r="G7" s="161"/>
      <c r="H7" s="161"/>
      <c r="I7" s="161"/>
      <c r="J7" s="161"/>
      <c r="K7" s="161"/>
      <c r="L7" s="161"/>
      <c r="M7" s="161"/>
      <c r="P7" s="85" t="s">
        <v>278</v>
      </c>
      <c r="Q7" s="161" t="s">
        <v>310</v>
      </c>
      <c r="R7" s="161"/>
      <c r="S7" s="161"/>
      <c r="T7" s="161"/>
      <c r="U7" s="161"/>
      <c r="V7" s="161"/>
      <c r="W7" s="161"/>
      <c r="X7" s="161"/>
      <c r="Y7" s="161"/>
      <c r="Z7" s="161"/>
      <c r="AA7" s="161"/>
      <c r="AB7" s="161"/>
    </row>
    <row r="8" spans="1:28" x14ac:dyDescent="0.25">
      <c r="A8" s="85" t="s">
        <v>280</v>
      </c>
      <c r="B8" s="161" t="s">
        <v>580</v>
      </c>
      <c r="C8" s="161"/>
      <c r="D8" s="161"/>
      <c r="E8" s="161"/>
      <c r="F8" s="161"/>
      <c r="G8" s="161"/>
      <c r="H8" s="161"/>
      <c r="I8" s="161"/>
      <c r="J8" s="161"/>
      <c r="K8" s="161"/>
      <c r="L8" s="161"/>
      <c r="M8" s="161"/>
      <c r="P8" s="85" t="s">
        <v>280</v>
      </c>
      <c r="Q8" s="161" t="s">
        <v>580</v>
      </c>
      <c r="R8" s="161"/>
      <c r="S8" s="161"/>
      <c r="T8" s="161"/>
      <c r="U8" s="161"/>
      <c r="V8" s="161"/>
      <c r="W8" s="161"/>
      <c r="X8" s="161"/>
      <c r="Y8" s="161"/>
      <c r="Z8" s="161"/>
      <c r="AA8" s="161"/>
      <c r="AB8" s="161"/>
    </row>
    <row r="9" spans="1:28" x14ac:dyDescent="0.25">
      <c r="A9" s="85" t="s">
        <v>282</v>
      </c>
      <c r="B9" s="161" t="s">
        <v>396</v>
      </c>
      <c r="C9" s="161"/>
      <c r="D9" s="161"/>
      <c r="E9" s="161"/>
      <c r="F9" s="161"/>
      <c r="G9" s="161"/>
      <c r="H9" s="161"/>
      <c r="I9" s="161"/>
      <c r="J9" s="161"/>
      <c r="K9" s="161"/>
      <c r="L9" s="161"/>
      <c r="M9" s="161"/>
      <c r="P9" s="85" t="s">
        <v>282</v>
      </c>
      <c r="Q9" s="161" t="s">
        <v>396</v>
      </c>
      <c r="R9" s="161"/>
      <c r="S9" s="161"/>
      <c r="T9" s="161"/>
      <c r="U9" s="161"/>
      <c r="V9" s="161"/>
      <c r="W9" s="161"/>
      <c r="X9" s="161"/>
      <c r="Y9" s="161"/>
      <c r="Z9" s="161"/>
      <c r="AA9" s="161"/>
      <c r="AB9" s="161"/>
    </row>
    <row r="10" spans="1:28" x14ac:dyDescent="0.25">
      <c r="A10" s="85" t="s">
        <v>6</v>
      </c>
      <c r="B10" s="161" t="s">
        <v>611</v>
      </c>
      <c r="C10" s="161"/>
      <c r="D10" s="161"/>
      <c r="E10" s="161"/>
      <c r="F10" s="161"/>
      <c r="G10" s="161"/>
      <c r="H10" s="161"/>
      <c r="I10" s="161"/>
      <c r="J10" s="161"/>
      <c r="K10" s="161"/>
      <c r="L10" s="161"/>
      <c r="M10" s="161"/>
      <c r="P10" s="85" t="s">
        <v>6</v>
      </c>
      <c r="Q10" s="161" t="s">
        <v>614</v>
      </c>
      <c r="R10" s="161"/>
      <c r="S10" s="161"/>
      <c r="T10" s="161"/>
      <c r="U10" s="161"/>
      <c r="V10" s="161"/>
      <c r="W10" s="161"/>
      <c r="X10" s="161"/>
      <c r="Y10" s="161"/>
      <c r="Z10" s="161"/>
      <c r="AA10" s="161"/>
      <c r="AB10" s="161"/>
    </row>
    <row r="11" spans="1:28" x14ac:dyDescent="0.25">
      <c r="A11" s="85" t="s">
        <v>285</v>
      </c>
      <c r="B11" s="161" t="s">
        <v>359</v>
      </c>
      <c r="C11" s="161"/>
      <c r="D11" s="161"/>
      <c r="E11" s="161"/>
      <c r="F11" s="161"/>
      <c r="G11" s="161"/>
      <c r="H11" s="161"/>
      <c r="I11" s="161"/>
      <c r="J11" s="161"/>
      <c r="K11" s="161"/>
      <c r="L11" s="161"/>
      <c r="M11" s="161"/>
      <c r="P11" s="85" t="s">
        <v>285</v>
      </c>
      <c r="Q11" s="161" t="s">
        <v>359</v>
      </c>
      <c r="R11" s="161"/>
      <c r="S11" s="161"/>
      <c r="T11" s="161"/>
      <c r="U11" s="161"/>
      <c r="V11" s="161"/>
      <c r="W11" s="161"/>
      <c r="X11" s="161"/>
      <c r="Y11" s="161"/>
      <c r="Z11" s="161"/>
      <c r="AA11" s="161"/>
      <c r="AB11" s="161"/>
    </row>
    <row r="12" spans="1:28" x14ac:dyDescent="0.25">
      <c r="A12" s="85" t="s">
        <v>287</v>
      </c>
      <c r="B12" s="161" t="s">
        <v>582</v>
      </c>
      <c r="C12" s="161"/>
      <c r="D12" s="161"/>
      <c r="E12" s="161"/>
      <c r="F12" s="161"/>
      <c r="G12" s="161"/>
      <c r="H12" s="161"/>
      <c r="I12" s="161"/>
      <c r="J12" s="161"/>
      <c r="K12" s="161"/>
      <c r="L12" s="161"/>
      <c r="M12" s="161"/>
      <c r="P12" s="85" t="s">
        <v>287</v>
      </c>
      <c r="Q12" s="161" t="s">
        <v>582</v>
      </c>
      <c r="R12" s="161"/>
      <c r="S12" s="161"/>
      <c r="T12" s="161"/>
      <c r="U12" s="161"/>
      <c r="V12" s="161"/>
      <c r="W12" s="161"/>
      <c r="X12" s="161"/>
      <c r="Y12" s="161"/>
      <c r="Z12" s="161"/>
      <c r="AA12" s="161"/>
      <c r="AB12" s="161"/>
    </row>
    <row r="13" spans="1:28" x14ac:dyDescent="0.25">
      <c r="A13" s="85" t="s">
        <v>289</v>
      </c>
      <c r="B13" s="161">
        <v>0</v>
      </c>
      <c r="C13" s="161"/>
      <c r="D13" s="161"/>
      <c r="E13" s="161"/>
      <c r="F13" s="161"/>
      <c r="G13" s="161"/>
      <c r="H13" s="161"/>
      <c r="I13" s="161"/>
      <c r="J13" s="161"/>
      <c r="K13" s="161"/>
      <c r="L13" s="161"/>
      <c r="M13" s="161"/>
      <c r="P13" s="85" t="s">
        <v>289</v>
      </c>
      <c r="Q13" s="161">
        <v>0</v>
      </c>
      <c r="R13" s="161"/>
      <c r="S13" s="161"/>
      <c r="T13" s="161"/>
      <c r="U13" s="161"/>
      <c r="V13" s="161"/>
      <c r="W13" s="161"/>
      <c r="X13" s="161"/>
      <c r="Y13" s="161"/>
      <c r="Z13" s="161"/>
      <c r="AA13" s="161"/>
      <c r="AB13" s="161"/>
    </row>
    <row r="14" spans="1:28" x14ac:dyDescent="0.25">
      <c r="A14" s="85" t="s">
        <v>291</v>
      </c>
      <c r="B14" s="161">
        <v>810</v>
      </c>
      <c r="C14" s="161"/>
      <c r="D14" s="161"/>
      <c r="E14" s="161"/>
      <c r="F14" s="161"/>
      <c r="G14" s="161"/>
      <c r="H14" s="161"/>
      <c r="I14" s="161"/>
      <c r="J14" s="161"/>
      <c r="K14" s="161"/>
      <c r="L14" s="161"/>
      <c r="M14" s="161"/>
      <c r="P14" s="85" t="s">
        <v>291</v>
      </c>
      <c r="Q14" s="161">
        <v>810</v>
      </c>
      <c r="R14" s="161"/>
      <c r="S14" s="161"/>
      <c r="T14" s="161"/>
      <c r="U14" s="161"/>
      <c r="V14" s="161"/>
      <c r="W14" s="161"/>
      <c r="X14" s="161"/>
      <c r="Y14" s="161"/>
      <c r="Z14" s="161"/>
      <c r="AA14" s="161"/>
      <c r="AB14" s="161"/>
    </row>
    <row r="15" spans="1:28" x14ac:dyDescent="0.25">
      <c r="A15" s="85" t="s">
        <v>293</v>
      </c>
      <c r="B15" s="161" t="s">
        <v>612</v>
      </c>
      <c r="C15" s="161"/>
      <c r="D15" s="161"/>
      <c r="E15" s="161"/>
      <c r="F15" s="161"/>
      <c r="G15" s="161"/>
      <c r="H15" s="161"/>
      <c r="I15" s="161"/>
      <c r="J15" s="161"/>
      <c r="K15" s="161"/>
      <c r="L15" s="161"/>
      <c r="M15" s="161"/>
      <c r="P15" s="85" t="s">
        <v>293</v>
      </c>
      <c r="Q15" s="161" t="s">
        <v>615</v>
      </c>
      <c r="R15" s="161"/>
      <c r="S15" s="161"/>
      <c r="T15" s="161"/>
      <c r="U15" s="161"/>
      <c r="V15" s="161"/>
      <c r="W15" s="161"/>
      <c r="X15" s="161"/>
      <c r="Y15" s="161"/>
      <c r="Z15" s="161"/>
      <c r="AA15" s="161"/>
      <c r="AB15" s="161"/>
    </row>
    <row r="16" spans="1:28" x14ac:dyDescent="0.25">
      <c r="A16" s="85" t="s">
        <v>295</v>
      </c>
      <c r="B16" s="161" t="s">
        <v>613</v>
      </c>
      <c r="C16" s="161"/>
      <c r="D16" s="161"/>
      <c r="E16" s="161"/>
      <c r="F16" s="161"/>
      <c r="G16" s="161"/>
      <c r="H16" s="161"/>
      <c r="I16" s="161"/>
      <c r="J16" s="161"/>
      <c r="K16" s="161"/>
      <c r="L16" s="161"/>
      <c r="M16" s="161"/>
      <c r="P16" s="85" t="s">
        <v>295</v>
      </c>
      <c r="Q16" s="161" t="s">
        <v>613</v>
      </c>
      <c r="R16" s="161"/>
      <c r="S16" s="161"/>
      <c r="T16" s="161"/>
      <c r="U16" s="161"/>
      <c r="V16" s="161"/>
      <c r="W16" s="161"/>
      <c r="X16" s="161"/>
      <c r="Y16" s="161"/>
      <c r="Z16" s="161"/>
      <c r="AA16" s="161"/>
      <c r="AB16" s="161"/>
    </row>
    <row r="17" spans="1:28" x14ac:dyDescent="0.25">
      <c r="A17" s="69" t="s">
        <v>725</v>
      </c>
      <c r="B17" s="161"/>
      <c r="C17" s="161"/>
      <c r="D17" s="161"/>
      <c r="E17" s="161"/>
      <c r="F17" s="161"/>
      <c r="G17" s="161"/>
      <c r="H17" s="161"/>
      <c r="I17" s="161"/>
      <c r="J17" s="161"/>
      <c r="K17" s="161"/>
      <c r="L17" s="161"/>
      <c r="M17" s="161"/>
      <c r="P17" s="69" t="s">
        <v>725</v>
      </c>
      <c r="Q17" s="161"/>
      <c r="R17" s="161"/>
      <c r="S17" s="161"/>
      <c r="T17" s="161"/>
      <c r="U17" s="161"/>
      <c r="V17" s="161"/>
      <c r="W17" s="161"/>
      <c r="X17" s="161"/>
      <c r="Y17" s="161"/>
      <c r="Z17" s="161"/>
      <c r="AA17" s="161"/>
      <c r="AB17" s="161"/>
    </row>
    <row r="18" spans="1:28" x14ac:dyDescent="0.25">
      <c r="A18" s="85" t="s">
        <v>299</v>
      </c>
      <c r="B18" s="162">
        <v>45135</v>
      </c>
      <c r="C18" s="161"/>
      <c r="D18" s="161"/>
      <c r="E18" s="161"/>
      <c r="F18" s="161"/>
      <c r="G18" s="161"/>
      <c r="H18" s="161"/>
      <c r="I18" s="161"/>
      <c r="J18" s="161"/>
      <c r="K18" s="161"/>
      <c r="L18" s="161"/>
      <c r="M18" s="161"/>
      <c r="P18" s="85" t="s">
        <v>299</v>
      </c>
      <c r="Q18" s="162">
        <v>45135</v>
      </c>
      <c r="R18" s="161"/>
      <c r="S18" s="161"/>
      <c r="T18" s="161"/>
      <c r="U18" s="161"/>
      <c r="V18" s="161"/>
      <c r="W18" s="161"/>
      <c r="X18" s="161"/>
      <c r="Y18" s="161"/>
      <c r="Z18" s="161"/>
      <c r="AA18" s="161"/>
      <c r="AB18" s="161"/>
    </row>
    <row r="19" spans="1:28" x14ac:dyDescent="0.25">
      <c r="A19" s="85" t="s">
        <v>301</v>
      </c>
      <c r="B19" s="162">
        <v>45200</v>
      </c>
      <c r="C19" s="161"/>
      <c r="D19" s="161"/>
      <c r="E19" s="161"/>
      <c r="F19" s="161"/>
      <c r="G19" s="161"/>
      <c r="H19" s="161"/>
      <c r="I19" s="161"/>
      <c r="J19" s="161"/>
      <c r="K19" s="161"/>
      <c r="L19" s="161"/>
      <c r="M19" s="161"/>
      <c r="P19" s="85" t="s">
        <v>301</v>
      </c>
      <c r="Q19" s="162">
        <v>45200</v>
      </c>
      <c r="R19" s="161"/>
      <c r="S19" s="161"/>
      <c r="T19" s="161"/>
      <c r="U19" s="161"/>
      <c r="V19" s="161"/>
      <c r="W19" s="161"/>
      <c r="X19" s="161"/>
      <c r="Y19" s="161"/>
      <c r="Z19" s="161"/>
      <c r="AA19" s="161"/>
      <c r="AB19" s="161"/>
    </row>
    <row r="20" spans="1:28" x14ac:dyDescent="0.25">
      <c r="A20" s="85" t="s">
        <v>303</v>
      </c>
      <c r="B20" s="161" t="s">
        <v>317</v>
      </c>
      <c r="C20" s="161"/>
      <c r="D20" s="161"/>
      <c r="E20" s="161"/>
      <c r="F20" s="161"/>
      <c r="G20" s="161"/>
      <c r="H20" s="161"/>
      <c r="I20" s="161"/>
      <c r="J20" s="161"/>
      <c r="K20" s="161"/>
      <c r="L20" s="161"/>
      <c r="M20" s="161"/>
      <c r="P20" s="85" t="s">
        <v>303</v>
      </c>
      <c r="Q20" s="161" t="s">
        <v>317</v>
      </c>
      <c r="R20" s="161"/>
      <c r="S20" s="161"/>
      <c r="T20" s="161"/>
      <c r="U20" s="161"/>
      <c r="V20" s="161"/>
      <c r="W20" s="161"/>
      <c r="X20" s="161"/>
      <c r="Y20" s="161"/>
      <c r="Z20" s="161"/>
      <c r="AA20" s="161"/>
      <c r="AB20" s="161"/>
    </row>
    <row r="21" spans="1:28" x14ac:dyDescent="0.25">
      <c r="A21" s="85" t="s">
        <v>309</v>
      </c>
      <c r="B21" s="161" t="s">
        <v>318</v>
      </c>
      <c r="C21" s="161"/>
      <c r="D21" s="161"/>
      <c r="E21" s="161"/>
      <c r="F21" s="161"/>
      <c r="G21" s="161"/>
      <c r="H21" s="161"/>
      <c r="I21" s="161"/>
      <c r="J21" s="161"/>
      <c r="K21" s="161"/>
      <c r="L21" s="161"/>
      <c r="M21" s="161"/>
      <c r="P21" s="85" t="s">
        <v>309</v>
      </c>
      <c r="Q21" s="161" t="s">
        <v>318</v>
      </c>
      <c r="R21" s="161"/>
      <c r="S21" s="161"/>
      <c r="T21" s="161"/>
      <c r="U21" s="161"/>
      <c r="V21" s="161"/>
      <c r="W21" s="161"/>
      <c r="X21" s="161"/>
      <c r="Y21" s="161"/>
      <c r="Z21" s="161"/>
      <c r="AA21" s="161"/>
      <c r="AB21" s="161"/>
    </row>
    <row r="23" spans="1:28" x14ac:dyDescent="0.25">
      <c r="B23" s="103" t="str">
        <f>HYPERLINK("#'Factor List'!A1","Back to Factor List")</f>
        <v>Back to Factor List</v>
      </c>
    </row>
    <row r="24" spans="1:28" x14ac:dyDescent="0.25">
      <c r="B24" s="103" t="s">
        <v>15</v>
      </c>
    </row>
    <row r="26" spans="1:28" ht="13" x14ac:dyDescent="0.25">
      <c r="A26" s="98" t="s">
        <v>763</v>
      </c>
      <c r="B26" s="98">
        <v>0</v>
      </c>
      <c r="C26" s="98">
        <v>1</v>
      </c>
      <c r="D26" s="98">
        <v>2</v>
      </c>
      <c r="E26" s="98">
        <v>3</v>
      </c>
      <c r="F26" s="98">
        <v>4</v>
      </c>
      <c r="G26" s="98">
        <v>5</v>
      </c>
      <c r="H26" s="98">
        <v>6</v>
      </c>
      <c r="I26" s="98">
        <v>7</v>
      </c>
      <c r="J26" s="98">
        <v>8</v>
      </c>
      <c r="K26" s="98">
        <v>9</v>
      </c>
      <c r="L26" s="98">
        <v>10</v>
      </c>
      <c r="M26" s="98">
        <v>11</v>
      </c>
      <c r="P26" s="98" t="s">
        <v>763</v>
      </c>
      <c r="Q26" s="98">
        <v>0</v>
      </c>
      <c r="R26" s="98">
        <v>1</v>
      </c>
      <c r="S26" s="98">
        <v>2</v>
      </c>
      <c r="T26" s="98">
        <v>3</v>
      </c>
      <c r="U26" s="98">
        <v>4</v>
      </c>
      <c r="V26" s="98">
        <v>5</v>
      </c>
      <c r="W26" s="98">
        <v>6</v>
      </c>
      <c r="X26" s="98">
        <v>7</v>
      </c>
      <c r="Y26" s="98">
        <v>8</v>
      </c>
      <c r="Z26" s="98">
        <v>9</v>
      </c>
      <c r="AA26" s="98">
        <v>10</v>
      </c>
      <c r="AB26" s="98">
        <v>11</v>
      </c>
    </row>
    <row r="27" spans="1:28" x14ac:dyDescent="0.25">
      <c r="A27" s="99">
        <v>50</v>
      </c>
      <c r="B27" s="117">
        <v>4.3600000000000003</v>
      </c>
      <c r="C27" s="117">
        <v>4.367</v>
      </c>
      <c r="D27" s="117">
        <v>4.3730000000000002</v>
      </c>
      <c r="E27" s="117">
        <v>4.38</v>
      </c>
      <c r="F27" s="117">
        <v>4.3869999999999996</v>
      </c>
      <c r="G27" s="117">
        <v>4.3929999999999998</v>
      </c>
      <c r="H27" s="117">
        <v>4.4000000000000004</v>
      </c>
      <c r="I27" s="117">
        <v>4.4059999999999997</v>
      </c>
      <c r="J27" s="117">
        <v>4.4130000000000003</v>
      </c>
      <c r="K27" s="117">
        <v>4.4189999999999996</v>
      </c>
      <c r="L27" s="117">
        <v>4.4260000000000002</v>
      </c>
      <c r="M27" s="117">
        <v>4.4329999999999998</v>
      </c>
      <c r="P27" s="99">
        <v>50</v>
      </c>
      <c r="Q27" s="117">
        <v>-1.2E-2</v>
      </c>
      <c r="R27" s="117">
        <v>-0.01</v>
      </c>
      <c r="S27" s="117">
        <v>-8.9999999999999993E-3</v>
      </c>
      <c r="T27" s="117">
        <v>-7.0000000000000001E-3</v>
      </c>
      <c r="U27" s="117">
        <v>-6.0000000000000001E-3</v>
      </c>
      <c r="V27" s="117">
        <v>-5.0000000000000001E-3</v>
      </c>
      <c r="W27" s="117">
        <v>-3.0000000000000001E-3</v>
      </c>
      <c r="X27" s="117">
        <v>-2E-3</v>
      </c>
      <c r="Y27" s="117">
        <v>-1E-3</v>
      </c>
      <c r="Z27" s="117">
        <v>1E-3</v>
      </c>
      <c r="AA27" s="117">
        <v>2E-3</v>
      </c>
      <c r="AB27" s="117">
        <v>4.0000000000000001E-3</v>
      </c>
    </row>
    <row r="28" spans="1:28" x14ac:dyDescent="0.25">
      <c r="A28" s="99">
        <v>51</v>
      </c>
      <c r="B28" s="117">
        <v>4.4390000000000001</v>
      </c>
      <c r="C28" s="117">
        <v>4.4459999999999997</v>
      </c>
      <c r="D28" s="117">
        <v>4.4530000000000003</v>
      </c>
      <c r="E28" s="117">
        <v>4.4589999999999996</v>
      </c>
      <c r="F28" s="117">
        <v>4.4660000000000002</v>
      </c>
      <c r="G28" s="117">
        <v>4.4729999999999999</v>
      </c>
      <c r="H28" s="117">
        <v>4.4800000000000004</v>
      </c>
      <c r="I28" s="117">
        <v>4.4859999999999998</v>
      </c>
      <c r="J28" s="117">
        <v>4.4930000000000003</v>
      </c>
      <c r="K28" s="117">
        <v>4.5</v>
      </c>
      <c r="L28" s="117">
        <v>4.5069999999999997</v>
      </c>
      <c r="M28" s="117">
        <v>4.5129999999999999</v>
      </c>
      <c r="P28" s="99">
        <v>51</v>
      </c>
      <c r="Q28" s="117">
        <v>5.0000000000000001E-3</v>
      </c>
      <c r="R28" s="117">
        <v>7.0000000000000001E-3</v>
      </c>
      <c r="S28" s="117">
        <v>8.0000000000000002E-3</v>
      </c>
      <c r="T28" s="117">
        <v>0.01</v>
      </c>
      <c r="U28" s="117">
        <v>1.0999999999999999E-2</v>
      </c>
      <c r="V28" s="117">
        <v>1.2E-2</v>
      </c>
      <c r="W28" s="117">
        <v>1.4E-2</v>
      </c>
      <c r="X28" s="117">
        <v>1.4999999999999999E-2</v>
      </c>
      <c r="Y28" s="117">
        <v>1.7000000000000001E-2</v>
      </c>
      <c r="Z28" s="117">
        <v>1.7999999999999999E-2</v>
      </c>
      <c r="AA28" s="117">
        <v>0.02</v>
      </c>
      <c r="AB28" s="117">
        <v>2.1000000000000001E-2</v>
      </c>
    </row>
    <row r="29" spans="1:28" x14ac:dyDescent="0.25">
      <c r="A29" s="99">
        <v>52</v>
      </c>
      <c r="B29" s="117">
        <v>4.5199999999999996</v>
      </c>
      <c r="C29" s="117">
        <v>4.5270000000000001</v>
      </c>
      <c r="D29" s="117">
        <v>4.5339999999999998</v>
      </c>
      <c r="E29" s="117">
        <v>4.5410000000000004</v>
      </c>
      <c r="F29" s="117">
        <v>4.548</v>
      </c>
      <c r="G29" s="117">
        <v>4.5549999999999997</v>
      </c>
      <c r="H29" s="117">
        <v>4.5620000000000003</v>
      </c>
      <c r="I29" s="117">
        <v>4.5679999999999996</v>
      </c>
      <c r="J29" s="117">
        <v>4.5750000000000002</v>
      </c>
      <c r="K29" s="117">
        <v>4.5819999999999999</v>
      </c>
      <c r="L29" s="117">
        <v>4.5890000000000004</v>
      </c>
      <c r="M29" s="117">
        <v>4.5960000000000001</v>
      </c>
      <c r="P29" s="99">
        <v>52</v>
      </c>
      <c r="Q29" s="117">
        <v>2.3E-2</v>
      </c>
      <c r="R29" s="117">
        <v>2.4E-2</v>
      </c>
      <c r="S29" s="117">
        <v>2.5999999999999999E-2</v>
      </c>
      <c r="T29" s="117">
        <v>2.7E-2</v>
      </c>
      <c r="U29" s="117">
        <v>2.9000000000000001E-2</v>
      </c>
      <c r="V29" s="117">
        <v>3.1E-2</v>
      </c>
      <c r="W29" s="117">
        <v>3.2000000000000001E-2</v>
      </c>
      <c r="X29" s="117">
        <v>3.4000000000000002E-2</v>
      </c>
      <c r="Y29" s="117">
        <v>3.5000000000000003E-2</v>
      </c>
      <c r="Z29" s="117">
        <v>3.6999999999999998E-2</v>
      </c>
      <c r="AA29" s="117">
        <v>3.7999999999999999E-2</v>
      </c>
      <c r="AB29" s="117">
        <v>0.04</v>
      </c>
    </row>
    <row r="30" spans="1:28" x14ac:dyDescent="0.25">
      <c r="A30" s="99">
        <v>53</v>
      </c>
      <c r="B30" s="117">
        <v>4.6029999999999998</v>
      </c>
      <c r="C30" s="117">
        <v>4.6100000000000003</v>
      </c>
      <c r="D30" s="117">
        <v>4.617</v>
      </c>
      <c r="E30" s="117">
        <v>4.6239999999999997</v>
      </c>
      <c r="F30" s="117">
        <v>4.6310000000000002</v>
      </c>
      <c r="G30" s="117">
        <v>4.6379999999999999</v>
      </c>
      <c r="H30" s="117">
        <v>4.6449999999999996</v>
      </c>
      <c r="I30" s="117">
        <v>4.6520000000000001</v>
      </c>
      <c r="J30" s="117">
        <v>4.66</v>
      </c>
      <c r="K30" s="117">
        <v>4.6669999999999998</v>
      </c>
      <c r="L30" s="117">
        <v>4.6740000000000004</v>
      </c>
      <c r="M30" s="117">
        <v>4.681</v>
      </c>
      <c r="P30" s="99">
        <v>53</v>
      </c>
      <c r="Q30" s="117">
        <v>4.1000000000000002E-2</v>
      </c>
      <c r="R30" s="117">
        <v>4.2999999999999997E-2</v>
      </c>
      <c r="S30" s="117">
        <v>4.4999999999999998E-2</v>
      </c>
      <c r="T30" s="117">
        <v>4.5999999999999999E-2</v>
      </c>
      <c r="U30" s="117">
        <v>4.8000000000000001E-2</v>
      </c>
      <c r="V30" s="117">
        <v>0.05</v>
      </c>
      <c r="W30" s="117">
        <v>5.0999999999999997E-2</v>
      </c>
      <c r="X30" s="117">
        <v>5.2999999999999999E-2</v>
      </c>
      <c r="Y30" s="117">
        <v>5.3999999999999999E-2</v>
      </c>
      <c r="Z30" s="117">
        <v>5.6000000000000001E-2</v>
      </c>
      <c r="AA30" s="117">
        <v>5.8000000000000003E-2</v>
      </c>
      <c r="AB30" s="117">
        <v>5.8999999999999997E-2</v>
      </c>
    </row>
    <row r="31" spans="1:28" x14ac:dyDescent="0.25">
      <c r="A31" s="99">
        <v>54</v>
      </c>
      <c r="B31" s="117">
        <v>4.6879999999999997</v>
      </c>
      <c r="C31" s="117">
        <v>4.6950000000000003</v>
      </c>
      <c r="D31" s="117">
        <v>4.702</v>
      </c>
      <c r="E31" s="117">
        <v>4.71</v>
      </c>
      <c r="F31" s="117">
        <v>4.7169999999999996</v>
      </c>
      <c r="G31" s="117">
        <v>4.7240000000000002</v>
      </c>
      <c r="H31" s="117">
        <v>4.7309999999999999</v>
      </c>
      <c r="I31" s="117">
        <v>4.7389999999999999</v>
      </c>
      <c r="J31" s="117">
        <v>4.7460000000000004</v>
      </c>
      <c r="K31" s="117">
        <v>4.7530000000000001</v>
      </c>
      <c r="L31" s="117">
        <v>4.76</v>
      </c>
      <c r="M31" s="117">
        <v>4.7679999999999998</v>
      </c>
      <c r="P31" s="99">
        <v>54</v>
      </c>
      <c r="Q31" s="117">
        <v>6.0999999999999999E-2</v>
      </c>
      <c r="R31" s="117">
        <v>6.3E-2</v>
      </c>
      <c r="S31" s="117">
        <v>6.4000000000000001E-2</v>
      </c>
      <c r="T31" s="117">
        <v>6.6000000000000003E-2</v>
      </c>
      <c r="U31" s="117">
        <v>6.8000000000000005E-2</v>
      </c>
      <c r="V31" s="117">
        <v>7.0000000000000007E-2</v>
      </c>
      <c r="W31" s="117">
        <v>7.0999999999999994E-2</v>
      </c>
      <c r="X31" s="117">
        <v>7.2999999999999995E-2</v>
      </c>
      <c r="Y31" s="117">
        <v>7.4999999999999997E-2</v>
      </c>
      <c r="Z31" s="117">
        <v>7.6999999999999999E-2</v>
      </c>
      <c r="AA31" s="117">
        <v>7.8E-2</v>
      </c>
      <c r="AB31" s="117">
        <v>0.08</v>
      </c>
    </row>
    <row r="32" spans="1:28" x14ac:dyDescent="0.25">
      <c r="A32" s="99">
        <v>55</v>
      </c>
      <c r="B32" s="117">
        <v>4.7709999999999999</v>
      </c>
      <c r="C32" s="117"/>
      <c r="D32" s="117"/>
      <c r="E32" s="117"/>
      <c r="F32" s="117"/>
      <c r="G32" s="117"/>
      <c r="H32" s="117"/>
      <c r="I32" s="117"/>
      <c r="J32" s="117"/>
      <c r="K32" s="117"/>
      <c r="L32" s="117"/>
      <c r="M32" s="117"/>
      <c r="P32" s="99">
        <v>55</v>
      </c>
      <c r="Q32" s="117">
        <v>8.1000000000000003E-2</v>
      </c>
      <c r="R32" s="117"/>
      <c r="S32" s="117"/>
      <c r="T32" s="117"/>
      <c r="U32" s="117"/>
      <c r="V32" s="117"/>
      <c r="W32" s="117"/>
      <c r="X32" s="117"/>
      <c r="Y32" s="117"/>
      <c r="Z32" s="117"/>
      <c r="AA32" s="117"/>
      <c r="AB32" s="117"/>
    </row>
    <row r="44" ht="39.65" customHeight="1" x14ac:dyDescent="0.25"/>
    <row r="46" ht="27.65" customHeight="1" x14ac:dyDescent="0.25"/>
  </sheetData>
  <sheetProtection algorithmName="SHA-512" hashValue="DWeh48vokbotsUWWtnsb7PNuWjBansdgFz42vAELMbv/K2ance2LD0JHFplQPRKVbnEek+b8E2buwgxHijJHSg==" saltValue="2+FVK/m0e8ficGNeojRkqA==" spinCount="100000" sheet="1" objects="1" scenarios="1"/>
  <conditionalFormatting sqref="A6:A21">
    <cfRule type="expression" dxfId="161" priority="24" stopIfTrue="1">
      <formula>MOD(ROW(),2)&lt;&gt;0</formula>
    </cfRule>
    <cfRule type="expression" dxfId="160" priority="23" stopIfTrue="1">
      <formula>MOD(ROW(),2)=0</formula>
    </cfRule>
  </conditionalFormatting>
  <conditionalFormatting sqref="A26:A32">
    <cfRule type="expression" dxfId="159" priority="11" stopIfTrue="1">
      <formula>MOD(ROW(),2)=0</formula>
    </cfRule>
    <cfRule type="expression" dxfId="158" priority="12" stopIfTrue="1">
      <formula>MOD(ROW(),2)&lt;&gt;0</formula>
    </cfRule>
  </conditionalFormatting>
  <conditionalFormatting sqref="B9">
    <cfRule type="expression" dxfId="157" priority="3" stopIfTrue="1">
      <formula>MOD(ROW(),2)=0</formula>
    </cfRule>
    <cfRule type="expression" dxfId="156" priority="4" stopIfTrue="1">
      <formula>MOD(ROW(),2)&lt;&gt;0</formula>
    </cfRule>
  </conditionalFormatting>
  <conditionalFormatting sqref="B17:B21">
    <cfRule type="expression" dxfId="155" priority="22" stopIfTrue="1">
      <formula>MOD(ROW(),2)&lt;&gt;0</formula>
    </cfRule>
    <cfRule type="expression" dxfId="154" priority="21" stopIfTrue="1">
      <formula>MOD(ROW(),2)=0</formula>
    </cfRule>
  </conditionalFormatting>
  <conditionalFormatting sqref="B6:M21">
    <cfRule type="expression" dxfId="153" priority="34" stopIfTrue="1">
      <formula>MOD(ROW(),2)&lt;&gt;0</formula>
    </cfRule>
    <cfRule type="expression" dxfId="152" priority="33" stopIfTrue="1">
      <formula>MOD(ROW(),2)=0</formula>
    </cfRule>
  </conditionalFormatting>
  <conditionalFormatting sqref="B26:M32">
    <cfRule type="expression" dxfId="151" priority="13" stopIfTrue="1">
      <formula>MOD(ROW(),2)=0</formula>
    </cfRule>
    <cfRule type="expression" dxfId="150" priority="14" stopIfTrue="1">
      <formula>MOD(ROW(),2)&lt;&gt;0</formula>
    </cfRule>
  </conditionalFormatting>
  <conditionalFormatting sqref="P6:P21">
    <cfRule type="expression" dxfId="149" priority="18" stopIfTrue="1">
      <formula>MOD(ROW(),2)&lt;&gt;0</formula>
    </cfRule>
    <cfRule type="expression" dxfId="148" priority="17" stopIfTrue="1">
      <formula>MOD(ROW(),2)=0</formula>
    </cfRule>
  </conditionalFormatting>
  <conditionalFormatting sqref="P26:P32">
    <cfRule type="expression" dxfId="147" priority="7" stopIfTrue="1">
      <formula>MOD(ROW(),2)=0</formula>
    </cfRule>
    <cfRule type="expression" dxfId="146" priority="8" stopIfTrue="1">
      <formula>MOD(ROW(),2)&lt;&gt;0</formula>
    </cfRule>
  </conditionalFormatting>
  <conditionalFormatting sqref="Q9">
    <cfRule type="expression" dxfId="145" priority="2" stopIfTrue="1">
      <formula>MOD(ROW(),2)&lt;&gt;0</formula>
    </cfRule>
    <cfRule type="expression" dxfId="144" priority="1" stopIfTrue="1">
      <formula>MOD(ROW(),2)=0</formula>
    </cfRule>
  </conditionalFormatting>
  <conditionalFormatting sqref="Q17:Q21">
    <cfRule type="expression" dxfId="143" priority="6" stopIfTrue="1">
      <formula>MOD(ROW(),2)&lt;&gt;0</formula>
    </cfRule>
    <cfRule type="expression" dxfId="142" priority="5" stopIfTrue="1">
      <formula>MOD(ROW(),2)=0</formula>
    </cfRule>
  </conditionalFormatting>
  <conditionalFormatting sqref="Q6:AB21">
    <cfRule type="expression" dxfId="141" priority="41" stopIfTrue="1">
      <formula>MOD(ROW(),2)=0</formula>
    </cfRule>
    <cfRule type="expression" dxfId="140" priority="42" stopIfTrue="1">
      <formula>MOD(ROW(),2)&lt;&gt;0</formula>
    </cfRule>
  </conditionalFormatting>
  <conditionalFormatting sqref="Q26:AB32">
    <cfRule type="expression" dxfId="139" priority="10" stopIfTrue="1">
      <formula>MOD(ROW(),2)&lt;&gt;0</formula>
    </cfRule>
    <cfRule type="expression" dxfId="138" priority="9" stopIfTrue="1">
      <formula>MOD(ROW(),2)=0</formula>
    </cfRule>
  </conditionalFormatting>
  <hyperlinks>
    <hyperlink ref="B24" location="Assumptions!A1" display="Assumptions" xr:uid="{89C5D83E-DD04-42AF-A604-05C5FFF417D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83"/>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x-811</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580</v>
      </c>
      <c r="C8" s="161"/>
      <c r="D8" s="161"/>
      <c r="E8" s="161"/>
      <c r="F8" s="161"/>
      <c r="G8" s="161"/>
      <c r="H8" s="161"/>
      <c r="I8" s="161"/>
      <c r="J8" s="161"/>
      <c r="K8" s="161"/>
      <c r="L8" s="161"/>
      <c r="M8" s="161"/>
    </row>
    <row r="9" spans="1:13" x14ac:dyDescent="0.25">
      <c r="A9" s="85" t="s">
        <v>282</v>
      </c>
      <c r="B9" s="161" t="s">
        <v>396</v>
      </c>
      <c r="C9" s="161"/>
      <c r="D9" s="161"/>
      <c r="E9" s="161"/>
      <c r="F9" s="161"/>
      <c r="G9" s="161"/>
      <c r="H9" s="161"/>
      <c r="I9" s="161"/>
      <c r="J9" s="161"/>
      <c r="K9" s="161"/>
      <c r="L9" s="161"/>
      <c r="M9" s="161"/>
    </row>
    <row r="10" spans="1:13" x14ac:dyDescent="0.25">
      <c r="A10" s="85" t="s">
        <v>6</v>
      </c>
      <c r="B10" s="161" t="s">
        <v>616</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582</v>
      </c>
      <c r="C12" s="161"/>
      <c r="D12" s="161"/>
      <c r="E12" s="161"/>
      <c r="F12" s="161"/>
      <c r="G12" s="161"/>
      <c r="H12" s="161"/>
      <c r="I12" s="161"/>
      <c r="J12" s="161"/>
      <c r="K12" s="161"/>
      <c r="L12" s="161"/>
      <c r="M12" s="161"/>
    </row>
    <row r="13" spans="1:13" x14ac:dyDescent="0.25">
      <c r="A13" s="85" t="s">
        <v>289</v>
      </c>
      <c r="B13" s="161">
        <v>0</v>
      </c>
      <c r="C13" s="161"/>
      <c r="D13" s="161"/>
      <c r="E13" s="161"/>
      <c r="F13" s="161"/>
      <c r="G13" s="161"/>
      <c r="H13" s="161"/>
      <c r="I13" s="161"/>
      <c r="J13" s="161"/>
      <c r="K13" s="161"/>
      <c r="L13" s="161"/>
      <c r="M13" s="161"/>
    </row>
    <row r="14" spans="1:13" x14ac:dyDescent="0.25">
      <c r="A14" s="85" t="s">
        <v>291</v>
      </c>
      <c r="B14" s="161">
        <v>811</v>
      </c>
      <c r="C14" s="161"/>
      <c r="D14" s="161"/>
      <c r="E14" s="161"/>
      <c r="F14" s="161"/>
      <c r="G14" s="161"/>
      <c r="H14" s="161"/>
      <c r="I14" s="161"/>
      <c r="J14" s="161"/>
      <c r="K14" s="161"/>
      <c r="L14" s="161"/>
      <c r="M14" s="161"/>
    </row>
    <row r="15" spans="1:13" x14ac:dyDescent="0.25">
      <c r="A15" s="85" t="s">
        <v>293</v>
      </c>
      <c r="B15" s="161" t="s">
        <v>617</v>
      </c>
      <c r="C15" s="161"/>
      <c r="D15" s="161"/>
      <c r="E15" s="161"/>
      <c r="F15" s="161"/>
      <c r="G15" s="161"/>
      <c r="H15" s="161"/>
      <c r="I15" s="161"/>
      <c r="J15" s="161"/>
      <c r="K15" s="161"/>
      <c r="L15" s="161"/>
      <c r="M15" s="161"/>
    </row>
    <row r="16" spans="1:13" x14ac:dyDescent="0.25">
      <c r="A16" s="85" t="s">
        <v>295</v>
      </c>
      <c r="B16" s="161" t="s">
        <v>618</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45135</v>
      </c>
      <c r="C18" s="161"/>
      <c r="D18" s="161"/>
      <c r="E18" s="161"/>
      <c r="F18" s="161"/>
      <c r="G18" s="161"/>
      <c r="H18" s="161"/>
      <c r="I18" s="161"/>
      <c r="J18" s="161"/>
      <c r="K18" s="161"/>
      <c r="L18" s="161"/>
      <c r="M18" s="161"/>
    </row>
    <row r="19" spans="1:13" x14ac:dyDescent="0.25">
      <c r="A19" s="85" t="s">
        <v>301</v>
      </c>
      <c r="B19" s="162">
        <v>45200</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50</v>
      </c>
      <c r="B27" s="117">
        <v>4.7560000000000002</v>
      </c>
      <c r="C27" s="117">
        <v>4.6790000000000003</v>
      </c>
      <c r="D27" s="117">
        <v>4.6020000000000003</v>
      </c>
      <c r="E27" s="117">
        <v>4.5250000000000004</v>
      </c>
      <c r="F27" s="117">
        <v>4.4470000000000001</v>
      </c>
      <c r="G27" s="117">
        <v>4.37</v>
      </c>
      <c r="H27" s="117">
        <v>4.2930000000000001</v>
      </c>
      <c r="I27" s="117">
        <v>4.2160000000000002</v>
      </c>
      <c r="J27" s="117">
        <v>4.1379999999999999</v>
      </c>
      <c r="K27" s="117">
        <v>4.0609999999999999</v>
      </c>
      <c r="L27" s="117">
        <v>3.984</v>
      </c>
      <c r="M27" s="117">
        <v>3.907</v>
      </c>
    </row>
    <row r="28" spans="1:13" x14ac:dyDescent="0.25">
      <c r="A28" s="99">
        <v>51</v>
      </c>
      <c r="B28" s="117">
        <v>3.8290000000000002</v>
      </c>
      <c r="C28" s="117">
        <v>3.75</v>
      </c>
      <c r="D28" s="117">
        <v>3.6720000000000002</v>
      </c>
      <c r="E28" s="117">
        <v>3.593</v>
      </c>
      <c r="F28" s="117">
        <v>3.5150000000000001</v>
      </c>
      <c r="G28" s="117">
        <v>3.4359999999999999</v>
      </c>
      <c r="H28" s="117">
        <v>3.3570000000000002</v>
      </c>
      <c r="I28" s="117">
        <v>3.2789999999999999</v>
      </c>
      <c r="J28" s="117">
        <v>3.2</v>
      </c>
      <c r="K28" s="117">
        <v>3.1219999999999999</v>
      </c>
      <c r="L28" s="117">
        <v>3.0430000000000001</v>
      </c>
      <c r="M28" s="117">
        <v>2.9649999999999999</v>
      </c>
    </row>
    <row r="29" spans="1:13" x14ac:dyDescent="0.25">
      <c r="A29" s="99">
        <v>52</v>
      </c>
      <c r="B29" s="117">
        <v>2.8849999999999998</v>
      </c>
      <c r="C29" s="117">
        <v>2.806</v>
      </c>
      <c r="D29" s="117">
        <v>2.726</v>
      </c>
      <c r="E29" s="117">
        <v>2.6459999999999999</v>
      </c>
      <c r="F29" s="117">
        <v>2.5659999999999998</v>
      </c>
      <c r="G29" s="117">
        <v>2.4860000000000002</v>
      </c>
      <c r="H29" s="117">
        <v>2.4060000000000001</v>
      </c>
      <c r="I29" s="117">
        <v>2.3260000000000001</v>
      </c>
      <c r="J29" s="117">
        <v>2.246</v>
      </c>
      <c r="K29" s="117">
        <v>2.1659999999999999</v>
      </c>
      <c r="L29" s="117">
        <v>2.0870000000000002</v>
      </c>
      <c r="M29" s="117">
        <v>2.0070000000000001</v>
      </c>
    </row>
    <row r="30" spans="1:13" x14ac:dyDescent="0.25">
      <c r="A30" s="99">
        <v>53</v>
      </c>
      <c r="B30" s="117">
        <v>1.9259999999999999</v>
      </c>
      <c r="C30" s="117">
        <v>1.845</v>
      </c>
      <c r="D30" s="117">
        <v>1.764</v>
      </c>
      <c r="E30" s="117">
        <v>1.6819999999999999</v>
      </c>
      <c r="F30" s="117">
        <v>1.601</v>
      </c>
      <c r="G30" s="117">
        <v>1.52</v>
      </c>
      <c r="H30" s="117">
        <v>1.4390000000000001</v>
      </c>
      <c r="I30" s="117">
        <v>1.357</v>
      </c>
      <c r="J30" s="117">
        <v>1.276</v>
      </c>
      <c r="K30" s="117">
        <v>1.1950000000000001</v>
      </c>
      <c r="L30" s="117">
        <v>1.113</v>
      </c>
      <c r="M30" s="117">
        <v>1.032</v>
      </c>
    </row>
    <row r="31" spans="1:13" x14ac:dyDescent="0.25">
      <c r="A31" s="99">
        <v>54</v>
      </c>
      <c r="B31" s="117">
        <v>0.95</v>
      </c>
      <c r="C31" s="117">
        <v>0.86799999999999999</v>
      </c>
      <c r="D31" s="117">
        <v>0.78500000000000003</v>
      </c>
      <c r="E31" s="117">
        <v>0.70199999999999996</v>
      </c>
      <c r="F31" s="117">
        <v>0.62</v>
      </c>
      <c r="G31" s="117">
        <v>0.53700000000000003</v>
      </c>
      <c r="H31" s="117">
        <v>0.45400000000000001</v>
      </c>
      <c r="I31" s="117">
        <v>0.372</v>
      </c>
      <c r="J31" s="117">
        <v>0.28899999999999998</v>
      </c>
      <c r="K31" s="117">
        <v>0.20699999999999999</v>
      </c>
      <c r="L31" s="117">
        <v>0.124</v>
      </c>
      <c r="M31" s="117">
        <v>4.1000000000000002E-2</v>
      </c>
    </row>
    <row r="32" spans="1:13" x14ac:dyDescent="0.25">
      <c r="A32" s="99">
        <v>55</v>
      </c>
      <c r="B32" s="117">
        <v>0</v>
      </c>
      <c r="C32" s="117"/>
      <c r="D32" s="117"/>
      <c r="E32" s="117"/>
      <c r="F32" s="117"/>
      <c r="G32" s="117"/>
      <c r="H32" s="117"/>
      <c r="I32" s="117"/>
      <c r="J32" s="117"/>
      <c r="K32" s="117"/>
      <c r="L32" s="117"/>
      <c r="M32" s="117"/>
    </row>
    <row r="44" ht="39.65" customHeight="1" x14ac:dyDescent="0.25"/>
    <row r="46" ht="27.65" customHeight="1" x14ac:dyDescent="0.25"/>
  </sheetData>
  <sheetProtection algorithmName="SHA-512" hashValue="TPMlFcxA79px7bBC09y16DgtB+8XVUuwUPiRzN3feN9XQIgQ9Rd2qogf+37boujx9RELmod90cUxL0sOvaWvlg==" saltValue="CWj+TcsdOk6raijvi4pEqw==" spinCount="100000" sheet="1" objects="1" scenarios="1"/>
  <conditionalFormatting sqref="A6:A21">
    <cfRule type="expression" dxfId="137" priority="9" stopIfTrue="1">
      <formula>MOD(ROW(),2)=0</formula>
    </cfRule>
    <cfRule type="expression" dxfId="136" priority="10" stopIfTrue="1">
      <formula>MOD(ROW(),2)&lt;&gt;0</formula>
    </cfRule>
  </conditionalFormatting>
  <conditionalFormatting sqref="A26:A32">
    <cfRule type="expression" dxfId="135" priority="3" stopIfTrue="1">
      <formula>MOD(ROW(),2)=0</formula>
    </cfRule>
    <cfRule type="expression" dxfId="134" priority="4" stopIfTrue="1">
      <formula>MOD(ROW(),2)&lt;&gt;0</formula>
    </cfRule>
  </conditionalFormatting>
  <conditionalFormatting sqref="B9">
    <cfRule type="expression" dxfId="133" priority="1" stopIfTrue="1">
      <formula>MOD(ROW(),2)=0</formula>
    </cfRule>
    <cfRule type="expression" dxfId="132" priority="2" stopIfTrue="1">
      <formula>MOD(ROW(),2)&lt;&gt;0</formula>
    </cfRule>
  </conditionalFormatting>
  <conditionalFormatting sqref="B17:B21">
    <cfRule type="expression" dxfId="131" priority="7" stopIfTrue="1">
      <formula>MOD(ROW(),2)=0</formula>
    </cfRule>
    <cfRule type="expression" dxfId="130" priority="8" stopIfTrue="1">
      <formula>MOD(ROW(),2)&lt;&gt;0</formula>
    </cfRule>
  </conditionalFormatting>
  <conditionalFormatting sqref="B6:M21">
    <cfRule type="expression" dxfId="129" priority="19" stopIfTrue="1">
      <formula>MOD(ROW(),2)=0</formula>
    </cfRule>
    <cfRule type="expression" dxfId="128" priority="20" stopIfTrue="1">
      <formula>MOD(ROW(),2)&lt;&gt;0</formula>
    </cfRule>
  </conditionalFormatting>
  <conditionalFormatting sqref="B26:M32">
    <cfRule type="expression" dxfId="127" priority="5" stopIfTrue="1">
      <formula>MOD(ROW(),2)=0</formula>
    </cfRule>
    <cfRule type="expression" dxfId="126" priority="6" stopIfTrue="1">
      <formula>MOD(ROW(),2)&lt;&gt;0</formula>
    </cfRule>
  </conditionalFormatting>
  <hyperlinks>
    <hyperlink ref="B24" location="Assumptions!A1" display="Assumptions" xr:uid="{949B2DAC-E610-4367-802B-41F2B0FEA45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84"/>
  <dimension ref="A1:M46"/>
  <sheetViews>
    <sheetView showGridLines="0" zoomScale="85" zoomScaleNormal="85" workbookViewId="0">
      <selection activeCell="A4" sqref="A4"/>
    </sheetView>
  </sheetViews>
  <sheetFormatPr defaultColWidth="10" defaultRowHeight="12.5" x14ac:dyDescent="0.25"/>
  <cols>
    <col min="1" max="1" width="31.90625" style="25" customWidth="1"/>
    <col min="2" max="13" width="22.90625" style="25" customWidth="1"/>
    <col min="14" max="16384" width="10" style="25"/>
  </cols>
  <sheetData>
    <row r="1" spans="1:13" ht="20" x14ac:dyDescent="0.4">
      <c r="A1" s="36" t="s">
        <v>0</v>
      </c>
      <c r="B1" s="37"/>
      <c r="C1" s="37"/>
      <c r="D1" s="37"/>
      <c r="E1" s="37"/>
      <c r="F1" s="37"/>
      <c r="G1" s="37"/>
      <c r="H1" s="37"/>
      <c r="I1" s="37"/>
    </row>
    <row r="2" spans="1:13" ht="15.5" x14ac:dyDescent="0.35">
      <c r="A2" s="38" t="str">
        <f>IF(title="&gt; Enter workbook title here","Enter workbook title in Cover sheet",title)</f>
        <v>NHSPS_NI - Consolidated Factor Spreadsheet</v>
      </c>
      <c r="B2" s="39"/>
      <c r="C2" s="39"/>
      <c r="D2" s="39"/>
      <c r="E2" s="39"/>
      <c r="F2" s="39"/>
      <c r="G2" s="39"/>
      <c r="H2" s="39"/>
      <c r="I2" s="39"/>
    </row>
    <row r="3" spans="1:13" ht="15.5" x14ac:dyDescent="0.35">
      <c r="A3" s="40" t="str">
        <f>TABLE_FACTOR_TYPE_1&amp;" - x-"&amp;TABLE_SERIES_NUMBER_1</f>
        <v>ERF - x-812</v>
      </c>
      <c r="B3" s="39"/>
      <c r="C3" s="39"/>
      <c r="D3" s="39"/>
      <c r="E3" s="39"/>
      <c r="F3" s="39"/>
      <c r="G3" s="39"/>
      <c r="H3" s="39"/>
      <c r="I3" s="39"/>
    </row>
    <row r="4" spans="1:13" x14ac:dyDescent="0.25">
      <c r="A4" s="41"/>
    </row>
    <row r="6" spans="1:13" ht="13" x14ac:dyDescent="0.3">
      <c r="A6" s="83" t="s">
        <v>276</v>
      </c>
      <c r="B6" s="161" t="s">
        <v>277</v>
      </c>
      <c r="C6" s="161"/>
      <c r="D6" s="161"/>
      <c r="E6" s="161"/>
      <c r="F6" s="161"/>
      <c r="G6" s="161"/>
      <c r="H6" s="161"/>
      <c r="I6" s="161"/>
      <c r="J6" s="161"/>
      <c r="K6" s="161"/>
      <c r="L6" s="161"/>
      <c r="M6" s="161"/>
    </row>
    <row r="7" spans="1:13" x14ac:dyDescent="0.25">
      <c r="A7" s="85" t="s">
        <v>278</v>
      </c>
      <c r="B7" s="161" t="s">
        <v>310</v>
      </c>
      <c r="C7" s="161"/>
      <c r="D7" s="161"/>
      <c r="E7" s="161"/>
      <c r="F7" s="161"/>
      <c r="G7" s="161"/>
      <c r="H7" s="161"/>
      <c r="I7" s="161"/>
      <c r="J7" s="161"/>
      <c r="K7" s="161"/>
      <c r="L7" s="161"/>
      <c r="M7" s="161"/>
    </row>
    <row r="8" spans="1:13" x14ac:dyDescent="0.25">
      <c r="A8" s="85" t="s">
        <v>280</v>
      </c>
      <c r="B8" s="161" t="s">
        <v>580</v>
      </c>
      <c r="C8" s="161"/>
      <c r="D8" s="161"/>
      <c r="E8" s="161"/>
      <c r="F8" s="161"/>
      <c r="G8" s="161"/>
      <c r="H8" s="161"/>
      <c r="I8" s="161"/>
      <c r="J8" s="161"/>
      <c r="K8" s="161"/>
      <c r="L8" s="161"/>
      <c r="M8" s="161"/>
    </row>
    <row r="9" spans="1:13" x14ac:dyDescent="0.25">
      <c r="A9" s="85" t="s">
        <v>282</v>
      </c>
      <c r="B9" s="161" t="s">
        <v>396</v>
      </c>
      <c r="C9" s="161"/>
      <c r="D9" s="161"/>
      <c r="E9" s="161"/>
      <c r="F9" s="161"/>
      <c r="G9" s="161"/>
      <c r="H9" s="161"/>
      <c r="I9" s="161"/>
      <c r="J9" s="161"/>
      <c r="K9" s="161"/>
      <c r="L9" s="161"/>
      <c r="M9" s="161"/>
    </row>
    <row r="10" spans="1:13" x14ac:dyDescent="0.25">
      <c r="A10" s="85" t="s">
        <v>6</v>
      </c>
      <c r="B10" s="161" t="s">
        <v>619</v>
      </c>
      <c r="C10" s="161"/>
      <c r="D10" s="161"/>
      <c r="E10" s="161"/>
      <c r="F10" s="161"/>
      <c r="G10" s="161"/>
      <c r="H10" s="161"/>
      <c r="I10" s="161"/>
      <c r="J10" s="161"/>
      <c r="K10" s="161"/>
      <c r="L10" s="161"/>
      <c r="M10" s="161"/>
    </row>
    <row r="11" spans="1:13" x14ac:dyDescent="0.25">
      <c r="A11" s="85" t="s">
        <v>285</v>
      </c>
      <c r="B11" s="161" t="s">
        <v>359</v>
      </c>
      <c r="C11" s="161"/>
      <c r="D11" s="161"/>
      <c r="E11" s="161"/>
      <c r="F11" s="161"/>
      <c r="G11" s="161"/>
      <c r="H11" s="161"/>
      <c r="I11" s="161"/>
      <c r="J11" s="161"/>
      <c r="K11" s="161"/>
      <c r="L11" s="161"/>
      <c r="M11" s="161"/>
    </row>
    <row r="12" spans="1:13" x14ac:dyDescent="0.25">
      <c r="A12" s="85" t="s">
        <v>287</v>
      </c>
      <c r="B12" s="161" t="s">
        <v>582</v>
      </c>
      <c r="C12" s="161"/>
      <c r="D12" s="161"/>
      <c r="E12" s="161"/>
      <c r="F12" s="161"/>
      <c r="G12" s="161"/>
      <c r="H12" s="161"/>
      <c r="I12" s="161"/>
      <c r="J12" s="161"/>
      <c r="K12" s="161"/>
      <c r="L12" s="161"/>
      <c r="M12" s="161"/>
    </row>
    <row r="13" spans="1:13" x14ac:dyDescent="0.25">
      <c r="A13" s="85" t="s">
        <v>289</v>
      </c>
      <c r="B13" s="161">
        <v>0</v>
      </c>
      <c r="C13" s="161"/>
      <c r="D13" s="161"/>
      <c r="E13" s="161"/>
      <c r="F13" s="161"/>
      <c r="G13" s="161"/>
      <c r="H13" s="161"/>
      <c r="I13" s="161"/>
      <c r="J13" s="161"/>
      <c r="K13" s="161"/>
      <c r="L13" s="161"/>
      <c r="M13" s="161"/>
    </row>
    <row r="14" spans="1:13" x14ac:dyDescent="0.25">
      <c r="A14" s="85" t="s">
        <v>291</v>
      </c>
      <c r="B14" s="161">
        <v>812</v>
      </c>
      <c r="C14" s="161"/>
      <c r="D14" s="161"/>
      <c r="E14" s="161"/>
      <c r="F14" s="161"/>
      <c r="G14" s="161"/>
      <c r="H14" s="161"/>
      <c r="I14" s="161"/>
      <c r="J14" s="161"/>
      <c r="K14" s="161"/>
      <c r="L14" s="161"/>
      <c r="M14" s="161"/>
    </row>
    <row r="15" spans="1:13" x14ac:dyDescent="0.25">
      <c r="A15" s="85" t="s">
        <v>293</v>
      </c>
      <c r="B15" s="161" t="s">
        <v>620</v>
      </c>
      <c r="C15" s="161"/>
      <c r="D15" s="161"/>
      <c r="E15" s="161"/>
      <c r="F15" s="161"/>
      <c r="G15" s="161"/>
      <c r="H15" s="161"/>
      <c r="I15" s="161"/>
      <c r="J15" s="161"/>
      <c r="K15" s="161"/>
      <c r="L15" s="161"/>
      <c r="M15" s="161"/>
    </row>
    <row r="16" spans="1:13" x14ac:dyDescent="0.25">
      <c r="A16" s="85" t="s">
        <v>295</v>
      </c>
      <c r="B16" s="161" t="s">
        <v>621</v>
      </c>
      <c r="C16" s="161"/>
      <c r="D16" s="161"/>
      <c r="E16" s="161"/>
      <c r="F16" s="161"/>
      <c r="G16" s="161"/>
      <c r="H16" s="161"/>
      <c r="I16" s="161"/>
      <c r="J16" s="161"/>
      <c r="K16" s="161"/>
      <c r="L16" s="161"/>
      <c r="M16" s="161"/>
    </row>
    <row r="17" spans="1:13" x14ac:dyDescent="0.25">
      <c r="A17" s="69" t="s">
        <v>725</v>
      </c>
      <c r="B17" s="161"/>
      <c r="C17" s="161"/>
      <c r="D17" s="161"/>
      <c r="E17" s="161"/>
      <c r="F17" s="161"/>
      <c r="G17" s="161"/>
      <c r="H17" s="161"/>
      <c r="I17" s="161"/>
      <c r="J17" s="161"/>
      <c r="K17" s="161"/>
      <c r="L17" s="161"/>
      <c r="M17" s="161"/>
    </row>
    <row r="18" spans="1:13" x14ac:dyDescent="0.25">
      <c r="A18" s="85" t="s">
        <v>299</v>
      </c>
      <c r="B18" s="162">
        <v>45135</v>
      </c>
      <c r="C18" s="161"/>
      <c r="D18" s="161"/>
      <c r="E18" s="161"/>
      <c r="F18" s="161"/>
      <c r="G18" s="161"/>
      <c r="H18" s="161"/>
      <c r="I18" s="161"/>
      <c r="J18" s="161"/>
      <c r="K18" s="161"/>
      <c r="L18" s="161"/>
      <c r="M18" s="161"/>
    </row>
    <row r="19" spans="1:13" x14ac:dyDescent="0.25">
      <c r="A19" s="85" t="s">
        <v>301</v>
      </c>
      <c r="B19" s="162">
        <v>45200</v>
      </c>
      <c r="C19" s="161"/>
      <c r="D19" s="161"/>
      <c r="E19" s="161"/>
      <c r="F19" s="161"/>
      <c r="G19" s="161"/>
      <c r="H19" s="161"/>
      <c r="I19" s="161"/>
      <c r="J19" s="161"/>
      <c r="K19" s="161"/>
      <c r="L19" s="161"/>
      <c r="M19" s="161"/>
    </row>
    <row r="20" spans="1:13" x14ac:dyDescent="0.25">
      <c r="A20" s="85" t="s">
        <v>303</v>
      </c>
      <c r="B20" s="161" t="s">
        <v>317</v>
      </c>
      <c r="C20" s="161"/>
      <c r="D20" s="161"/>
      <c r="E20" s="161"/>
      <c r="F20" s="161"/>
      <c r="G20" s="161"/>
      <c r="H20" s="161"/>
      <c r="I20" s="161"/>
      <c r="J20" s="161"/>
      <c r="K20" s="161"/>
      <c r="L20" s="161"/>
      <c r="M20" s="161"/>
    </row>
    <row r="21" spans="1:13" x14ac:dyDescent="0.25">
      <c r="A21" s="85" t="s">
        <v>309</v>
      </c>
      <c r="B21" s="161" t="s">
        <v>318</v>
      </c>
      <c r="C21" s="161"/>
      <c r="D21" s="161"/>
      <c r="E21" s="161"/>
      <c r="F21" s="161"/>
      <c r="G21" s="161"/>
      <c r="H21" s="161"/>
      <c r="I21" s="161"/>
      <c r="J21" s="161"/>
      <c r="K21" s="161"/>
      <c r="L21" s="161"/>
      <c r="M21" s="161"/>
    </row>
    <row r="23" spans="1:13" x14ac:dyDescent="0.25">
      <c r="B23" s="103" t="str">
        <f>HYPERLINK("#'Factor List'!A1","Back to Factor List")</f>
        <v>Back to Factor List</v>
      </c>
    </row>
    <row r="24" spans="1:13" x14ac:dyDescent="0.25">
      <c r="B24" s="103" t="s">
        <v>15</v>
      </c>
    </row>
    <row r="26" spans="1:13" ht="13" x14ac:dyDescent="0.25">
      <c r="A26" s="98" t="s">
        <v>763</v>
      </c>
      <c r="B26" s="98">
        <v>0</v>
      </c>
      <c r="C26" s="98">
        <v>1</v>
      </c>
      <c r="D26" s="98">
        <v>2</v>
      </c>
      <c r="E26" s="98">
        <v>3</v>
      </c>
      <c r="F26" s="98">
        <v>4</v>
      </c>
      <c r="G26" s="98">
        <v>5</v>
      </c>
      <c r="H26" s="98">
        <v>6</v>
      </c>
      <c r="I26" s="98">
        <v>7</v>
      </c>
      <c r="J26" s="98">
        <v>8</v>
      </c>
      <c r="K26" s="98">
        <v>9</v>
      </c>
      <c r="L26" s="98">
        <v>10</v>
      </c>
      <c r="M26" s="98">
        <v>11</v>
      </c>
    </row>
    <row r="27" spans="1:13" x14ac:dyDescent="0.25">
      <c r="A27" s="99">
        <v>50</v>
      </c>
      <c r="B27" s="117">
        <v>9.1180000000000003</v>
      </c>
      <c r="C27" s="117">
        <v>9.048</v>
      </c>
      <c r="D27" s="117">
        <v>8.9779999999999998</v>
      </c>
      <c r="E27" s="117">
        <v>8.9079999999999995</v>
      </c>
      <c r="F27" s="117">
        <v>8.8369999999999997</v>
      </c>
      <c r="G27" s="117">
        <v>8.7669999999999995</v>
      </c>
      <c r="H27" s="117">
        <v>8.6969999999999992</v>
      </c>
      <c r="I27" s="117">
        <v>8.6270000000000007</v>
      </c>
      <c r="J27" s="117">
        <v>8.5570000000000004</v>
      </c>
      <c r="K27" s="117">
        <v>8.4870000000000001</v>
      </c>
      <c r="L27" s="117">
        <v>8.4160000000000004</v>
      </c>
      <c r="M27" s="117">
        <v>8.3460000000000001</v>
      </c>
    </row>
    <row r="28" spans="1:13" x14ac:dyDescent="0.25">
      <c r="A28" s="99">
        <v>51</v>
      </c>
      <c r="B28" s="117">
        <v>8.2759999999999998</v>
      </c>
      <c r="C28" s="117">
        <v>8.2040000000000006</v>
      </c>
      <c r="D28" s="117">
        <v>8.1329999999999991</v>
      </c>
      <c r="E28" s="117">
        <v>8.0609999999999999</v>
      </c>
      <c r="F28" s="117">
        <v>7.99</v>
      </c>
      <c r="G28" s="117">
        <v>7.9189999999999996</v>
      </c>
      <c r="H28" s="117">
        <v>7.8470000000000004</v>
      </c>
      <c r="I28" s="117">
        <v>7.7759999999999998</v>
      </c>
      <c r="J28" s="117">
        <v>7.7050000000000001</v>
      </c>
      <c r="K28" s="117">
        <v>7.633</v>
      </c>
      <c r="L28" s="117">
        <v>7.5620000000000003</v>
      </c>
      <c r="M28" s="117">
        <v>7.49</v>
      </c>
    </row>
    <row r="29" spans="1:13" x14ac:dyDescent="0.25">
      <c r="A29" s="99">
        <v>52</v>
      </c>
      <c r="B29" s="117">
        <v>7.4180000000000001</v>
      </c>
      <c r="C29" s="117">
        <v>7.3460000000000001</v>
      </c>
      <c r="D29" s="117">
        <v>7.2729999999999997</v>
      </c>
      <c r="E29" s="117">
        <v>7.2009999999999996</v>
      </c>
      <c r="F29" s="117">
        <v>7.1280000000000001</v>
      </c>
      <c r="G29" s="117">
        <v>7.0549999999999997</v>
      </c>
      <c r="H29" s="117">
        <v>6.9829999999999997</v>
      </c>
      <c r="I29" s="117">
        <v>6.91</v>
      </c>
      <c r="J29" s="117">
        <v>6.8380000000000001</v>
      </c>
      <c r="K29" s="117">
        <v>6.7649999999999997</v>
      </c>
      <c r="L29" s="117">
        <v>6.6920000000000002</v>
      </c>
      <c r="M29" s="117">
        <v>6.62</v>
      </c>
    </row>
    <row r="30" spans="1:13" x14ac:dyDescent="0.25">
      <c r="A30" s="99">
        <v>53</v>
      </c>
      <c r="B30" s="117">
        <v>6.5460000000000003</v>
      </c>
      <c r="C30" s="117">
        <v>6.4729999999999999</v>
      </c>
      <c r="D30" s="117">
        <v>6.399</v>
      </c>
      <c r="E30" s="117">
        <v>6.3250000000000002</v>
      </c>
      <c r="F30" s="117">
        <v>6.2510000000000003</v>
      </c>
      <c r="G30" s="117">
        <v>6.1769999999999996</v>
      </c>
      <c r="H30" s="117">
        <v>6.1029999999999998</v>
      </c>
      <c r="I30" s="117">
        <v>6.0289999999999999</v>
      </c>
      <c r="J30" s="117">
        <v>5.9560000000000004</v>
      </c>
      <c r="K30" s="117">
        <v>5.8819999999999997</v>
      </c>
      <c r="L30" s="117">
        <v>5.8079999999999998</v>
      </c>
      <c r="M30" s="117">
        <v>5.734</v>
      </c>
    </row>
    <row r="31" spans="1:13" x14ac:dyDescent="0.25">
      <c r="A31" s="99">
        <v>54</v>
      </c>
      <c r="B31" s="117">
        <v>5.6589999999999998</v>
      </c>
      <c r="C31" s="117">
        <v>5.5839999999999996</v>
      </c>
      <c r="D31" s="117">
        <v>5.5090000000000003</v>
      </c>
      <c r="E31" s="117">
        <v>5.4340000000000002</v>
      </c>
      <c r="F31" s="117">
        <v>5.359</v>
      </c>
      <c r="G31" s="117">
        <v>5.2839999999999998</v>
      </c>
      <c r="H31" s="117">
        <v>5.2080000000000002</v>
      </c>
      <c r="I31" s="117">
        <v>5.133</v>
      </c>
      <c r="J31" s="117">
        <v>5.0579999999999998</v>
      </c>
      <c r="K31" s="117">
        <v>4.9829999999999997</v>
      </c>
      <c r="L31" s="117">
        <v>4.9080000000000004</v>
      </c>
      <c r="M31" s="117">
        <v>4.8330000000000002</v>
      </c>
    </row>
    <row r="32" spans="1:13" x14ac:dyDescent="0.25">
      <c r="A32" s="99">
        <v>55</v>
      </c>
      <c r="B32" s="117">
        <v>4.7949999999999999</v>
      </c>
      <c r="C32" s="117"/>
      <c r="D32" s="117"/>
      <c r="E32" s="117"/>
      <c r="F32" s="117"/>
      <c r="G32" s="117"/>
      <c r="H32" s="117"/>
      <c r="I32" s="117"/>
      <c r="J32" s="117"/>
      <c r="K32" s="117"/>
      <c r="L32" s="117"/>
      <c r="M32" s="117"/>
    </row>
    <row r="44" ht="39.65" customHeight="1" x14ac:dyDescent="0.25"/>
    <row r="46" ht="27.65" customHeight="1" x14ac:dyDescent="0.25"/>
  </sheetData>
  <sheetProtection algorithmName="SHA-512" hashValue="1zFTdhQ1YA+fd33T9w6WRBl+oEp55Zaozl7e6IuQgvQIQL4LuPR12VtgRp9B9k8KuGjI7IrXaqzhFFTbfx6vSg==" saltValue="AlfwAOsc/e6YeOPs4i0I5A==" spinCount="100000" sheet="1" objects="1" scenarios="1"/>
  <conditionalFormatting sqref="A6:A21">
    <cfRule type="expression" dxfId="125" priority="9" stopIfTrue="1">
      <formula>MOD(ROW(),2)=0</formula>
    </cfRule>
    <cfRule type="expression" dxfId="124" priority="10" stopIfTrue="1">
      <formula>MOD(ROW(),2)&lt;&gt;0</formula>
    </cfRule>
  </conditionalFormatting>
  <conditionalFormatting sqref="A26:A32">
    <cfRule type="expression" dxfId="123" priority="3" stopIfTrue="1">
      <formula>MOD(ROW(),2)=0</formula>
    </cfRule>
    <cfRule type="expression" dxfId="122" priority="4" stopIfTrue="1">
      <formula>MOD(ROW(),2)&lt;&gt;0</formula>
    </cfRule>
  </conditionalFormatting>
  <conditionalFormatting sqref="B9">
    <cfRule type="expression" dxfId="121" priority="1" stopIfTrue="1">
      <formula>MOD(ROW(),2)=0</formula>
    </cfRule>
    <cfRule type="expression" dxfId="120" priority="2" stopIfTrue="1">
      <formula>MOD(ROW(),2)&lt;&gt;0</formula>
    </cfRule>
  </conditionalFormatting>
  <conditionalFormatting sqref="B17:B21">
    <cfRule type="expression" dxfId="119" priority="7" stopIfTrue="1">
      <formula>MOD(ROW(),2)=0</formula>
    </cfRule>
    <cfRule type="expression" dxfId="118" priority="8" stopIfTrue="1">
      <formula>MOD(ROW(),2)&lt;&gt;0</formula>
    </cfRule>
  </conditionalFormatting>
  <conditionalFormatting sqref="B6:M21">
    <cfRule type="expression" dxfId="117" priority="19" stopIfTrue="1">
      <formula>MOD(ROW(),2)=0</formula>
    </cfRule>
    <cfRule type="expression" dxfId="116" priority="20" stopIfTrue="1">
      <formula>MOD(ROW(),2)&lt;&gt;0</formula>
    </cfRule>
  </conditionalFormatting>
  <conditionalFormatting sqref="B26:M32">
    <cfRule type="expression" dxfId="115" priority="5" stopIfTrue="1">
      <formula>MOD(ROW(),2)=0</formula>
    </cfRule>
    <cfRule type="expression" dxfId="114" priority="6" stopIfTrue="1">
      <formula>MOD(ROW(),2)&lt;&gt;0</formula>
    </cfRule>
  </conditionalFormatting>
  <hyperlinks>
    <hyperlink ref="B24" location="Assumptions!A1" display="Assumptions" xr:uid="{64A7CAA0-EBF7-4F55-8CDD-10CEBBFEDB1D}"/>
  </hyperlinks>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GADWRKGRPACTUA-1580777631-136379</_dlc_DocId>
    <HMT_LegacySensitive xmlns="f69fd3ce-e1df-49de-b78d-1d800e75d0a3">false</HMT_LegacySensitive>
    <_dlc_DocIdUrl xmlns="f69fd3ce-e1df-49de-b78d-1d800e75d0a3">
      <Url>https://tris42.sharepoint.com/sites/gad_wrkgrp_actuarial/_layouts/15/DocIdRedir.aspx?ID=GADWRKGRPACTUA-1580777631-136379</Url>
      <Description>GADWRKGRPACTUA-1580777631-136379</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PrimeCorrectedByUser xmlns="f69fd3ce-e1df-49de-b78d-1d800e75d0a3" xsi:nil="true"/>
    <PrimeClassificationStatus xmlns="f69fd3ce-e1df-49de-b78d-1d800e75d0a3" xsi:nil="true"/>
    <PrimeClassificationStatusDetails xmlns="f69fd3ce-e1df-49de-b78d-1d800e75d0a3" xsi:nil="true"/>
    <PrimeLastClassified xmlns="f69fd3ce-e1df-49de-b78d-1d800e75d0a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42" ma:contentTypeDescription="Create a GAD Document" ma:contentTypeScope="" ma:versionID="b5d48989e559b760262ea2bf7d5f03ab">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3d49a0053a9cee834e1e7742f2fa30c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BillingMetadata" minOccurs="0"/>
                <xsd:element ref="ns3:MediaServiceLocation" minOccurs="0"/>
                <xsd:element ref="ns2:PrimeClassificationStatus" minOccurs="0"/>
                <xsd:element ref="ns2:PrimeClassificationStatusDetails" minOccurs="0"/>
                <xsd:element ref="ns2:PrimeLastClassified" minOccurs="0"/>
                <xsd:element ref="ns2:PrimeCorrectedBy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3;#Other|309840bd-9611-477c-8426-e4d34e375949" ma:fieldId="{64e205a0-0872-4e26-9aef-64ca7bdb5848}" ma:sspId="9002b6cd-6bc3-456d-8dd0-19fe32dddaf9" ma:termSetId="c36ff786-df0b-46ec-ab35-f424d135f718" ma:anchorId="84d27c01-21cd-4a2c-876e-186caec2f556"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element name="PrimeClassificationStatus" ma:index="77" nillable="true" ma:displayName="Processing status" ma:internalName="PrimeClassificationStatus">
      <xsd:simpleType>
        <xsd:restriction base="dms:Text"/>
      </xsd:simpleType>
    </xsd:element>
    <xsd:element name="PrimeClassificationStatusDetails" ma:index="78" nillable="true" ma:displayName="Processing details" ma:internalName="PrimeClassificationStatusDetails">
      <xsd:simpleType>
        <xsd:restriction base="dms:Note">
          <xsd:maxLength value="255"/>
        </xsd:restriction>
      </xsd:simpleType>
    </xsd:element>
    <xsd:element name="PrimeLastClassified" ma:index="79" nillable="true" ma:displayName="Processed" ma:internalName="PrimeLastClassified">
      <xsd:simpleType>
        <xsd:restriction base="dms:DateTime"/>
      </xsd:simpleType>
    </xsd:element>
    <xsd:element name="PrimeCorrectedByUser" ma:index="80" nillable="true" ma:displayName="Corrected" ma:internalName="PrimeCorrectedByUs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element name="MediaServiceBillingMetadata" ma:index="75" nillable="true" ma:displayName="MediaServiceBillingMetadata" ma:hidden="true" ma:internalName="MediaServiceBillingMetadata" ma:readOnly="true">
      <xsd:simpleType>
        <xsd:restriction base="dms:Note"/>
      </xsd:simpleType>
    </xsd:element>
    <xsd:element name="MediaServiceLocation" ma:index="76"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0D08DF5-3AE3-496D-84A2-E60BA445D6DE}">
  <ds:schemaRefs>
    <ds:schemaRef ds:uri="http://schemas.microsoft.com/sharepoint/v3/contenttype/forms"/>
  </ds:schemaRefs>
</ds:datastoreItem>
</file>

<file path=customXml/itemProps2.xml><?xml version="1.0" encoding="utf-8"?>
<ds:datastoreItem xmlns:ds="http://schemas.openxmlformats.org/officeDocument/2006/customXml" ds:itemID="{74279674-E11E-4FEF-90C8-3CA5CA43F3A2}">
  <ds:schemaRefs>
    <ds:schemaRef ds:uri="f69fd3ce-e1df-49de-b78d-1d800e75d0a3"/>
    <ds:schemaRef ds:uri="http://schemas.microsoft.com/office/2006/documentManagement/types"/>
    <ds:schemaRef ds:uri="http://schemas.openxmlformats.org/package/2006/metadata/core-properties"/>
    <ds:schemaRef ds:uri="http://purl.org/dc/terms/"/>
    <ds:schemaRef ds:uri="62c7038d-3aec-4dd4-8afa-8b92667eb25d"/>
    <ds:schemaRef ds:uri="http://schemas.microsoft.com/office/2006/metadata/properties"/>
    <ds:schemaRef ds:uri="http://schemas.microsoft.com/sharepoint/v3"/>
    <ds:schemaRef ds:uri="http://www.w3.org/XML/1998/namespace"/>
    <ds:schemaRef ds:uri="http://schemas.microsoft.com/office/infopath/2007/PartnerControls"/>
    <ds:schemaRef ds:uri="http://purl.org/dc/dcmitype/"/>
    <ds:schemaRef ds:uri="http://purl.org/dc/elements/1.1/"/>
  </ds:schemaRefs>
</ds:datastoreItem>
</file>

<file path=customXml/itemProps3.xml><?xml version="1.0" encoding="utf-8"?>
<ds:datastoreItem xmlns:ds="http://schemas.openxmlformats.org/officeDocument/2006/customXml" ds:itemID="{A174CD89-1F20-4779-85CB-F0A588A4D4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852DB17-7323-4FC8-B104-AF0C2B5CC8F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110</vt:i4>
      </vt:variant>
      <vt:variant>
        <vt:lpstr>Named Ranges</vt:lpstr>
      </vt:variant>
      <vt:variant>
        <vt:i4>2022</vt:i4>
      </vt:variant>
    </vt:vector>
  </HeadingPairs>
  <TitlesOfParts>
    <vt:vector size="2132" baseType="lpstr">
      <vt:lpstr>Cover</vt:lpstr>
      <vt:lpstr>Purpose of spreadsheet</vt:lpstr>
      <vt:lpstr>Version Control</vt:lpstr>
      <vt:lpstr>Summary - NHSPS_EW</vt:lpstr>
      <vt:lpstr>AnnGenHiddenLists</vt:lpstr>
      <vt:lpstr>x-Series Number</vt:lpstr>
      <vt:lpstr>Factor List</vt:lpstr>
      <vt:lpstr>Assumptions</vt:lpstr>
      <vt:lpstr>x-101</vt:lpstr>
      <vt:lpstr>x-102</vt:lpstr>
      <vt:lpstr>x-103</vt:lpstr>
      <vt:lpstr>x-104</vt:lpstr>
      <vt:lpstr>x-201</vt:lpstr>
      <vt:lpstr>x-202</vt:lpstr>
      <vt:lpstr>x-203</vt:lpstr>
      <vt:lpstr>x-204</vt:lpstr>
      <vt:lpstr>x-205</vt:lpstr>
      <vt:lpstr>x-206</vt:lpstr>
      <vt:lpstr>x-207</vt:lpstr>
      <vt:lpstr>x-208</vt:lpstr>
      <vt:lpstr>x-209</vt:lpstr>
      <vt:lpstr>x-217</vt:lpstr>
      <vt:lpstr>x-218</vt:lpstr>
      <vt:lpstr>x-219</vt:lpstr>
      <vt:lpstr>x-301</vt:lpstr>
      <vt:lpstr>x-302</vt:lpstr>
      <vt:lpstr>x-303</vt:lpstr>
      <vt:lpstr>x-304</vt:lpstr>
      <vt:lpstr>x-305</vt:lpstr>
      <vt:lpstr>x-306</vt:lpstr>
      <vt:lpstr>x-307</vt:lpstr>
      <vt:lpstr>x-308</vt:lpstr>
      <vt:lpstr>x-401</vt:lpstr>
      <vt:lpstr>x-402</vt:lpstr>
      <vt:lpstr>x-403</vt:lpstr>
      <vt:lpstr>x-404</vt:lpstr>
      <vt:lpstr>x-405</vt:lpstr>
      <vt:lpstr>x-406</vt:lpstr>
      <vt:lpstr>x-407</vt:lpstr>
      <vt:lpstr>x-408</vt:lpstr>
      <vt:lpstr>x-409</vt:lpstr>
      <vt:lpstr>x-410</vt:lpstr>
      <vt:lpstr>x-411</vt:lpstr>
      <vt:lpstr>x-412</vt:lpstr>
      <vt:lpstr>x-413</vt:lpstr>
      <vt:lpstr>x-414</vt:lpstr>
      <vt:lpstr>x-415</vt:lpstr>
      <vt:lpstr>x-416</vt:lpstr>
      <vt:lpstr>x-417</vt:lpstr>
      <vt:lpstr>x-418</vt:lpstr>
      <vt:lpstr>x-419</vt:lpstr>
      <vt:lpstr>x-420</vt:lpstr>
      <vt:lpstr>x-421</vt:lpstr>
      <vt:lpstr>x-422</vt:lpstr>
      <vt:lpstr>x-423</vt:lpstr>
      <vt:lpstr>x-501</vt:lpstr>
      <vt:lpstr>x-502</vt:lpstr>
      <vt:lpstr>x-503</vt:lpstr>
      <vt:lpstr>x-504</vt:lpstr>
      <vt:lpstr>x-505</vt:lpstr>
      <vt:lpstr>x-601</vt:lpstr>
      <vt:lpstr>x-602</vt:lpstr>
      <vt:lpstr>x-603</vt:lpstr>
      <vt:lpstr>x-604</vt:lpstr>
      <vt:lpstr>x-605</vt:lpstr>
      <vt:lpstr>x-606</vt:lpstr>
      <vt:lpstr>x-703</vt:lpstr>
      <vt:lpstr>x-704</vt:lpstr>
      <vt:lpstr>x-705</vt:lpstr>
      <vt:lpstr>x-706</vt:lpstr>
      <vt:lpstr>x-707</vt:lpstr>
      <vt:lpstr>x-708</vt:lpstr>
      <vt:lpstr>x-709</vt:lpstr>
      <vt:lpstr>x-710</vt:lpstr>
      <vt:lpstr>x-711</vt:lpstr>
      <vt:lpstr>x-712</vt:lpstr>
      <vt:lpstr>x-713</vt:lpstr>
      <vt:lpstr>x-714</vt:lpstr>
      <vt:lpstr>x-715</vt:lpstr>
      <vt:lpstr>x-716</vt:lpstr>
      <vt:lpstr>x-717</vt:lpstr>
      <vt:lpstr>x-718</vt:lpstr>
      <vt:lpstr>x-719</vt:lpstr>
      <vt:lpstr>x-720</vt:lpstr>
      <vt:lpstr>x-721</vt:lpstr>
      <vt:lpstr>x-722</vt:lpstr>
      <vt:lpstr>x-723</vt:lpstr>
      <vt:lpstr>x-801</vt:lpstr>
      <vt:lpstr>x-802</vt:lpstr>
      <vt:lpstr>x-803</vt:lpstr>
      <vt:lpstr>x-804</vt:lpstr>
      <vt:lpstr>x-805</vt:lpstr>
      <vt:lpstr>x-806</vt:lpstr>
      <vt:lpstr>x-807</vt:lpstr>
      <vt:lpstr>x-808</vt:lpstr>
      <vt:lpstr>x-809</vt:lpstr>
      <vt:lpstr>x-810</vt:lpstr>
      <vt:lpstr>x-811</vt:lpstr>
      <vt:lpstr>x-812</vt:lpstr>
      <vt:lpstr>x-813</vt:lpstr>
      <vt:lpstr>x-814</vt:lpstr>
      <vt:lpstr>x-815</vt:lpstr>
      <vt:lpstr>x-816</vt:lpstr>
      <vt:lpstr>x-817</vt:lpstr>
      <vt:lpstr>x-818</vt:lpstr>
      <vt:lpstr>x-819</vt:lpstr>
      <vt:lpstr>x-820</vt:lpstr>
      <vt:lpstr>x-821</vt:lpstr>
      <vt:lpstr>x-822</vt:lpstr>
      <vt:lpstr>x-823</vt:lpstr>
      <vt:lpstr>age_rng</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factor_table</vt:lpstr>
      <vt:lpstr>ImprovementsList</vt:lpstr>
      <vt:lpstr>'Summary - NHSPS_EW'!Print_Area</vt:lpstr>
      <vt:lpstr>'Version Control'!Print_Area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'x-217'!Print_Area</vt:lpstr>
      <vt:lpstr>'x-218'!Print_Area</vt:lpstr>
      <vt:lpstr>'x-219'!Print_Area</vt:lpstr>
      <vt:lpstr>'x-301'!Print_Area</vt:lpstr>
      <vt:lpstr>'x-302'!Print_Area</vt:lpstr>
      <vt:lpstr>'x-303'!Print_Area</vt:lpstr>
      <vt:lpstr>'x-304'!Print_Area</vt:lpstr>
      <vt:lpstr>'x-305'!Print_Area</vt:lpstr>
      <vt:lpstr>'x-306'!Print_Area</vt:lpstr>
      <vt:lpstr>'x-307'!Print_Area</vt:lpstr>
      <vt:lpstr>'x-308'!Print_Area</vt:lpstr>
      <vt:lpstr>'x-401'!Print_Area</vt:lpstr>
      <vt:lpstr>'x-402'!Print_Area</vt:lpstr>
      <vt:lpstr>'x-403'!Print_Area</vt:lpstr>
      <vt:lpstr>'x-404'!Print_Area</vt:lpstr>
      <vt:lpstr>'x-405'!Print_Area</vt:lpstr>
      <vt:lpstr>'x-406'!Print_Area</vt:lpstr>
      <vt:lpstr>'x-407'!Print_Area</vt:lpstr>
      <vt:lpstr>'x-408'!Print_Area</vt:lpstr>
      <vt:lpstr>'x-409'!Print_Area</vt:lpstr>
      <vt:lpstr>'x-410'!Print_Area</vt:lpstr>
      <vt:lpstr>'x-411'!Print_Area</vt:lpstr>
      <vt:lpstr>'x-412'!Print_Area</vt:lpstr>
      <vt:lpstr>'x-413'!Print_Area</vt:lpstr>
      <vt:lpstr>'x-414'!Print_Area</vt:lpstr>
      <vt:lpstr>'x-415'!Print_Area</vt:lpstr>
      <vt:lpstr>'x-416'!Print_Area</vt:lpstr>
      <vt:lpstr>'x-417'!Print_Area</vt:lpstr>
      <vt:lpstr>'x-418'!Print_Area</vt:lpstr>
      <vt:lpstr>'x-419'!Print_Area</vt:lpstr>
      <vt:lpstr>'x-420'!Print_Area</vt:lpstr>
      <vt:lpstr>'x-421'!Print_Area</vt:lpstr>
      <vt:lpstr>'x-422'!Print_Area</vt:lpstr>
      <vt:lpstr>'x-423'!Print_Area</vt:lpstr>
      <vt:lpstr>'x-501'!Print_Area</vt:lpstr>
      <vt:lpstr>'x-502'!Print_Area</vt:lpstr>
      <vt:lpstr>'x-503'!Print_Area</vt:lpstr>
      <vt:lpstr>'x-504'!Print_Area</vt:lpstr>
      <vt:lpstr>'x-505'!Print_Area</vt:lpstr>
      <vt:lpstr>'x-601'!Print_Area</vt:lpstr>
      <vt:lpstr>'x-602'!Print_Area</vt:lpstr>
      <vt:lpstr>'x-603'!Print_Area</vt:lpstr>
      <vt:lpstr>'x-604'!Print_Area</vt:lpstr>
      <vt:lpstr>'x-605'!Print_Area</vt:lpstr>
      <vt:lpstr>'x-606'!Print_Area</vt:lpstr>
      <vt:lpstr>'x-703'!Print_Area</vt:lpstr>
      <vt:lpstr>'x-704'!Print_Area</vt:lpstr>
      <vt:lpstr>'x-705'!Print_Area</vt:lpstr>
      <vt:lpstr>'x-706'!Print_Area</vt:lpstr>
      <vt:lpstr>'x-707'!Print_Area</vt:lpstr>
      <vt:lpstr>'x-708'!Print_Area</vt:lpstr>
      <vt:lpstr>'x-709'!Print_Area</vt:lpstr>
      <vt:lpstr>'x-710'!Print_Area</vt:lpstr>
      <vt:lpstr>'x-711'!Print_Area</vt:lpstr>
      <vt:lpstr>'x-712'!Print_Area</vt:lpstr>
      <vt:lpstr>'x-713'!Print_Area</vt:lpstr>
      <vt:lpstr>'x-714'!Print_Area</vt:lpstr>
      <vt:lpstr>'x-715'!Print_Area</vt:lpstr>
      <vt:lpstr>'x-716'!Print_Area</vt:lpstr>
      <vt:lpstr>'x-717'!Print_Area</vt:lpstr>
      <vt:lpstr>'x-718'!Print_Area</vt:lpstr>
      <vt:lpstr>'x-719'!Print_Area</vt:lpstr>
      <vt:lpstr>'x-720'!Print_Area</vt:lpstr>
      <vt:lpstr>'x-721'!Print_Area</vt:lpstr>
      <vt:lpstr>'x-722'!Print_Area</vt:lpstr>
      <vt:lpstr>'x-723'!Print_Area</vt:lpstr>
      <vt:lpstr>'x-801'!Print_Area</vt:lpstr>
      <vt:lpstr>'x-802'!Print_Area</vt:lpstr>
      <vt:lpstr>'x-803'!Print_Area</vt:lpstr>
      <vt:lpstr>'x-804'!Print_Area</vt:lpstr>
      <vt:lpstr>'x-805'!Print_Area</vt:lpstr>
      <vt:lpstr>'x-806'!Print_Area</vt:lpstr>
      <vt:lpstr>'x-807'!Print_Area</vt:lpstr>
      <vt:lpstr>'x-808'!Print_Area</vt:lpstr>
      <vt:lpstr>'x-809'!Print_Area</vt:lpstr>
      <vt:lpstr>'x-810'!Print_Area</vt:lpstr>
      <vt:lpstr>'x-811'!Print_Area</vt:lpstr>
      <vt:lpstr>'x-812'!Print_Area</vt:lpstr>
      <vt:lpstr>'x-813'!Print_Area</vt:lpstr>
      <vt:lpstr>'x-814'!Print_Area</vt:lpstr>
      <vt:lpstr>'x-815'!Print_Area</vt:lpstr>
      <vt:lpstr>'x-816'!Print_Area</vt:lpstr>
      <vt:lpstr>'x-817'!Print_Area</vt:lpstr>
      <vt:lpstr>'x-818'!Print_Area</vt:lpstr>
      <vt:lpstr>'x-819'!Print_Area</vt:lpstr>
      <vt:lpstr>'x-820'!Print_Area</vt:lpstr>
      <vt:lpstr>'x-821'!Print_Area</vt:lpstr>
      <vt:lpstr>'x-822'!Print_Area</vt:lpstr>
      <vt:lpstr>'x-823'!Print_Area</vt:lpstr>
      <vt:lpstr>'x-Series Number'!Print_Area</vt:lpstr>
      <vt:lpstr>'x-217'!Print_Titles</vt:lpstr>
      <vt:lpstr>'x-218'!Print_Titles</vt:lpstr>
      <vt:lpstr>'x-219'!Print_Titles</vt:lpstr>
      <vt:lpstr>'x-601'!Print_Titles</vt:lpstr>
      <vt:lpstr>'x-602'!Print_Titles</vt:lpstr>
      <vt:lpstr>'x-603'!Print_Titles</vt:lpstr>
      <vt:lpstr>'x-604'!Print_Titles</vt:lpstr>
      <vt:lpstr>'x-605'!Print_Titles</vt:lpstr>
      <vt:lpstr>'x-606'!Print_Titles</vt:lpstr>
      <vt:lpstr>'x-721'!Print_Titles</vt:lpstr>
      <vt:lpstr>'x-722'!Print_Titles</vt:lpstr>
      <vt:lpstr>'x-723'!Print_Titles</vt:lpstr>
      <vt:lpstr>'x-814'!Print_Titles</vt:lpstr>
      <vt:lpstr>'x-823'!Print_Titles</vt:lpstr>
      <vt:lpstr>t</vt:lpstr>
      <vt:lpstr>'x-219'!TABLE_AGE_DEF</vt:lpstr>
      <vt:lpstr>TABLE_AGE_DEF</vt:lpstr>
      <vt:lpstr>'x-101'!table_age_def_1</vt:lpstr>
      <vt:lpstr>'x-102'!table_age_def_1</vt:lpstr>
      <vt:lpstr>'x-103'!table_age_def_1</vt:lpstr>
      <vt:lpstr>'x-104'!table_age_def_1</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'x-217'!TABLE_AGE_DEF_1</vt:lpstr>
      <vt:lpstr>'x-218'!TABLE_AGE_DEF_1</vt:lpstr>
      <vt:lpstr>'x-219'!TABLE_AGE_DEF_1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'x-401'!TABLE_AGE_DEF_1</vt:lpstr>
      <vt:lpstr>'x-402'!TABLE_AGE_DEF_1</vt:lpstr>
      <vt:lpstr>'x-403'!TABLE_AGE_DEF_1</vt:lpstr>
      <vt:lpstr>'x-404'!TABLE_AGE_DEF_1</vt:lpstr>
      <vt:lpstr>'x-405'!TABLE_AGE_DEF_1</vt:lpstr>
      <vt:lpstr>'x-406'!TABLE_AGE_DEF_1</vt:lpstr>
      <vt:lpstr>'x-407'!TABLE_AGE_DEF_1</vt:lpstr>
      <vt:lpstr>'x-408'!TABLE_AGE_DEF_1</vt:lpstr>
      <vt:lpstr>'x-409'!TABLE_AGE_DEF_1</vt:lpstr>
      <vt:lpstr>'x-410'!TABLE_AGE_DEF_1</vt:lpstr>
      <vt:lpstr>'x-411'!TABLE_AGE_DEF_1</vt:lpstr>
      <vt:lpstr>'x-412'!TABLE_AGE_DEF_1</vt:lpstr>
      <vt:lpstr>'x-413'!TABLE_AGE_DEF_1</vt:lpstr>
      <vt:lpstr>'x-414'!TABLE_AGE_DEF_1</vt:lpstr>
      <vt:lpstr>'x-415'!TABLE_AGE_DEF_1</vt:lpstr>
      <vt:lpstr>'x-416'!TABLE_AGE_DEF_1</vt:lpstr>
      <vt:lpstr>'x-417'!TABLE_AGE_DEF_1</vt:lpstr>
      <vt:lpstr>'x-418'!TABLE_AGE_DEF_1</vt:lpstr>
      <vt:lpstr>'x-419'!TABLE_AGE_DEF_1</vt:lpstr>
      <vt:lpstr>'x-420'!TABLE_AGE_DEF_1</vt:lpstr>
      <vt:lpstr>'x-421'!TABLE_AGE_DEF_1</vt:lpstr>
      <vt:lpstr>'x-422'!TABLE_AGE_DEF_1</vt:lpstr>
      <vt:lpstr>'x-423'!TABLE_AGE_DEF_1</vt:lpstr>
      <vt:lpstr>'x-501'!TABLE_AGE_DEF_1</vt:lpstr>
      <vt:lpstr>'x-502'!TABLE_AGE_DEF_1</vt:lpstr>
      <vt:lpstr>'x-503'!TABLE_AGE_DEF_1</vt:lpstr>
      <vt:lpstr>'x-504'!TABLE_AGE_DEF_1</vt:lpstr>
      <vt:lpstr>'x-505'!TABLE_AGE_DEF_1</vt:lpstr>
      <vt:lpstr>'x-601'!TABLE_AGE_DEF_1</vt:lpstr>
      <vt:lpstr>'x-602'!TABLE_AGE_DEF_1</vt:lpstr>
      <vt:lpstr>'x-603'!TABLE_AGE_DEF_1</vt:lpstr>
      <vt:lpstr>'x-604'!TABLE_AGE_DEF_1</vt:lpstr>
      <vt:lpstr>'x-605'!TABLE_AGE_DEF_1</vt:lpstr>
      <vt:lpstr>'x-606'!TABLE_AGE_DEF_1</vt:lpstr>
      <vt:lpstr>'x-703'!TABLE_AGE_DEF_1</vt:lpstr>
      <vt:lpstr>'x-704'!TABLE_AGE_DEF_1</vt:lpstr>
      <vt:lpstr>'x-705'!TABLE_AGE_DEF_1</vt:lpstr>
      <vt:lpstr>'x-706'!TABLE_AGE_DEF_1</vt:lpstr>
      <vt:lpstr>'x-707'!TABLE_AGE_DEF_1</vt:lpstr>
      <vt:lpstr>'x-708'!TABLE_AGE_DEF_1</vt:lpstr>
      <vt:lpstr>'x-709'!TABLE_AGE_DEF_1</vt:lpstr>
      <vt:lpstr>'x-710'!TABLE_AGE_DEF_1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'x-721'!TABLE_AGE_DEF_1</vt:lpstr>
      <vt:lpstr>'x-722'!TABLE_AGE_DEF_1</vt:lpstr>
      <vt:lpstr>'x-723'!TABLE_AGE_DEF_1</vt:lpstr>
      <vt:lpstr>'x-801'!TABLE_AGE_DEF_1</vt:lpstr>
      <vt:lpstr>'x-802'!TABLE_AGE_DEF_1</vt:lpstr>
      <vt:lpstr>'x-803'!TABLE_AGE_DEF_1</vt:lpstr>
      <vt:lpstr>'x-804'!TABLE_AGE_DEF_1</vt:lpstr>
      <vt:lpstr>'x-805'!TABLE_AGE_DEF_1</vt:lpstr>
      <vt:lpstr>'x-806'!TABLE_AGE_DEF_1</vt:lpstr>
      <vt:lpstr>'x-807'!TABLE_AGE_DEF_1</vt:lpstr>
      <vt:lpstr>'x-808'!TABLE_AGE_DEF_1</vt:lpstr>
      <vt:lpstr>'x-809'!TABLE_AGE_DEF_1</vt:lpstr>
      <vt:lpstr>'x-810'!TABLE_AGE_DEF_1</vt:lpstr>
      <vt:lpstr>'x-811'!TABLE_AGE_DEF_1</vt:lpstr>
      <vt:lpstr>'x-812'!TABLE_AGE_DEF_1</vt:lpstr>
      <vt:lpstr>'x-813'!TABLE_AGE_DEF_1</vt:lpstr>
      <vt:lpstr>'x-814'!TABLE_AGE_DEF_1</vt:lpstr>
      <vt:lpstr>'x-815'!TABLE_AGE_DEF_1</vt:lpstr>
      <vt:lpstr>'x-816'!TABLE_AGE_DEF_1</vt:lpstr>
      <vt:lpstr>'x-817'!TABLE_AGE_DEF_1</vt:lpstr>
      <vt:lpstr>'x-818'!TABLE_AGE_DEF_1</vt:lpstr>
      <vt:lpstr>'x-819'!TABLE_AGE_DEF_1</vt:lpstr>
      <vt:lpstr>'x-820'!TABLE_AGE_DEF_1</vt:lpstr>
      <vt:lpstr>'x-821'!TABLE_AGE_DEF_1</vt:lpstr>
      <vt:lpstr>'x-822'!TABLE_AGE_DEF_1</vt:lpstr>
      <vt:lpstr>'x-823'!TABLE_AGE_DEF_1</vt:lpstr>
      <vt:lpstr>'x-204'!TABLE_AGE_DEF_2</vt:lpstr>
      <vt:lpstr>'x-403'!TABLE_AGE_DEF_2</vt:lpstr>
      <vt:lpstr>'x-404'!TABLE_AGE_DEF_2</vt:lpstr>
      <vt:lpstr>'x-409'!TABLE_AGE_DEF_2</vt:lpstr>
      <vt:lpstr>'x-410'!TABLE_AGE_DEF_2</vt:lpstr>
      <vt:lpstr>'x-415'!TABLE_AGE_DEF_2</vt:lpstr>
      <vt:lpstr>'x-810'!TABLE_AGE_DEF_2</vt:lpstr>
      <vt:lpstr>'x-219'!TABLE_AREA</vt:lpstr>
      <vt:lpstr>TABLE_AREA</vt:lpstr>
      <vt:lpstr>'x-101'!table_area_1</vt:lpstr>
      <vt:lpstr>'x-102'!table_area_1</vt:lpstr>
      <vt:lpstr>'x-103'!table_area_1</vt:lpstr>
      <vt:lpstr>'x-104'!table_area_1</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'x-217'!TABLE_AREA_1</vt:lpstr>
      <vt:lpstr>'x-218'!TABLE_AREA_1</vt:lpstr>
      <vt:lpstr>'x-219'!TABLE_AREA_1</vt:lpstr>
      <vt:lpstr>'x-301'!TABLE_AREA_1</vt:lpstr>
      <vt:lpstr>'x-302'!TABLE_AREA_1</vt:lpstr>
      <vt:lpstr>'x-303'!TABLE_AREA_1</vt:lpstr>
      <vt:lpstr>'x-304'!TABLE_AREA_1</vt:lpstr>
      <vt:lpstr>'x-305'!TABLE_AREA_1</vt:lpstr>
      <vt:lpstr>'x-306'!TABLE_AREA_1</vt:lpstr>
      <vt:lpstr>'x-307'!TABLE_AREA_1</vt:lpstr>
      <vt:lpstr>'x-308'!TABLE_AREA_1</vt:lpstr>
      <vt:lpstr>'x-401'!TABLE_AREA_1</vt:lpstr>
      <vt:lpstr>'x-402'!TABLE_AREA_1</vt:lpstr>
      <vt:lpstr>'x-403'!TABLE_AREA_1</vt:lpstr>
      <vt:lpstr>'x-404'!TABLE_AREA_1</vt:lpstr>
      <vt:lpstr>'x-405'!TABLE_AREA_1</vt:lpstr>
      <vt:lpstr>'x-406'!TABLE_AREA_1</vt:lpstr>
      <vt:lpstr>'x-407'!TABLE_AREA_1</vt:lpstr>
      <vt:lpstr>'x-408'!TABLE_AREA_1</vt:lpstr>
      <vt:lpstr>'x-409'!TABLE_AREA_1</vt:lpstr>
      <vt:lpstr>'x-410'!TABLE_AREA_1</vt:lpstr>
      <vt:lpstr>'x-411'!TABLE_AREA_1</vt:lpstr>
      <vt:lpstr>'x-412'!TABLE_AREA_1</vt:lpstr>
      <vt:lpstr>'x-413'!TABLE_AREA_1</vt:lpstr>
      <vt:lpstr>'x-414'!TABLE_AREA_1</vt:lpstr>
      <vt:lpstr>'x-415'!TABLE_AREA_1</vt:lpstr>
      <vt:lpstr>'x-416'!TABLE_AREA_1</vt:lpstr>
      <vt:lpstr>'x-417'!TABLE_AREA_1</vt:lpstr>
      <vt:lpstr>'x-418'!TABLE_AREA_1</vt:lpstr>
      <vt:lpstr>'x-419'!TABLE_AREA_1</vt:lpstr>
      <vt:lpstr>'x-420'!TABLE_AREA_1</vt:lpstr>
      <vt:lpstr>'x-421'!TABLE_AREA_1</vt:lpstr>
      <vt:lpstr>'x-422'!TABLE_AREA_1</vt:lpstr>
      <vt:lpstr>'x-423'!TABLE_AREA_1</vt:lpstr>
      <vt:lpstr>'x-501'!TABLE_AREA_1</vt:lpstr>
      <vt:lpstr>'x-502'!TABLE_AREA_1</vt:lpstr>
      <vt:lpstr>'x-503'!TABLE_AREA_1</vt:lpstr>
      <vt:lpstr>'x-504'!TABLE_AREA_1</vt:lpstr>
      <vt:lpstr>'x-505'!TABLE_AREA_1</vt:lpstr>
      <vt:lpstr>'x-601'!TABLE_AREA_1</vt:lpstr>
      <vt:lpstr>'x-602'!TABLE_AREA_1</vt:lpstr>
      <vt:lpstr>'x-603'!TABLE_AREA_1</vt:lpstr>
      <vt:lpstr>'x-604'!TABLE_AREA_1</vt:lpstr>
      <vt:lpstr>'x-703'!TABLE_AREA_1</vt:lpstr>
      <vt:lpstr>'x-704'!TABLE_AREA_1</vt:lpstr>
      <vt:lpstr>'x-705'!TABLE_AREA_1</vt:lpstr>
      <vt:lpstr>'x-706'!TABLE_AREA_1</vt:lpstr>
      <vt:lpstr>'x-707'!TABLE_AREA_1</vt:lpstr>
      <vt:lpstr>'x-708'!TABLE_AREA_1</vt:lpstr>
      <vt:lpstr>'x-709'!TABLE_AREA_1</vt:lpstr>
      <vt:lpstr>'x-710'!TABLE_AREA_1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'x-721'!TABLE_AREA_1</vt:lpstr>
      <vt:lpstr>'x-722'!TABLE_AREA_1</vt:lpstr>
      <vt:lpstr>'x-723'!TABLE_AREA_1</vt:lpstr>
      <vt:lpstr>'x-801'!TABLE_AREA_1</vt:lpstr>
      <vt:lpstr>'x-802'!TABLE_AREA_1</vt:lpstr>
      <vt:lpstr>'x-803'!TABLE_AREA_1</vt:lpstr>
      <vt:lpstr>'x-804'!TABLE_AREA_1</vt:lpstr>
      <vt:lpstr>'x-805'!TABLE_AREA_1</vt:lpstr>
      <vt:lpstr>'x-806'!TABLE_AREA_1</vt:lpstr>
      <vt:lpstr>'x-807'!TABLE_AREA_1</vt:lpstr>
      <vt:lpstr>'x-808'!TABLE_AREA_1</vt:lpstr>
      <vt:lpstr>'x-809'!TABLE_AREA_1</vt:lpstr>
      <vt:lpstr>'x-810'!TABLE_AREA_1</vt:lpstr>
      <vt:lpstr>'x-811'!TABLE_AREA_1</vt:lpstr>
      <vt:lpstr>'x-812'!TABLE_AREA_1</vt:lpstr>
      <vt:lpstr>'x-813'!TABLE_AREA_1</vt:lpstr>
      <vt:lpstr>'x-814'!TABLE_AREA_1</vt:lpstr>
      <vt:lpstr>'x-815'!TABLE_AREA_1</vt:lpstr>
      <vt:lpstr>'x-816'!TABLE_AREA_1</vt:lpstr>
      <vt:lpstr>'x-817'!TABLE_AREA_1</vt:lpstr>
      <vt:lpstr>'x-818'!TABLE_AREA_1</vt:lpstr>
      <vt:lpstr>'x-819'!TABLE_AREA_1</vt:lpstr>
      <vt:lpstr>'x-820'!TABLE_AREA_1</vt:lpstr>
      <vt:lpstr>'x-821'!TABLE_AREA_1</vt:lpstr>
      <vt:lpstr>'x-822'!TABLE_AREA_1</vt:lpstr>
      <vt:lpstr>'x-823'!TABLE_AREA_1</vt:lpstr>
      <vt:lpstr>'x-204'!TABLE_AREA_2</vt:lpstr>
      <vt:lpstr>'x-403'!TABLE_AREA_2</vt:lpstr>
      <vt:lpstr>'x-404'!TABLE_AREA_2</vt:lpstr>
      <vt:lpstr>'x-409'!TABLE_AREA_2</vt:lpstr>
      <vt:lpstr>'x-410'!TABLE_AREA_2</vt:lpstr>
      <vt:lpstr>'x-415'!TABLE_AREA_2</vt:lpstr>
      <vt:lpstr>'x-810'!TABLE_AREA_2</vt:lpstr>
      <vt:lpstr>'x-101'!TABLE_ASSUMPTION_SET_1</vt:lpstr>
      <vt:lpstr>'x-102'!TABLE_ASSUMPTION_SET_1</vt:lpstr>
      <vt:lpstr>'x-103'!TABLE_ASSUMPTION_SET_1</vt:lpstr>
      <vt:lpstr>'x-104'!TABLE_ASSUMPTION_SET_1</vt:lpstr>
      <vt:lpstr>'x-201'!TABLE_ASSUMPTION_SET_1</vt:lpstr>
      <vt:lpstr>'x-202'!TABLE_ASSUMPTION_SET_1</vt:lpstr>
      <vt:lpstr>'x-203'!TABLE_ASSUMPTION_SET_1</vt:lpstr>
      <vt:lpstr>'x-204'!TABLE_ASSUMPTION_SET_1</vt:lpstr>
      <vt:lpstr>'x-205'!TABLE_ASSUMPTION_SET_1</vt:lpstr>
      <vt:lpstr>'x-206'!TABLE_ASSUMPTION_SET_1</vt:lpstr>
      <vt:lpstr>'x-207'!TABLE_ASSUMPTION_SET_1</vt:lpstr>
      <vt:lpstr>'x-208'!TABLE_ASSUMPTION_SET_1</vt:lpstr>
      <vt:lpstr>'x-209'!TABLE_ASSUMPTION_SET_1</vt:lpstr>
      <vt:lpstr>'x-217'!TABLE_ASSUMPTION_SET_1</vt:lpstr>
      <vt:lpstr>'x-218'!TABLE_ASSUMPTION_SET_1</vt:lpstr>
      <vt:lpstr>'x-301'!TABLE_ASSUMPTION_SET_1</vt:lpstr>
      <vt:lpstr>'x-302'!TABLE_ASSUMPTION_SET_1</vt:lpstr>
      <vt:lpstr>'x-303'!TABLE_ASSUMPTION_SET_1</vt:lpstr>
      <vt:lpstr>'x-304'!TABLE_ASSUMPTION_SET_1</vt:lpstr>
      <vt:lpstr>'x-305'!TABLE_ASSUMPTION_SET_1</vt:lpstr>
      <vt:lpstr>'x-306'!TABLE_ASSUMPTION_SET_1</vt:lpstr>
      <vt:lpstr>'x-307'!TABLE_ASSUMPTION_SET_1</vt:lpstr>
      <vt:lpstr>'x-308'!TABLE_ASSUMPTION_SET_1</vt:lpstr>
      <vt:lpstr>'x-401'!TABLE_ASSUMPTION_SET_1</vt:lpstr>
      <vt:lpstr>'x-402'!TABLE_ASSUMPTION_SET_1</vt:lpstr>
      <vt:lpstr>'x-403'!TABLE_ASSUMPTION_SET_1</vt:lpstr>
      <vt:lpstr>'x-404'!TABLE_ASSUMPTION_SET_1</vt:lpstr>
      <vt:lpstr>'x-405'!TABLE_ASSUMPTION_SET_1</vt:lpstr>
      <vt:lpstr>'x-406'!TABLE_ASSUMPTION_SET_1</vt:lpstr>
      <vt:lpstr>'x-407'!TABLE_ASSUMPTION_SET_1</vt:lpstr>
      <vt:lpstr>'x-408'!TABLE_ASSUMPTION_SET_1</vt:lpstr>
      <vt:lpstr>'x-409'!TABLE_ASSUMPTION_SET_1</vt:lpstr>
      <vt:lpstr>'x-410'!TABLE_ASSUMPTION_SET_1</vt:lpstr>
      <vt:lpstr>'x-411'!TABLE_ASSUMPTION_SET_1</vt:lpstr>
      <vt:lpstr>'x-412'!TABLE_ASSUMPTION_SET_1</vt:lpstr>
      <vt:lpstr>'x-413'!TABLE_ASSUMPTION_SET_1</vt:lpstr>
      <vt:lpstr>'x-414'!TABLE_ASSUMPTION_SET_1</vt:lpstr>
      <vt:lpstr>'x-415'!TABLE_ASSUMPTION_SET_1</vt:lpstr>
      <vt:lpstr>'x-416'!TABLE_ASSUMPTION_SET_1</vt:lpstr>
      <vt:lpstr>'x-417'!TABLE_ASSUMPTION_SET_1</vt:lpstr>
      <vt:lpstr>'x-418'!TABLE_ASSUMPTION_SET_1</vt:lpstr>
      <vt:lpstr>'x-419'!TABLE_ASSUMPTION_SET_1</vt:lpstr>
      <vt:lpstr>'x-420'!TABLE_ASSUMPTION_SET_1</vt:lpstr>
      <vt:lpstr>'x-421'!TABLE_ASSUMPTION_SET_1</vt:lpstr>
      <vt:lpstr>'x-422'!TABLE_ASSUMPTION_SET_1</vt:lpstr>
      <vt:lpstr>'x-423'!TABLE_ASSUMPTION_SET_1</vt:lpstr>
      <vt:lpstr>'x-501'!TABLE_ASSUMPTION_SET_1</vt:lpstr>
      <vt:lpstr>'x-502'!TABLE_ASSUMPTION_SET_1</vt:lpstr>
      <vt:lpstr>'x-503'!TABLE_ASSUMPTION_SET_1</vt:lpstr>
      <vt:lpstr>'x-504'!TABLE_ASSUMPTION_SET_1</vt:lpstr>
      <vt:lpstr>'x-505'!TABLE_ASSUMPTION_SET_1</vt:lpstr>
      <vt:lpstr>'x-601'!TABLE_ASSUMPTION_SET_1</vt:lpstr>
      <vt:lpstr>'x-602'!TABLE_ASSUMPTION_SET_1</vt:lpstr>
      <vt:lpstr>'x-603'!TABLE_ASSUMPTION_SET_1</vt:lpstr>
      <vt:lpstr>'x-604'!TABLE_ASSUMPTION_SET_1</vt:lpstr>
      <vt:lpstr>'x-605'!TABLE_ASSUMPTION_SET_1</vt:lpstr>
      <vt:lpstr>'x-606'!TABLE_ASSUMPTION_SET_1</vt:lpstr>
      <vt:lpstr>'x-703'!TABLE_ASSUMPTION_SET_1</vt:lpstr>
      <vt:lpstr>'x-704'!TABLE_ASSUMPTION_SET_1</vt:lpstr>
      <vt:lpstr>'x-705'!TABLE_ASSUMPTION_SET_1</vt:lpstr>
      <vt:lpstr>'x-706'!TABLE_ASSUMPTION_SET_1</vt:lpstr>
      <vt:lpstr>'x-707'!TABLE_ASSUMPTION_SET_1</vt:lpstr>
      <vt:lpstr>'x-708'!TABLE_ASSUMPTION_SET_1</vt:lpstr>
      <vt:lpstr>'x-709'!TABLE_ASSUMPTION_SET_1</vt:lpstr>
      <vt:lpstr>'x-710'!TABLE_ASSUMPTION_SET_1</vt:lpstr>
      <vt:lpstr>'x-711'!TABLE_ASSUMPTION_SET_1</vt:lpstr>
      <vt:lpstr>'x-712'!TABLE_ASSUMPTION_SET_1</vt:lpstr>
      <vt:lpstr>'x-713'!TABLE_ASSUMPTION_SET_1</vt:lpstr>
      <vt:lpstr>'x-714'!TABLE_ASSUMPTION_SET_1</vt:lpstr>
      <vt:lpstr>'x-715'!TABLE_ASSUMPTION_SET_1</vt:lpstr>
      <vt:lpstr>'x-716'!TABLE_ASSUMPTION_SET_1</vt:lpstr>
      <vt:lpstr>'x-717'!TABLE_ASSUMPTION_SET_1</vt:lpstr>
      <vt:lpstr>'x-718'!TABLE_ASSUMPTION_SET_1</vt:lpstr>
      <vt:lpstr>'x-719'!TABLE_ASSUMPTION_SET_1</vt:lpstr>
      <vt:lpstr>'x-720'!TABLE_ASSUMPTION_SET_1</vt:lpstr>
      <vt:lpstr>'x-721'!TABLE_ASSUMPTION_SET_1</vt:lpstr>
      <vt:lpstr>'x-722'!TABLE_ASSUMPTION_SET_1</vt:lpstr>
      <vt:lpstr>'x-723'!TABLE_ASSUMPTION_SET_1</vt:lpstr>
      <vt:lpstr>'x-801'!TABLE_ASSUMPTION_SET_1</vt:lpstr>
      <vt:lpstr>'x-802'!TABLE_ASSUMPTION_SET_1</vt:lpstr>
      <vt:lpstr>'x-803'!TABLE_ASSUMPTION_SET_1</vt:lpstr>
      <vt:lpstr>'x-804'!TABLE_ASSUMPTION_SET_1</vt:lpstr>
      <vt:lpstr>'x-805'!TABLE_ASSUMPTION_SET_1</vt:lpstr>
      <vt:lpstr>'x-806'!TABLE_ASSUMPTION_SET_1</vt:lpstr>
      <vt:lpstr>'x-807'!TABLE_ASSUMPTION_SET_1</vt:lpstr>
      <vt:lpstr>'x-808'!TABLE_ASSUMPTION_SET_1</vt:lpstr>
      <vt:lpstr>'x-809'!TABLE_ASSUMPTION_SET_1</vt:lpstr>
      <vt:lpstr>'x-810'!TABLE_ASSUMPTION_SET_1</vt:lpstr>
      <vt:lpstr>'x-811'!TABLE_ASSUMPTION_SET_1</vt:lpstr>
      <vt:lpstr>'x-812'!TABLE_ASSUMPTION_SET_1</vt:lpstr>
      <vt:lpstr>'x-813'!TABLE_ASSUMPTION_SET_1</vt:lpstr>
      <vt:lpstr>'x-814'!TABLE_ASSUMPTION_SET_1</vt:lpstr>
      <vt:lpstr>'x-815'!TABLE_ASSUMPTION_SET_1</vt:lpstr>
      <vt:lpstr>'x-816'!TABLE_ASSUMPTION_SET_1</vt:lpstr>
      <vt:lpstr>'x-817'!TABLE_ASSUMPTION_SET_1</vt:lpstr>
      <vt:lpstr>'x-818'!TABLE_ASSUMPTION_SET_1</vt:lpstr>
      <vt:lpstr>'x-819'!TABLE_ASSUMPTION_SET_1</vt:lpstr>
      <vt:lpstr>'x-820'!TABLE_ASSUMPTION_SET_1</vt:lpstr>
      <vt:lpstr>'x-821'!TABLE_ASSUMPTION_SET_1</vt:lpstr>
      <vt:lpstr>'x-822'!TABLE_ASSUMPTION_SET_1</vt:lpstr>
      <vt:lpstr>'x-823'!TABLE_ASSUMPTION_SET_1</vt:lpstr>
      <vt:lpstr>'x-204'!TABLE_ASSUMPTION_SET_2</vt:lpstr>
      <vt:lpstr>'x-403'!TABLE_ASSUMPTION_SET_2</vt:lpstr>
      <vt:lpstr>'x-404'!TABLE_ASSUMPTION_SET_2</vt:lpstr>
      <vt:lpstr>'x-409'!TABLE_ASSUMPTION_SET_2</vt:lpstr>
      <vt:lpstr>'x-410'!TABLE_ASSUMPTION_SET_2</vt:lpstr>
      <vt:lpstr>'x-415'!TABLE_ASSUMPTION_SET_2</vt:lpstr>
      <vt:lpstr>'x-810'!TABLE_ASSUMPTION_SET_2</vt:lpstr>
      <vt:lpstr>'x-219'!TABLE_CLIENT</vt:lpstr>
      <vt:lpstr>TABLE_CLIENT</vt:lpstr>
      <vt:lpstr>'x-101'!table_client_1</vt:lpstr>
      <vt:lpstr>'x-102'!table_client_1</vt:lpstr>
      <vt:lpstr>'x-103'!table_client_1</vt:lpstr>
      <vt:lpstr>'x-104'!table_client_1</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'x-217'!TABLE_CLIENT_1</vt:lpstr>
      <vt:lpstr>'x-218'!TABLE_CLIENT_1</vt:lpstr>
      <vt:lpstr>'x-219'!TABLE_CLIENT_1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'x-401'!TABLE_CLIENT_1</vt:lpstr>
      <vt:lpstr>'x-402'!TABLE_CLIENT_1</vt:lpstr>
      <vt:lpstr>'x-403'!TABLE_CLIENT_1</vt:lpstr>
      <vt:lpstr>'x-404'!TABLE_CLIENT_1</vt:lpstr>
      <vt:lpstr>'x-405'!TABLE_CLIENT_1</vt:lpstr>
      <vt:lpstr>'x-406'!TABLE_CLIENT_1</vt:lpstr>
      <vt:lpstr>'x-407'!TABLE_CLIENT_1</vt:lpstr>
      <vt:lpstr>'x-408'!TABLE_CLIENT_1</vt:lpstr>
      <vt:lpstr>'x-409'!TABLE_CLIENT_1</vt:lpstr>
      <vt:lpstr>'x-410'!TABLE_CLIENT_1</vt:lpstr>
      <vt:lpstr>'x-411'!TABLE_CLIENT_1</vt:lpstr>
      <vt:lpstr>'x-412'!TABLE_CLIENT_1</vt:lpstr>
      <vt:lpstr>'x-413'!TABLE_CLIENT_1</vt:lpstr>
      <vt:lpstr>'x-414'!TABLE_CLIENT_1</vt:lpstr>
      <vt:lpstr>'x-415'!TABLE_CLIENT_1</vt:lpstr>
      <vt:lpstr>'x-416'!TABLE_CLIENT_1</vt:lpstr>
      <vt:lpstr>'x-417'!TABLE_CLIENT_1</vt:lpstr>
      <vt:lpstr>'x-418'!TABLE_CLIENT_1</vt:lpstr>
      <vt:lpstr>'x-419'!TABLE_CLIENT_1</vt:lpstr>
      <vt:lpstr>'x-420'!TABLE_CLIENT_1</vt:lpstr>
      <vt:lpstr>'x-421'!TABLE_CLIENT_1</vt:lpstr>
      <vt:lpstr>'x-422'!TABLE_CLIENT_1</vt:lpstr>
      <vt:lpstr>'x-423'!TABLE_CLIENT_1</vt:lpstr>
      <vt:lpstr>'x-501'!TABLE_CLIENT_1</vt:lpstr>
      <vt:lpstr>'x-502'!TABLE_CLIENT_1</vt:lpstr>
      <vt:lpstr>'x-503'!TABLE_CLIENT_1</vt:lpstr>
      <vt:lpstr>'x-504'!TABLE_CLIENT_1</vt:lpstr>
      <vt:lpstr>'x-505'!TABLE_CLIENT_1</vt:lpstr>
      <vt:lpstr>'x-601'!TABLE_CLIENT_1</vt:lpstr>
      <vt:lpstr>'x-602'!TABLE_CLIENT_1</vt:lpstr>
      <vt:lpstr>'x-603'!TABLE_CLIENT_1</vt:lpstr>
      <vt:lpstr>'x-604'!TABLE_CLIENT_1</vt:lpstr>
      <vt:lpstr>'x-605'!TABLE_CLIENT_1</vt:lpstr>
      <vt:lpstr>'x-606'!TABLE_CLIENT_1</vt:lpstr>
      <vt:lpstr>'x-703'!TABLE_CLIENT_1</vt:lpstr>
      <vt:lpstr>'x-704'!TABLE_CLIENT_1</vt:lpstr>
      <vt:lpstr>'x-705'!TABLE_CLIENT_1</vt:lpstr>
      <vt:lpstr>'x-706'!TABLE_CLIENT_1</vt:lpstr>
      <vt:lpstr>'x-707'!TABLE_CLIENT_1</vt:lpstr>
      <vt:lpstr>'x-708'!TABLE_CLIENT_1</vt:lpstr>
      <vt:lpstr>'x-709'!TABLE_CLIENT_1</vt:lpstr>
      <vt:lpstr>'x-710'!TABLE_CLIENT_1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'x-721'!TABLE_CLIENT_1</vt:lpstr>
      <vt:lpstr>'x-722'!TABLE_CLIENT_1</vt:lpstr>
      <vt:lpstr>'x-723'!TABLE_CLIENT_1</vt:lpstr>
      <vt:lpstr>'x-801'!TABLE_CLIENT_1</vt:lpstr>
      <vt:lpstr>'x-802'!TABLE_CLIENT_1</vt:lpstr>
      <vt:lpstr>'x-803'!TABLE_CLIENT_1</vt:lpstr>
      <vt:lpstr>'x-804'!TABLE_CLIENT_1</vt:lpstr>
      <vt:lpstr>'x-805'!TABLE_CLIENT_1</vt:lpstr>
      <vt:lpstr>'x-806'!TABLE_CLIENT_1</vt:lpstr>
      <vt:lpstr>'x-807'!TABLE_CLIENT_1</vt:lpstr>
      <vt:lpstr>'x-808'!TABLE_CLIENT_1</vt:lpstr>
      <vt:lpstr>'x-809'!TABLE_CLIENT_1</vt:lpstr>
      <vt:lpstr>'x-810'!TABLE_CLIENT_1</vt:lpstr>
      <vt:lpstr>'x-811'!TABLE_CLIENT_1</vt:lpstr>
      <vt:lpstr>'x-812'!TABLE_CLIENT_1</vt:lpstr>
      <vt:lpstr>'x-813'!TABLE_CLIENT_1</vt:lpstr>
      <vt:lpstr>'x-814'!TABLE_CLIENT_1</vt:lpstr>
      <vt:lpstr>'x-815'!TABLE_CLIENT_1</vt:lpstr>
      <vt:lpstr>'x-816'!TABLE_CLIENT_1</vt:lpstr>
      <vt:lpstr>'x-817'!TABLE_CLIENT_1</vt:lpstr>
      <vt:lpstr>'x-818'!TABLE_CLIENT_1</vt:lpstr>
      <vt:lpstr>'x-819'!TABLE_CLIENT_1</vt:lpstr>
      <vt:lpstr>'x-820'!TABLE_CLIENT_1</vt:lpstr>
      <vt:lpstr>'x-821'!TABLE_CLIENT_1</vt:lpstr>
      <vt:lpstr>'x-822'!TABLE_CLIENT_1</vt:lpstr>
      <vt:lpstr>'x-823'!TABLE_CLIENT_1</vt:lpstr>
      <vt:lpstr>'x-204'!TABLE_CLIENT_2</vt:lpstr>
      <vt:lpstr>'x-403'!TABLE_CLIENT_2</vt:lpstr>
      <vt:lpstr>'x-404'!TABLE_CLIENT_2</vt:lpstr>
      <vt:lpstr>'x-409'!TABLE_CLIENT_2</vt:lpstr>
      <vt:lpstr>'x-410'!TABLE_CLIENT_2</vt:lpstr>
      <vt:lpstr>'x-415'!TABLE_CLIENT_2</vt:lpstr>
      <vt:lpstr>'x-810'!TABLE_CLIENT_2</vt:lpstr>
      <vt:lpstr>'x-219'!TABLE_DATE_IMPLEMENTED</vt:lpstr>
      <vt:lpstr>TABLE_DATE_IMPLEMENTED</vt:lpstr>
      <vt:lpstr>'x-101'!table_date_implemented_1</vt:lpstr>
      <vt:lpstr>'x-102'!table_date_implemented_1</vt:lpstr>
      <vt:lpstr>'x-103'!table_date_implemented_1</vt:lpstr>
      <vt:lpstr>'x-104'!table_date_implemented_1</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'x-217'!TABLE_DATE_IMPLEMENTED_1</vt:lpstr>
      <vt:lpstr>'x-218'!TABLE_DATE_IMPLEMENTED_1</vt:lpstr>
      <vt:lpstr>'x-219'!TABLE_DATE_IMPLEMENTED_1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'x-408'!TABLE_DATE_IMPLEMENTED_1</vt:lpstr>
      <vt:lpstr>'x-409'!TABLE_DATE_IMPLEMENTED_1</vt:lpstr>
      <vt:lpstr>'x-410'!TABLE_DATE_IMPLEMENTED_1</vt:lpstr>
      <vt:lpstr>'x-411'!TABLE_DATE_IMPLEMENTED_1</vt:lpstr>
      <vt:lpstr>'x-412'!TABLE_DATE_IMPLEMENTED_1</vt:lpstr>
      <vt:lpstr>'x-413'!TABLE_DATE_IMPLEMENTED_1</vt:lpstr>
      <vt:lpstr>'x-414'!TABLE_DATE_IMPLEMENTED_1</vt:lpstr>
      <vt:lpstr>'x-415'!TABLE_DATE_IMPLEMENTED_1</vt:lpstr>
      <vt:lpstr>'x-416'!TABLE_DATE_IMPLEMENTED_1</vt:lpstr>
      <vt:lpstr>'x-417'!TABLE_DATE_IMPLEMENTED_1</vt:lpstr>
      <vt:lpstr>'x-418'!TABLE_DATE_IMPLEMENTED_1</vt:lpstr>
      <vt:lpstr>'x-419'!TABLE_DATE_IMPLEMENTED_1</vt:lpstr>
      <vt:lpstr>'x-420'!TABLE_DATE_IMPLEMENTED_1</vt:lpstr>
      <vt:lpstr>'x-421'!TABLE_DATE_IMPLEMENTED_1</vt:lpstr>
      <vt:lpstr>'x-422'!TABLE_DATE_IMPLEMENTED_1</vt:lpstr>
      <vt:lpstr>'x-423'!TABLE_DATE_IMPLEMENTED_1</vt:lpstr>
      <vt:lpstr>'x-501'!TABLE_DATE_IMPLEMENTED_1</vt:lpstr>
      <vt:lpstr>'x-502'!TABLE_DATE_IMPLEMENTED_1</vt:lpstr>
      <vt:lpstr>'x-503'!TABLE_DATE_IMPLEMENTED_1</vt:lpstr>
      <vt:lpstr>'x-504'!TABLE_DATE_IMPLEMENTED_1</vt:lpstr>
      <vt:lpstr>'x-505'!TABLE_DATE_IMPLEMENTED_1</vt:lpstr>
      <vt:lpstr>'x-601'!TABLE_DATE_IMPLEMENTED_1</vt:lpstr>
      <vt:lpstr>'x-602'!TABLE_DATE_IMPLEMENTED_1</vt:lpstr>
      <vt:lpstr>'x-603'!TABLE_DATE_IMPLEMENTED_1</vt:lpstr>
      <vt:lpstr>'x-604'!TABLE_DATE_IMPLEMENTED_1</vt:lpstr>
      <vt:lpstr>'x-605'!TABLE_DATE_IMPLEMENTED_1</vt:lpstr>
      <vt:lpstr>'x-606'!TABLE_DATE_IMPLEMENTED_1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'x-709'!TABLE_DATE_IMPLEMENTED_1</vt:lpstr>
      <vt:lpstr>'x-710'!TABLE_DATE_IMPLEMENTED_1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'x-721'!TABLE_DATE_IMPLEMENTED_1</vt:lpstr>
      <vt:lpstr>'x-722'!TABLE_DATE_IMPLEMENTED_1</vt:lpstr>
      <vt:lpstr>'x-723'!TABLE_DATE_IMPLEMENTED_1</vt:lpstr>
      <vt:lpstr>'x-801'!TABLE_DATE_IMPLEMENTED_1</vt:lpstr>
      <vt:lpstr>'x-802'!TABLE_DATE_IMPLEMENTED_1</vt:lpstr>
      <vt:lpstr>'x-803'!TABLE_DATE_IMPLEMENTED_1</vt:lpstr>
      <vt:lpstr>'x-804'!TABLE_DATE_IMPLEMENTED_1</vt:lpstr>
      <vt:lpstr>'x-805'!TABLE_DATE_IMPLEMENTED_1</vt:lpstr>
      <vt:lpstr>'x-806'!TABLE_DATE_IMPLEMENTED_1</vt:lpstr>
      <vt:lpstr>'x-807'!TABLE_DATE_IMPLEMENTED_1</vt:lpstr>
      <vt:lpstr>'x-808'!TABLE_DATE_IMPLEMENTED_1</vt:lpstr>
      <vt:lpstr>'x-809'!TABLE_DATE_IMPLEMENTED_1</vt:lpstr>
      <vt:lpstr>'x-810'!TABLE_DATE_IMPLEMENTED_1</vt:lpstr>
      <vt:lpstr>'x-811'!TABLE_DATE_IMPLEMENTED_1</vt:lpstr>
      <vt:lpstr>'x-812'!TABLE_DATE_IMPLEMENTED_1</vt:lpstr>
      <vt:lpstr>'x-813'!TABLE_DATE_IMPLEMENTED_1</vt:lpstr>
      <vt:lpstr>'x-814'!TABLE_DATE_IMPLEMENTED_1</vt:lpstr>
      <vt:lpstr>'x-815'!TABLE_DATE_IMPLEMENTED_1</vt:lpstr>
      <vt:lpstr>'x-816'!TABLE_DATE_IMPLEMENTED_1</vt:lpstr>
      <vt:lpstr>'x-817'!TABLE_DATE_IMPLEMENTED_1</vt:lpstr>
      <vt:lpstr>'x-818'!TABLE_DATE_IMPLEMENTED_1</vt:lpstr>
      <vt:lpstr>'x-819'!TABLE_DATE_IMPLEMENTED_1</vt:lpstr>
      <vt:lpstr>'x-820'!TABLE_DATE_IMPLEMENTED_1</vt:lpstr>
      <vt:lpstr>'x-821'!TABLE_DATE_IMPLEMENTED_1</vt:lpstr>
      <vt:lpstr>'x-822'!TABLE_DATE_IMPLEMENTED_1</vt:lpstr>
      <vt:lpstr>'x-823'!TABLE_DATE_IMPLEMENTED_1</vt:lpstr>
      <vt:lpstr>'x-204'!TABLE_DATE_IMPLEMENTED_2</vt:lpstr>
      <vt:lpstr>'x-403'!TABLE_DATE_IMPLEMENTED_2</vt:lpstr>
      <vt:lpstr>'x-404'!TABLE_DATE_IMPLEMENTED_2</vt:lpstr>
      <vt:lpstr>'x-409'!TABLE_DATE_IMPLEMENTED_2</vt:lpstr>
      <vt:lpstr>'x-410'!TABLE_DATE_IMPLEMENTED_2</vt:lpstr>
      <vt:lpstr>'x-415'!TABLE_DATE_IMPLEMENTED_2</vt:lpstr>
      <vt:lpstr>'x-810'!TABLE_DATE_IMPLEMENTED_2</vt:lpstr>
      <vt:lpstr>'x-219'!TABLE_DATE_ISSUED</vt:lpstr>
      <vt:lpstr>TABLE_DATE_ISSUED</vt:lpstr>
      <vt:lpstr>'x-101'!table_date_issued_1</vt:lpstr>
      <vt:lpstr>'x-102'!table_date_issued_1</vt:lpstr>
      <vt:lpstr>'x-103'!table_date_issued_1</vt:lpstr>
      <vt:lpstr>'x-104'!table_date_issued_1</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'x-217'!TABLE_DATE_ISSUED_1</vt:lpstr>
      <vt:lpstr>'x-218'!TABLE_DATE_ISSUED_1</vt:lpstr>
      <vt:lpstr>'x-219'!TABLE_DATE_ISSUED_1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'x-408'!TABLE_DATE_ISSUED_1</vt:lpstr>
      <vt:lpstr>'x-409'!TABLE_DATE_ISSUED_1</vt:lpstr>
      <vt:lpstr>'x-410'!TABLE_DATE_ISSUED_1</vt:lpstr>
      <vt:lpstr>'x-411'!TABLE_DATE_ISSUED_1</vt:lpstr>
      <vt:lpstr>'x-412'!TABLE_DATE_ISSUED_1</vt:lpstr>
      <vt:lpstr>'x-413'!TABLE_DATE_ISSUED_1</vt:lpstr>
      <vt:lpstr>'x-414'!TABLE_DATE_ISSUED_1</vt:lpstr>
      <vt:lpstr>'x-415'!TABLE_DATE_ISSUED_1</vt:lpstr>
      <vt:lpstr>'x-416'!TABLE_DATE_ISSUED_1</vt:lpstr>
      <vt:lpstr>'x-417'!TABLE_DATE_ISSUED_1</vt:lpstr>
      <vt:lpstr>'x-418'!TABLE_DATE_ISSUED_1</vt:lpstr>
      <vt:lpstr>'x-419'!TABLE_DATE_ISSUED_1</vt:lpstr>
      <vt:lpstr>'x-420'!TABLE_DATE_ISSUED_1</vt:lpstr>
      <vt:lpstr>'x-421'!TABLE_DATE_ISSUED_1</vt:lpstr>
      <vt:lpstr>'x-422'!TABLE_DATE_ISSUED_1</vt:lpstr>
      <vt:lpstr>'x-423'!TABLE_DATE_ISSUED_1</vt:lpstr>
      <vt:lpstr>'x-501'!TABLE_DATE_ISSUED_1</vt:lpstr>
      <vt:lpstr>'x-502'!TABLE_DATE_ISSUED_1</vt:lpstr>
      <vt:lpstr>'x-503'!TABLE_DATE_ISSUED_1</vt:lpstr>
      <vt:lpstr>'x-504'!TABLE_DATE_ISSUED_1</vt:lpstr>
      <vt:lpstr>'x-505'!TABLE_DATE_ISSUED_1</vt:lpstr>
      <vt:lpstr>'x-601'!TABLE_DATE_ISSUED_1</vt:lpstr>
      <vt:lpstr>'x-602'!TABLE_DATE_ISSUED_1</vt:lpstr>
      <vt:lpstr>'x-603'!TABLE_DATE_ISSUED_1</vt:lpstr>
      <vt:lpstr>'x-604'!TABLE_DATE_ISSUED_1</vt:lpstr>
      <vt:lpstr>'x-605'!TABLE_DATE_ISSUED_1</vt:lpstr>
      <vt:lpstr>'x-606'!TABLE_DATE_ISSUED_1</vt:lpstr>
      <vt:lpstr>'x-703'!TABLE_DATE_ISSUED_1</vt:lpstr>
      <vt:lpstr>'x-704'!TABLE_DATE_ISSUED_1</vt:lpstr>
      <vt:lpstr>'x-705'!TABLE_DATE_ISSUED_1</vt:lpstr>
      <vt:lpstr>'x-706'!TABLE_DATE_ISSUED_1</vt:lpstr>
      <vt:lpstr>'x-707'!TABLE_DATE_ISSUED_1</vt:lpstr>
      <vt:lpstr>'x-708'!TABLE_DATE_ISSUED_1</vt:lpstr>
      <vt:lpstr>'x-709'!TABLE_DATE_ISSUED_1</vt:lpstr>
      <vt:lpstr>'x-710'!TABLE_DATE_ISSUED_1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'x-721'!TABLE_DATE_ISSUED_1</vt:lpstr>
      <vt:lpstr>'x-722'!TABLE_DATE_ISSUED_1</vt:lpstr>
      <vt:lpstr>'x-723'!TABLE_DATE_ISSUED_1</vt:lpstr>
      <vt:lpstr>'x-801'!TABLE_DATE_ISSUED_1</vt:lpstr>
      <vt:lpstr>'x-802'!TABLE_DATE_ISSUED_1</vt:lpstr>
      <vt:lpstr>'x-803'!TABLE_DATE_ISSUED_1</vt:lpstr>
      <vt:lpstr>'x-804'!TABLE_DATE_ISSUED_1</vt:lpstr>
      <vt:lpstr>'x-805'!TABLE_DATE_ISSUED_1</vt:lpstr>
      <vt:lpstr>'x-806'!TABLE_DATE_ISSUED_1</vt:lpstr>
      <vt:lpstr>'x-807'!TABLE_DATE_ISSUED_1</vt:lpstr>
      <vt:lpstr>'x-808'!TABLE_DATE_ISSUED_1</vt:lpstr>
      <vt:lpstr>'x-809'!TABLE_DATE_ISSUED_1</vt:lpstr>
      <vt:lpstr>'x-810'!TABLE_DATE_ISSUED_1</vt:lpstr>
      <vt:lpstr>'x-811'!TABLE_DATE_ISSUED_1</vt:lpstr>
      <vt:lpstr>'x-812'!TABLE_DATE_ISSUED_1</vt:lpstr>
      <vt:lpstr>'x-813'!TABLE_DATE_ISSUED_1</vt:lpstr>
      <vt:lpstr>'x-814'!TABLE_DATE_ISSUED_1</vt:lpstr>
      <vt:lpstr>'x-815'!TABLE_DATE_ISSUED_1</vt:lpstr>
      <vt:lpstr>'x-816'!TABLE_DATE_ISSUED_1</vt:lpstr>
      <vt:lpstr>'x-817'!TABLE_DATE_ISSUED_1</vt:lpstr>
      <vt:lpstr>'x-818'!TABLE_DATE_ISSUED_1</vt:lpstr>
      <vt:lpstr>'x-819'!TABLE_DATE_ISSUED_1</vt:lpstr>
      <vt:lpstr>'x-820'!TABLE_DATE_ISSUED_1</vt:lpstr>
      <vt:lpstr>'x-821'!TABLE_DATE_ISSUED_1</vt:lpstr>
      <vt:lpstr>'x-822'!TABLE_DATE_ISSUED_1</vt:lpstr>
      <vt:lpstr>'x-823'!TABLE_DATE_ISSUED_1</vt:lpstr>
      <vt:lpstr>'x-204'!TABLE_DATE_ISSUED_2</vt:lpstr>
      <vt:lpstr>'x-403'!TABLE_DATE_ISSUED_2</vt:lpstr>
      <vt:lpstr>'x-404'!TABLE_DATE_ISSUED_2</vt:lpstr>
      <vt:lpstr>'x-409'!TABLE_DATE_ISSUED_2</vt:lpstr>
      <vt:lpstr>'x-410'!TABLE_DATE_ISSUED_2</vt:lpstr>
      <vt:lpstr>'x-415'!TABLE_DATE_ISSUED_2</vt:lpstr>
      <vt:lpstr>'x-810'!TABLE_DATE_ISSUED_2</vt:lpstr>
      <vt:lpstr>'x-219'!TABLE_DESCRIPTION</vt:lpstr>
      <vt:lpstr>TABLE_DESCRIPTION</vt:lpstr>
      <vt:lpstr>'x-101'!table_Description_1</vt:lpstr>
      <vt:lpstr>'x-102'!table_description_1</vt:lpstr>
      <vt:lpstr>'x-103'!table_Description_1</vt:lpstr>
      <vt:lpstr>'x-104'!table_Description_1</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'x-217'!TABLE_DESCRIPTION_1</vt:lpstr>
      <vt:lpstr>'x-218'!TABLE_DESCRIPTION_1</vt:lpstr>
      <vt:lpstr>'x-219'!TABLE_DESCRIPTION_1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'x-408'!TABLE_DESCRIPTION_1</vt:lpstr>
      <vt:lpstr>'x-409'!TABLE_DESCRIPTION_1</vt:lpstr>
      <vt:lpstr>'x-410'!TABLE_DESCRIPTION_1</vt:lpstr>
      <vt:lpstr>'x-411'!TABLE_DESCRIPTION_1</vt:lpstr>
      <vt:lpstr>'x-412'!TABLE_DESCRIPTION_1</vt:lpstr>
      <vt:lpstr>'x-413'!TABLE_DESCRIPTION_1</vt:lpstr>
      <vt:lpstr>'x-414'!TABLE_DESCRIPTION_1</vt:lpstr>
      <vt:lpstr>'x-415'!TABLE_DESCRIPTION_1</vt:lpstr>
      <vt:lpstr>'x-416'!TABLE_DESCRIPTION_1</vt:lpstr>
      <vt:lpstr>'x-417'!TABLE_DESCRIPTION_1</vt:lpstr>
      <vt:lpstr>'x-418'!TABLE_DESCRIPTION_1</vt:lpstr>
      <vt:lpstr>'x-419'!TABLE_DESCRIPTION_1</vt:lpstr>
      <vt:lpstr>'x-420'!TABLE_DESCRIPTION_1</vt:lpstr>
      <vt:lpstr>'x-421'!TABLE_DESCRIPTION_1</vt:lpstr>
      <vt:lpstr>'x-422'!TABLE_DESCRIPTION_1</vt:lpstr>
      <vt:lpstr>'x-423'!TABLE_DESCRIPTION_1</vt:lpstr>
      <vt:lpstr>'x-501'!TABLE_DESCRIPTION_1</vt:lpstr>
      <vt:lpstr>'x-502'!TABLE_DESCRIPTION_1</vt:lpstr>
      <vt:lpstr>'x-503'!TABLE_DESCRIPTION_1</vt:lpstr>
      <vt:lpstr>'x-504'!TABLE_DESCRIPTION_1</vt:lpstr>
      <vt:lpstr>'x-505'!TABLE_DESCRIPTION_1</vt:lpstr>
      <vt:lpstr>'x-601'!TABLE_DESCRIPTION_1</vt:lpstr>
      <vt:lpstr>'x-602'!TABLE_DESCRIPTION_1</vt:lpstr>
      <vt:lpstr>'x-603'!TABLE_DESCRIPTION_1</vt:lpstr>
      <vt:lpstr>'x-604'!TABLE_DESCRIPTION_1</vt:lpstr>
      <vt:lpstr>'x-605'!TABLE_DESCRIPTION_1</vt:lpstr>
      <vt:lpstr>'x-606'!TABLE_DESCRIPTION_1</vt:lpstr>
      <vt:lpstr>'x-703'!TABLE_DESCRIPTION_1</vt:lpstr>
      <vt:lpstr>'x-704'!TABLE_DESCRIPTION_1</vt:lpstr>
      <vt:lpstr>'x-705'!TABLE_DESCRIPTION_1</vt:lpstr>
      <vt:lpstr>'x-706'!TABLE_DESCRIPTION_1</vt:lpstr>
      <vt:lpstr>'x-707'!TABLE_DESCRIPTION_1</vt:lpstr>
      <vt:lpstr>'x-708'!TABLE_DESCRIPTION_1</vt:lpstr>
      <vt:lpstr>'x-709'!TABLE_DESCRIPTION_1</vt:lpstr>
      <vt:lpstr>'x-710'!TABLE_DESCRIPTION_1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'x-721'!TABLE_DESCRIPTION_1</vt:lpstr>
      <vt:lpstr>'x-722'!TABLE_DESCRIPTION_1</vt:lpstr>
      <vt:lpstr>'x-723'!TABLE_DESCRIPTION_1</vt:lpstr>
      <vt:lpstr>'x-801'!TABLE_DESCRIPTION_1</vt:lpstr>
      <vt:lpstr>'x-802'!TABLE_DESCRIPTION_1</vt:lpstr>
      <vt:lpstr>'x-803'!TABLE_DESCRIPTION_1</vt:lpstr>
      <vt:lpstr>'x-804'!TABLE_DESCRIPTION_1</vt:lpstr>
      <vt:lpstr>'x-805'!TABLE_DESCRIPTION_1</vt:lpstr>
      <vt:lpstr>'x-806'!TABLE_DESCRIPTION_1</vt:lpstr>
      <vt:lpstr>'x-807'!TABLE_DESCRIPTION_1</vt:lpstr>
      <vt:lpstr>'x-808'!TABLE_DESCRIPTION_1</vt:lpstr>
      <vt:lpstr>'x-809'!TABLE_DESCRIPTION_1</vt:lpstr>
      <vt:lpstr>'x-810'!TABLE_DESCRIPTION_1</vt:lpstr>
      <vt:lpstr>'x-811'!TABLE_DESCRIPTION_1</vt:lpstr>
      <vt:lpstr>'x-812'!TABLE_DESCRIPTION_1</vt:lpstr>
      <vt:lpstr>'x-813'!TABLE_DESCRIPTION_1</vt:lpstr>
      <vt:lpstr>'x-814'!TABLE_DESCRIPTION_1</vt:lpstr>
      <vt:lpstr>'x-815'!TABLE_DESCRIPTION_1</vt:lpstr>
      <vt:lpstr>'x-816'!TABLE_DESCRIPTION_1</vt:lpstr>
      <vt:lpstr>'x-817'!TABLE_DESCRIPTION_1</vt:lpstr>
      <vt:lpstr>'x-818'!TABLE_DESCRIPTION_1</vt:lpstr>
      <vt:lpstr>'x-819'!TABLE_DESCRIPTION_1</vt:lpstr>
      <vt:lpstr>'x-820'!TABLE_DESCRIPTION_1</vt:lpstr>
      <vt:lpstr>'x-821'!TABLE_DESCRIPTION_1</vt:lpstr>
      <vt:lpstr>'x-822'!TABLE_DESCRIPTION_1</vt:lpstr>
      <vt:lpstr>'x-823'!TABLE_DESCRIPTION_1</vt:lpstr>
      <vt:lpstr>'x-204'!TABLE_DESCRIPTION_2</vt:lpstr>
      <vt:lpstr>'x-403'!TABLE_DESCRIPTION_2</vt:lpstr>
      <vt:lpstr>'x-404'!TABLE_DESCRIPTION_2</vt:lpstr>
      <vt:lpstr>'x-409'!TABLE_DESCRIPTION_2</vt:lpstr>
      <vt:lpstr>'x-410'!TABLE_DESCRIPTION_2</vt:lpstr>
      <vt:lpstr>'x-415'!TABLE_DESCRIPTION_2</vt:lpstr>
      <vt:lpstr>'x-810'!TABLE_DESCRIPTION_2</vt:lpstr>
      <vt:lpstr>'x-219'!TABLE_FACTOR_STATUS</vt:lpstr>
      <vt:lpstr>TABLE_FACTOR_STATUS</vt:lpstr>
      <vt:lpstr>'x-101'!table_factor_status_1</vt:lpstr>
      <vt:lpstr>'x-102'!table_factor_status_1</vt:lpstr>
      <vt:lpstr>'x-103'!table_factor_status_1</vt:lpstr>
      <vt:lpstr>'x-104'!table_factor_status_1</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'x-217'!TABLE_FACTOR_STATUS_1</vt:lpstr>
      <vt:lpstr>'x-218'!TABLE_FACTOR_STATUS_1</vt:lpstr>
      <vt:lpstr>'x-219'!TABLE_FACTOR_STATUS_1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'x-408'!TABLE_FACTOR_STATUS_1</vt:lpstr>
      <vt:lpstr>'x-409'!TABLE_FACTOR_STATUS_1</vt:lpstr>
      <vt:lpstr>'x-410'!TABLE_FACTOR_STATUS_1</vt:lpstr>
      <vt:lpstr>'x-411'!TABLE_FACTOR_STATUS_1</vt:lpstr>
      <vt:lpstr>'x-412'!TABLE_FACTOR_STATUS_1</vt:lpstr>
      <vt:lpstr>'x-413'!TABLE_FACTOR_STATUS_1</vt:lpstr>
      <vt:lpstr>'x-414'!TABLE_FACTOR_STATUS_1</vt:lpstr>
      <vt:lpstr>'x-415'!TABLE_FACTOR_STATUS_1</vt:lpstr>
      <vt:lpstr>'x-416'!TABLE_FACTOR_STATUS_1</vt:lpstr>
      <vt:lpstr>'x-417'!TABLE_FACTOR_STATUS_1</vt:lpstr>
      <vt:lpstr>'x-418'!TABLE_FACTOR_STATUS_1</vt:lpstr>
      <vt:lpstr>'x-419'!TABLE_FACTOR_STATUS_1</vt:lpstr>
      <vt:lpstr>'x-420'!TABLE_FACTOR_STATUS_1</vt:lpstr>
      <vt:lpstr>'x-421'!TABLE_FACTOR_STATUS_1</vt:lpstr>
      <vt:lpstr>'x-422'!TABLE_FACTOR_STATUS_1</vt:lpstr>
      <vt:lpstr>'x-423'!TABLE_FACTOR_STATUS_1</vt:lpstr>
      <vt:lpstr>'x-501'!TABLE_FACTOR_STATUS_1</vt:lpstr>
      <vt:lpstr>'x-502'!TABLE_FACTOR_STATUS_1</vt:lpstr>
      <vt:lpstr>'x-503'!TABLE_FACTOR_STATUS_1</vt:lpstr>
      <vt:lpstr>'x-504'!TABLE_FACTOR_STATUS_1</vt:lpstr>
      <vt:lpstr>'x-505'!TABLE_FACTOR_STATUS_1</vt:lpstr>
      <vt:lpstr>'x-601'!TABLE_FACTOR_STATUS_1</vt:lpstr>
      <vt:lpstr>'x-602'!TABLE_FACTOR_STATUS_1</vt:lpstr>
      <vt:lpstr>'x-603'!TABLE_FACTOR_STATUS_1</vt:lpstr>
      <vt:lpstr>'x-604'!TABLE_FACTOR_STATUS_1</vt:lpstr>
      <vt:lpstr>'x-605'!TABLE_FACTOR_STATUS_1</vt:lpstr>
      <vt:lpstr>'x-606'!TABLE_FACTOR_STATUS_1</vt:lpstr>
      <vt:lpstr>'x-703'!TABLE_FACTOR_STATUS_1</vt:lpstr>
      <vt:lpstr>'x-704'!TABLE_FACTOR_STATUS_1</vt:lpstr>
      <vt:lpstr>'x-705'!TABLE_FACTOR_STATUS_1</vt:lpstr>
      <vt:lpstr>'x-706'!TABLE_FACTOR_STATUS_1</vt:lpstr>
      <vt:lpstr>'x-707'!TABLE_FACTOR_STATUS_1</vt:lpstr>
      <vt:lpstr>'x-708'!TABLE_FACTOR_STATUS_1</vt:lpstr>
      <vt:lpstr>'x-709'!TABLE_FACTOR_STATUS_1</vt:lpstr>
      <vt:lpstr>'x-710'!TABLE_FACTOR_STATUS_1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'x-721'!TABLE_FACTOR_STATUS_1</vt:lpstr>
      <vt:lpstr>'x-722'!TABLE_FACTOR_STATUS_1</vt:lpstr>
      <vt:lpstr>'x-723'!TABLE_FACTOR_STATUS_1</vt:lpstr>
      <vt:lpstr>'x-801'!TABLE_FACTOR_STATUS_1</vt:lpstr>
      <vt:lpstr>'x-802'!TABLE_FACTOR_STATUS_1</vt:lpstr>
      <vt:lpstr>'x-803'!TABLE_FACTOR_STATUS_1</vt:lpstr>
      <vt:lpstr>'x-804'!TABLE_FACTOR_STATUS_1</vt:lpstr>
      <vt:lpstr>'x-805'!TABLE_FACTOR_STATUS_1</vt:lpstr>
      <vt:lpstr>'x-806'!TABLE_FACTOR_STATUS_1</vt:lpstr>
      <vt:lpstr>'x-807'!TABLE_FACTOR_STATUS_1</vt:lpstr>
      <vt:lpstr>'x-808'!TABLE_FACTOR_STATUS_1</vt:lpstr>
      <vt:lpstr>'x-809'!TABLE_FACTOR_STATUS_1</vt:lpstr>
      <vt:lpstr>'x-810'!TABLE_FACTOR_STATUS_1</vt:lpstr>
      <vt:lpstr>'x-811'!TABLE_FACTOR_STATUS_1</vt:lpstr>
      <vt:lpstr>'x-812'!TABLE_FACTOR_STATUS_1</vt:lpstr>
      <vt:lpstr>'x-813'!TABLE_FACTOR_STATUS_1</vt:lpstr>
      <vt:lpstr>'x-814'!TABLE_FACTOR_STATUS_1</vt:lpstr>
      <vt:lpstr>'x-815'!TABLE_FACTOR_STATUS_1</vt:lpstr>
      <vt:lpstr>'x-816'!TABLE_FACTOR_STATUS_1</vt:lpstr>
      <vt:lpstr>'x-817'!TABLE_FACTOR_STATUS_1</vt:lpstr>
      <vt:lpstr>'x-818'!TABLE_FACTOR_STATUS_1</vt:lpstr>
      <vt:lpstr>'x-819'!TABLE_FACTOR_STATUS_1</vt:lpstr>
      <vt:lpstr>'x-820'!TABLE_FACTOR_STATUS_1</vt:lpstr>
      <vt:lpstr>'x-821'!TABLE_FACTOR_STATUS_1</vt:lpstr>
      <vt:lpstr>'x-822'!TABLE_FACTOR_STATUS_1</vt:lpstr>
      <vt:lpstr>'x-823'!TABLE_FACTOR_STATUS_1</vt:lpstr>
      <vt:lpstr>'x-204'!TABLE_FACTOR_STATUS_2</vt:lpstr>
      <vt:lpstr>'x-403'!TABLE_FACTOR_STATUS_2</vt:lpstr>
      <vt:lpstr>'x-404'!TABLE_FACTOR_STATUS_2</vt:lpstr>
      <vt:lpstr>'x-409'!TABLE_FACTOR_STATUS_2</vt:lpstr>
      <vt:lpstr>'x-410'!TABLE_FACTOR_STATUS_2</vt:lpstr>
      <vt:lpstr>'x-415'!TABLE_FACTOR_STATUS_2</vt:lpstr>
      <vt:lpstr>'x-810'!TABLE_FACTOR_STATUS_2</vt:lpstr>
      <vt:lpstr>'x-219'!TABLE_FACTOR_TYPE</vt:lpstr>
      <vt:lpstr>TABLE_FACTOR_TYPE</vt:lpstr>
      <vt:lpstr>'x-101'!table_factor_type_1</vt:lpstr>
      <vt:lpstr>'x-102'!table_factor_type_1</vt:lpstr>
      <vt:lpstr>'x-103'!table_factor_type_1</vt:lpstr>
      <vt:lpstr>'x-104'!table_factor_type_1</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'x-217'!TABLE_FACTOR_TYPE_1</vt:lpstr>
      <vt:lpstr>'x-218'!TABLE_FACTOR_TYPE_1</vt:lpstr>
      <vt:lpstr>'x-219'!TABLE_FACTOR_TYPE_1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'x-408'!TABLE_FACTOR_TYPE_1</vt:lpstr>
      <vt:lpstr>'x-409'!TABLE_FACTOR_TYPE_1</vt:lpstr>
      <vt:lpstr>'x-410'!TABLE_FACTOR_TYPE_1</vt:lpstr>
      <vt:lpstr>'x-411'!TABLE_FACTOR_TYPE_1</vt:lpstr>
      <vt:lpstr>'x-412'!TABLE_FACTOR_TYPE_1</vt:lpstr>
      <vt:lpstr>'x-413'!TABLE_FACTOR_TYPE_1</vt:lpstr>
      <vt:lpstr>'x-414'!TABLE_FACTOR_TYPE_1</vt:lpstr>
      <vt:lpstr>'x-415'!TABLE_FACTOR_TYPE_1</vt:lpstr>
      <vt:lpstr>'x-416'!TABLE_FACTOR_TYPE_1</vt:lpstr>
      <vt:lpstr>'x-417'!TABLE_FACTOR_TYPE_1</vt:lpstr>
      <vt:lpstr>'x-418'!TABLE_FACTOR_TYPE_1</vt:lpstr>
      <vt:lpstr>'x-419'!TABLE_FACTOR_TYPE_1</vt:lpstr>
      <vt:lpstr>'x-420'!TABLE_FACTOR_TYPE_1</vt:lpstr>
      <vt:lpstr>'x-421'!TABLE_FACTOR_TYPE_1</vt:lpstr>
      <vt:lpstr>'x-422'!TABLE_FACTOR_TYPE_1</vt:lpstr>
      <vt:lpstr>'x-423'!TABLE_FACTOR_TYPE_1</vt:lpstr>
      <vt:lpstr>'x-501'!TABLE_FACTOR_TYPE_1</vt:lpstr>
      <vt:lpstr>'x-502'!TABLE_FACTOR_TYPE_1</vt:lpstr>
      <vt:lpstr>'x-503'!TABLE_FACTOR_TYPE_1</vt:lpstr>
      <vt:lpstr>'x-504'!TABLE_FACTOR_TYPE_1</vt:lpstr>
      <vt:lpstr>'x-505'!TABLE_FACTOR_TYPE_1</vt:lpstr>
      <vt:lpstr>'x-601'!TABLE_FACTOR_TYPE_1</vt:lpstr>
      <vt:lpstr>'x-602'!TABLE_FACTOR_TYPE_1</vt:lpstr>
      <vt:lpstr>'x-603'!TABLE_FACTOR_TYPE_1</vt:lpstr>
      <vt:lpstr>'x-604'!TABLE_FACTOR_TYPE_1</vt:lpstr>
      <vt:lpstr>'x-605'!TABLE_FACTOR_TYPE_1</vt:lpstr>
      <vt:lpstr>'x-606'!TABLE_FACTOR_TYPE_1</vt:lpstr>
      <vt:lpstr>'x-703'!TABLE_FACTOR_TYPE_1</vt:lpstr>
      <vt:lpstr>'x-704'!TABLE_FACTOR_TYPE_1</vt:lpstr>
      <vt:lpstr>'x-705'!TABLE_FACTOR_TYPE_1</vt:lpstr>
      <vt:lpstr>'x-706'!TABLE_FACTOR_TYPE_1</vt:lpstr>
      <vt:lpstr>'x-707'!TABLE_FACTOR_TYPE_1</vt:lpstr>
      <vt:lpstr>'x-708'!TABLE_FACTOR_TYPE_1</vt:lpstr>
      <vt:lpstr>'x-709'!TABLE_FACTOR_TYPE_1</vt:lpstr>
      <vt:lpstr>'x-710'!TABLE_FACTOR_TYPE_1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'x-721'!TABLE_FACTOR_TYPE_1</vt:lpstr>
      <vt:lpstr>'x-722'!TABLE_FACTOR_TYPE_1</vt:lpstr>
      <vt:lpstr>'x-723'!TABLE_FACTOR_TYPE_1</vt:lpstr>
      <vt:lpstr>'x-801'!TABLE_FACTOR_TYPE_1</vt:lpstr>
      <vt:lpstr>'x-802'!TABLE_FACTOR_TYPE_1</vt:lpstr>
      <vt:lpstr>'x-803'!TABLE_FACTOR_TYPE_1</vt:lpstr>
      <vt:lpstr>'x-804'!TABLE_FACTOR_TYPE_1</vt:lpstr>
      <vt:lpstr>'x-805'!TABLE_FACTOR_TYPE_1</vt:lpstr>
      <vt:lpstr>'x-806'!TABLE_FACTOR_TYPE_1</vt:lpstr>
      <vt:lpstr>'x-807'!TABLE_FACTOR_TYPE_1</vt:lpstr>
      <vt:lpstr>'x-808'!TABLE_FACTOR_TYPE_1</vt:lpstr>
      <vt:lpstr>'x-809'!TABLE_FACTOR_TYPE_1</vt:lpstr>
      <vt:lpstr>'x-810'!TABLE_FACTOR_TYPE_1</vt:lpstr>
      <vt:lpstr>'x-811'!TABLE_FACTOR_TYPE_1</vt:lpstr>
      <vt:lpstr>'x-812'!TABLE_FACTOR_TYPE_1</vt:lpstr>
      <vt:lpstr>'x-813'!TABLE_FACTOR_TYPE_1</vt:lpstr>
      <vt:lpstr>'x-814'!TABLE_FACTOR_TYPE_1</vt:lpstr>
      <vt:lpstr>'x-815'!TABLE_FACTOR_TYPE_1</vt:lpstr>
      <vt:lpstr>'x-816'!TABLE_FACTOR_TYPE_1</vt:lpstr>
      <vt:lpstr>'x-817'!TABLE_FACTOR_TYPE_1</vt:lpstr>
      <vt:lpstr>'x-818'!TABLE_FACTOR_TYPE_1</vt:lpstr>
      <vt:lpstr>'x-819'!TABLE_FACTOR_TYPE_1</vt:lpstr>
      <vt:lpstr>'x-820'!TABLE_FACTOR_TYPE_1</vt:lpstr>
      <vt:lpstr>'x-821'!TABLE_FACTOR_TYPE_1</vt:lpstr>
      <vt:lpstr>'x-822'!TABLE_FACTOR_TYPE_1</vt:lpstr>
      <vt:lpstr>'x-823'!TABLE_FACTOR_TYPE_1</vt:lpstr>
      <vt:lpstr>'x-204'!TABLE_FACTOR_TYPE_2</vt:lpstr>
      <vt:lpstr>'x-403'!TABLE_FACTOR_TYPE_2</vt:lpstr>
      <vt:lpstr>'x-404'!TABLE_FACTOR_TYPE_2</vt:lpstr>
      <vt:lpstr>'x-409'!TABLE_FACTOR_TYPE_2</vt:lpstr>
      <vt:lpstr>'x-410'!TABLE_FACTOR_TYPE_2</vt:lpstr>
      <vt:lpstr>'x-415'!TABLE_FACTOR_TYPE_2</vt:lpstr>
      <vt:lpstr>'x-810'!TABLE_FACTOR_TYPE_2</vt:lpstr>
      <vt:lpstr>'x-219'!TABLE_GENDER</vt:lpstr>
      <vt:lpstr>TABLE_GENDER</vt:lpstr>
      <vt:lpstr>'x-101'!table_Gender_1</vt:lpstr>
      <vt:lpstr>'x-102'!table_gender_1</vt:lpstr>
      <vt:lpstr>'x-103'!table_Gender_1</vt:lpstr>
      <vt:lpstr>'x-104'!table_Gender_1</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'x-217'!TABLE_GENDER_1</vt:lpstr>
      <vt:lpstr>'x-218'!TABLE_GENDER_1</vt:lpstr>
      <vt:lpstr>'x-219'!TABLE_GENDER_1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'x-401'!TABLE_GENDER_1</vt:lpstr>
      <vt:lpstr>'x-402'!TABLE_GENDER_1</vt:lpstr>
      <vt:lpstr>'x-403'!TABLE_GENDER_1</vt:lpstr>
      <vt:lpstr>'x-404'!TABLE_GENDER_1</vt:lpstr>
      <vt:lpstr>'x-405'!TABLE_GENDER_1</vt:lpstr>
      <vt:lpstr>'x-406'!TABLE_GENDER_1</vt:lpstr>
      <vt:lpstr>'x-407'!TABLE_GENDER_1</vt:lpstr>
      <vt:lpstr>'x-408'!TABLE_GENDER_1</vt:lpstr>
      <vt:lpstr>'x-409'!TABLE_GENDER_1</vt:lpstr>
      <vt:lpstr>'x-410'!TABLE_GENDER_1</vt:lpstr>
      <vt:lpstr>'x-411'!TABLE_GENDER_1</vt:lpstr>
      <vt:lpstr>'x-412'!TABLE_GENDER_1</vt:lpstr>
      <vt:lpstr>'x-413'!TABLE_GENDER_1</vt:lpstr>
      <vt:lpstr>'x-414'!TABLE_GENDER_1</vt:lpstr>
      <vt:lpstr>'x-415'!TABLE_GENDER_1</vt:lpstr>
      <vt:lpstr>'x-416'!TABLE_GENDER_1</vt:lpstr>
      <vt:lpstr>'x-417'!TABLE_GENDER_1</vt:lpstr>
      <vt:lpstr>'x-418'!TABLE_GENDER_1</vt:lpstr>
      <vt:lpstr>'x-419'!TABLE_GENDER_1</vt:lpstr>
      <vt:lpstr>'x-420'!TABLE_GENDER_1</vt:lpstr>
      <vt:lpstr>'x-421'!TABLE_GENDER_1</vt:lpstr>
      <vt:lpstr>'x-422'!TABLE_GENDER_1</vt:lpstr>
      <vt:lpstr>'x-423'!TABLE_GENDER_1</vt:lpstr>
      <vt:lpstr>'x-501'!TABLE_GENDER_1</vt:lpstr>
      <vt:lpstr>'x-502'!TABLE_GENDER_1</vt:lpstr>
      <vt:lpstr>'x-503'!TABLE_GENDER_1</vt:lpstr>
      <vt:lpstr>'x-504'!TABLE_GENDER_1</vt:lpstr>
      <vt:lpstr>'x-505'!TABLE_GENDER_1</vt:lpstr>
      <vt:lpstr>'x-601'!TABLE_GENDER_1</vt:lpstr>
      <vt:lpstr>'x-602'!TABLE_GENDER_1</vt:lpstr>
      <vt:lpstr>'x-603'!TABLE_GENDER_1</vt:lpstr>
      <vt:lpstr>'x-604'!TABLE_GENDER_1</vt:lpstr>
      <vt:lpstr>'x-605'!TABLE_GENDER_1</vt:lpstr>
      <vt:lpstr>'x-606'!TABLE_GENDER_1</vt:lpstr>
      <vt:lpstr>'x-703'!TABLE_GENDER_1</vt:lpstr>
      <vt:lpstr>'x-704'!TABLE_GENDER_1</vt:lpstr>
      <vt:lpstr>'x-705'!TABLE_GENDER_1</vt:lpstr>
      <vt:lpstr>'x-706'!TABLE_GENDER_1</vt:lpstr>
      <vt:lpstr>'x-707'!TABLE_GENDER_1</vt:lpstr>
      <vt:lpstr>'x-708'!TABLE_GENDER_1</vt:lpstr>
      <vt:lpstr>'x-709'!TABLE_GENDER_1</vt:lpstr>
      <vt:lpstr>'x-710'!TABLE_GENDER_1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'x-721'!TABLE_GENDER_1</vt:lpstr>
      <vt:lpstr>'x-722'!TABLE_GENDER_1</vt:lpstr>
      <vt:lpstr>'x-723'!TABLE_GENDER_1</vt:lpstr>
      <vt:lpstr>'x-801'!TABLE_GENDER_1</vt:lpstr>
      <vt:lpstr>'x-802'!TABLE_GENDER_1</vt:lpstr>
      <vt:lpstr>'x-803'!TABLE_GENDER_1</vt:lpstr>
      <vt:lpstr>'x-804'!TABLE_GENDER_1</vt:lpstr>
      <vt:lpstr>'x-805'!TABLE_GENDER_1</vt:lpstr>
      <vt:lpstr>'x-806'!TABLE_GENDER_1</vt:lpstr>
      <vt:lpstr>'x-807'!TABLE_GENDER_1</vt:lpstr>
      <vt:lpstr>'x-808'!TABLE_GENDER_1</vt:lpstr>
      <vt:lpstr>'x-809'!TABLE_GENDER_1</vt:lpstr>
      <vt:lpstr>'x-810'!TABLE_GENDER_1</vt:lpstr>
      <vt:lpstr>'x-811'!TABLE_GENDER_1</vt:lpstr>
      <vt:lpstr>'x-812'!TABLE_GENDER_1</vt:lpstr>
      <vt:lpstr>'x-813'!TABLE_GENDER_1</vt:lpstr>
      <vt:lpstr>'x-814'!TABLE_GENDER_1</vt:lpstr>
      <vt:lpstr>'x-815'!TABLE_GENDER_1</vt:lpstr>
      <vt:lpstr>'x-816'!TABLE_GENDER_1</vt:lpstr>
      <vt:lpstr>'x-817'!TABLE_GENDER_1</vt:lpstr>
      <vt:lpstr>'x-818'!TABLE_GENDER_1</vt:lpstr>
      <vt:lpstr>'x-819'!TABLE_GENDER_1</vt:lpstr>
      <vt:lpstr>'x-820'!TABLE_GENDER_1</vt:lpstr>
      <vt:lpstr>'x-821'!TABLE_GENDER_1</vt:lpstr>
      <vt:lpstr>'x-822'!TABLE_GENDER_1</vt:lpstr>
      <vt:lpstr>'x-823'!TABLE_GENDER_1</vt:lpstr>
      <vt:lpstr>'x-204'!TABLE_GENDER_2</vt:lpstr>
      <vt:lpstr>'x-403'!TABLE_GENDER_2</vt:lpstr>
      <vt:lpstr>'x-404'!TABLE_GENDER_2</vt:lpstr>
      <vt:lpstr>'x-409'!TABLE_GENDER_2</vt:lpstr>
      <vt:lpstr>'x-410'!TABLE_GENDER_2</vt:lpstr>
      <vt:lpstr>'x-415'!TABLE_GENDER_2</vt:lpstr>
      <vt:lpstr>'x-810'!TABLE_GENDER_2</vt:lpstr>
      <vt:lpstr>'x-219'!TABLE_INFO</vt:lpstr>
      <vt:lpstr>TABLE_INFO</vt:lpstr>
      <vt:lpstr>'x-101'!table_info_1</vt:lpstr>
      <vt:lpstr>'x-102'!table_info_1</vt:lpstr>
      <vt:lpstr>'x-103'!table_info_1</vt:lpstr>
      <vt:lpstr>'x-104'!table_info_1</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'x-217'!TABLE_INFO_1</vt:lpstr>
      <vt:lpstr>'x-218'!TABLE_INFO_1</vt:lpstr>
      <vt:lpstr>'x-219'!TABLE_INFO_1</vt:lpstr>
      <vt:lpstr>'x-301'!TABLE_INFO_1</vt:lpstr>
      <vt:lpstr>'x-302'!TABLE_INFO_1</vt:lpstr>
      <vt:lpstr>'x-303'!TABLE_INFO_1</vt:lpstr>
      <vt:lpstr>'x-304'!TABLE_INFO_1</vt:lpstr>
      <vt:lpstr>'x-305'!TABLE_INFO_1</vt:lpstr>
      <vt:lpstr>'x-306'!TABLE_INFO_1</vt:lpstr>
      <vt:lpstr>'x-307'!TABLE_INFO_1</vt:lpstr>
      <vt:lpstr>'x-308'!TABLE_INFO_1</vt:lpstr>
      <vt:lpstr>'x-401'!TABLE_INFO_1</vt:lpstr>
      <vt:lpstr>'x-402'!TABLE_INFO_1</vt:lpstr>
      <vt:lpstr>'x-403'!TABLE_INFO_1</vt:lpstr>
      <vt:lpstr>'x-404'!TABLE_INFO_1</vt:lpstr>
      <vt:lpstr>'x-405'!TABLE_INFO_1</vt:lpstr>
      <vt:lpstr>'x-406'!TABLE_INFO_1</vt:lpstr>
      <vt:lpstr>'x-407'!TABLE_INFO_1</vt:lpstr>
      <vt:lpstr>'x-408'!TABLE_INFO_1</vt:lpstr>
      <vt:lpstr>'x-409'!TABLE_INFO_1</vt:lpstr>
      <vt:lpstr>'x-410'!TABLE_INFO_1</vt:lpstr>
      <vt:lpstr>'x-411'!TABLE_INFO_1</vt:lpstr>
      <vt:lpstr>'x-412'!TABLE_INFO_1</vt:lpstr>
      <vt:lpstr>'x-413'!TABLE_INFO_1</vt:lpstr>
      <vt:lpstr>'x-414'!TABLE_INFO_1</vt:lpstr>
      <vt:lpstr>'x-415'!TABLE_INFO_1</vt:lpstr>
      <vt:lpstr>'x-416'!TABLE_INFO_1</vt:lpstr>
      <vt:lpstr>'x-417'!TABLE_INFO_1</vt:lpstr>
      <vt:lpstr>'x-418'!TABLE_INFO_1</vt:lpstr>
      <vt:lpstr>'x-419'!TABLE_INFO_1</vt:lpstr>
      <vt:lpstr>'x-420'!TABLE_INFO_1</vt:lpstr>
      <vt:lpstr>'x-421'!TABLE_INFO_1</vt:lpstr>
      <vt:lpstr>'x-422'!TABLE_INFO_1</vt:lpstr>
      <vt:lpstr>'x-423'!TABLE_INFO_1</vt:lpstr>
      <vt:lpstr>'x-501'!TABLE_INFO_1</vt:lpstr>
      <vt:lpstr>'x-502'!TABLE_INFO_1</vt:lpstr>
      <vt:lpstr>'x-503'!TABLE_INFO_1</vt:lpstr>
      <vt:lpstr>'x-504'!TABLE_INFO_1</vt:lpstr>
      <vt:lpstr>'x-505'!TABLE_INFO_1</vt:lpstr>
      <vt:lpstr>'x-601'!TABLE_INFO_1</vt:lpstr>
      <vt:lpstr>'x-602'!TABLE_INFO_1</vt:lpstr>
      <vt:lpstr>'x-603'!TABLE_INFO_1</vt:lpstr>
      <vt:lpstr>'x-604'!TABLE_INFO_1</vt:lpstr>
      <vt:lpstr>'x-605'!TABLE_INFO_1</vt:lpstr>
      <vt:lpstr>'x-606'!TABLE_INFO_1</vt:lpstr>
      <vt:lpstr>'x-703'!TABLE_INFO_1</vt:lpstr>
      <vt:lpstr>'x-704'!TABLE_INFO_1</vt:lpstr>
      <vt:lpstr>'x-705'!TABLE_INFO_1</vt:lpstr>
      <vt:lpstr>'x-706'!TABLE_INFO_1</vt:lpstr>
      <vt:lpstr>'x-707'!TABLE_INFO_1</vt:lpstr>
      <vt:lpstr>'x-708'!TABLE_INFO_1</vt:lpstr>
      <vt:lpstr>'x-709'!TABLE_INFO_1</vt:lpstr>
      <vt:lpstr>'x-710'!TABLE_INFO_1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'x-721'!TABLE_INFO_1</vt:lpstr>
      <vt:lpstr>'x-722'!TABLE_INFO_1</vt:lpstr>
      <vt:lpstr>'x-723'!TABLE_INFO_1</vt:lpstr>
      <vt:lpstr>'x-801'!TABLE_INFO_1</vt:lpstr>
      <vt:lpstr>'x-802'!TABLE_INFO_1</vt:lpstr>
      <vt:lpstr>'x-803'!TABLE_INFO_1</vt:lpstr>
      <vt:lpstr>'x-804'!TABLE_INFO_1</vt:lpstr>
      <vt:lpstr>'x-805'!TABLE_INFO_1</vt:lpstr>
      <vt:lpstr>'x-806'!TABLE_INFO_1</vt:lpstr>
      <vt:lpstr>'x-807'!TABLE_INFO_1</vt:lpstr>
      <vt:lpstr>'x-808'!TABLE_INFO_1</vt:lpstr>
      <vt:lpstr>'x-809'!TABLE_INFO_1</vt:lpstr>
      <vt:lpstr>'x-810'!TABLE_INFO_1</vt:lpstr>
      <vt:lpstr>'x-811'!TABLE_INFO_1</vt:lpstr>
      <vt:lpstr>'x-812'!TABLE_INFO_1</vt:lpstr>
      <vt:lpstr>'x-813'!TABLE_INFO_1</vt:lpstr>
      <vt:lpstr>'x-814'!TABLE_INFO_1</vt:lpstr>
      <vt:lpstr>'x-815'!TABLE_INFO_1</vt:lpstr>
      <vt:lpstr>'x-816'!TABLE_INFO_1</vt:lpstr>
      <vt:lpstr>'x-817'!TABLE_INFO_1</vt:lpstr>
      <vt:lpstr>'x-818'!TABLE_INFO_1</vt:lpstr>
      <vt:lpstr>'x-819'!TABLE_INFO_1</vt:lpstr>
      <vt:lpstr>'x-820'!TABLE_INFO_1</vt:lpstr>
      <vt:lpstr>'x-821'!TABLE_INFO_1</vt:lpstr>
      <vt:lpstr>'x-822'!TABLE_INFO_1</vt:lpstr>
      <vt:lpstr>'x-823'!TABLE_INFO_1</vt:lpstr>
      <vt:lpstr>'x-204'!TABLE_INFO_2</vt:lpstr>
      <vt:lpstr>'x-403'!TABLE_INFO_2</vt:lpstr>
      <vt:lpstr>'x-404'!TABLE_INFO_2</vt:lpstr>
      <vt:lpstr>'x-409'!TABLE_INFO_2</vt:lpstr>
      <vt:lpstr>'x-410'!TABLE_INFO_2</vt:lpstr>
      <vt:lpstr>'x-415'!TABLE_INFO_2</vt:lpstr>
      <vt:lpstr>'x-810'!TABLE_INFO_2</vt:lpstr>
      <vt:lpstr>'x-219'!TABLE_REFERENCE</vt:lpstr>
      <vt:lpstr>TABLE_REFERENCE</vt:lpstr>
      <vt:lpstr>'x-101'!table_reference_1</vt:lpstr>
      <vt:lpstr>'x-102'!table_reference_1</vt:lpstr>
      <vt:lpstr>'x-103'!table_reference_1</vt:lpstr>
      <vt:lpstr>'x-104'!table_reference_1</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'x-217'!TABLE_REFERENCE_1</vt:lpstr>
      <vt:lpstr>'x-218'!TABLE_REFERENCE_1</vt:lpstr>
      <vt:lpstr>'x-219'!TABLE_REFERENCE_1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'x-408'!TABLE_REFERENCE_1</vt:lpstr>
      <vt:lpstr>'x-409'!TABLE_REFERENCE_1</vt:lpstr>
      <vt:lpstr>'x-410'!TABLE_REFERENCE_1</vt:lpstr>
      <vt:lpstr>'x-411'!TABLE_REFERENCE_1</vt:lpstr>
      <vt:lpstr>'x-412'!TABLE_REFERENCE_1</vt:lpstr>
      <vt:lpstr>'x-413'!TABLE_REFERENCE_1</vt:lpstr>
      <vt:lpstr>'x-414'!TABLE_REFERENCE_1</vt:lpstr>
      <vt:lpstr>'x-415'!TABLE_REFERENCE_1</vt:lpstr>
      <vt:lpstr>'x-416'!TABLE_REFERENCE_1</vt:lpstr>
      <vt:lpstr>'x-417'!TABLE_REFERENCE_1</vt:lpstr>
      <vt:lpstr>'x-418'!TABLE_REFERENCE_1</vt:lpstr>
      <vt:lpstr>'x-419'!TABLE_REFERENCE_1</vt:lpstr>
      <vt:lpstr>'x-420'!TABLE_REFERENCE_1</vt:lpstr>
      <vt:lpstr>'x-421'!TABLE_REFERENCE_1</vt:lpstr>
      <vt:lpstr>'x-422'!TABLE_REFERENCE_1</vt:lpstr>
      <vt:lpstr>'x-423'!TABLE_REFERENCE_1</vt:lpstr>
      <vt:lpstr>'x-501'!TABLE_REFERENCE_1</vt:lpstr>
      <vt:lpstr>'x-502'!TABLE_REFERENCE_1</vt:lpstr>
      <vt:lpstr>'x-503'!TABLE_REFERENCE_1</vt:lpstr>
      <vt:lpstr>'x-504'!TABLE_REFERENCE_1</vt:lpstr>
      <vt:lpstr>'x-505'!TABLE_REFERENCE_1</vt:lpstr>
      <vt:lpstr>'x-601'!TABLE_REFERENCE_1</vt:lpstr>
      <vt:lpstr>'x-602'!TABLE_REFERENCE_1</vt:lpstr>
      <vt:lpstr>'x-603'!TABLE_REFERENCE_1</vt:lpstr>
      <vt:lpstr>'x-604'!TABLE_REFERENCE_1</vt:lpstr>
      <vt:lpstr>'x-605'!TABLE_REFERENCE_1</vt:lpstr>
      <vt:lpstr>'x-606'!TABLE_REFERENCE_1</vt:lpstr>
      <vt:lpstr>'x-703'!TABLE_REFERENCE_1</vt:lpstr>
      <vt:lpstr>'x-704'!TABLE_REFERENCE_1</vt:lpstr>
      <vt:lpstr>'x-705'!TABLE_REFERENCE_1</vt:lpstr>
      <vt:lpstr>'x-706'!TABLE_REFERENCE_1</vt:lpstr>
      <vt:lpstr>'x-707'!TABLE_REFERENCE_1</vt:lpstr>
      <vt:lpstr>'x-708'!TABLE_REFERENCE_1</vt:lpstr>
      <vt:lpstr>'x-709'!TABLE_REFERENCE_1</vt:lpstr>
      <vt:lpstr>'x-710'!TABLE_REFERENCE_1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'x-721'!TABLE_REFERENCE_1</vt:lpstr>
      <vt:lpstr>'x-722'!TABLE_REFERENCE_1</vt:lpstr>
      <vt:lpstr>'x-723'!TABLE_REFERENCE_1</vt:lpstr>
      <vt:lpstr>'x-801'!TABLE_REFERENCE_1</vt:lpstr>
      <vt:lpstr>'x-802'!TABLE_REFERENCE_1</vt:lpstr>
      <vt:lpstr>'x-803'!TABLE_REFERENCE_1</vt:lpstr>
      <vt:lpstr>'x-804'!TABLE_REFERENCE_1</vt:lpstr>
      <vt:lpstr>'x-805'!TABLE_REFERENCE_1</vt:lpstr>
      <vt:lpstr>'x-806'!TABLE_REFERENCE_1</vt:lpstr>
      <vt:lpstr>'x-807'!TABLE_REFERENCE_1</vt:lpstr>
      <vt:lpstr>'x-808'!TABLE_REFERENCE_1</vt:lpstr>
      <vt:lpstr>'x-809'!TABLE_REFERENCE_1</vt:lpstr>
      <vt:lpstr>'x-810'!TABLE_REFERENCE_1</vt:lpstr>
      <vt:lpstr>'x-811'!TABLE_REFERENCE_1</vt:lpstr>
      <vt:lpstr>'x-812'!TABLE_REFERENCE_1</vt:lpstr>
      <vt:lpstr>'x-813'!TABLE_REFERENCE_1</vt:lpstr>
      <vt:lpstr>'x-814'!TABLE_REFERENCE_1</vt:lpstr>
      <vt:lpstr>'x-815'!TABLE_REFERENCE_1</vt:lpstr>
      <vt:lpstr>'x-816'!TABLE_REFERENCE_1</vt:lpstr>
      <vt:lpstr>'x-817'!TABLE_REFERENCE_1</vt:lpstr>
      <vt:lpstr>'x-818'!TABLE_REFERENCE_1</vt:lpstr>
      <vt:lpstr>'x-819'!TABLE_REFERENCE_1</vt:lpstr>
      <vt:lpstr>'x-820'!TABLE_REFERENCE_1</vt:lpstr>
      <vt:lpstr>'x-821'!TABLE_REFERENCE_1</vt:lpstr>
      <vt:lpstr>'x-822'!TABLE_REFERENCE_1</vt:lpstr>
      <vt:lpstr>'x-823'!TABLE_REFERENCE_1</vt:lpstr>
      <vt:lpstr>'x-204'!TABLE_REFERENCE_2</vt:lpstr>
      <vt:lpstr>'x-403'!TABLE_REFERENCE_2</vt:lpstr>
      <vt:lpstr>'x-404'!TABLE_REFERENCE_2</vt:lpstr>
      <vt:lpstr>'x-409'!TABLE_REFERENCE_2</vt:lpstr>
      <vt:lpstr>'x-410'!TABLE_REFERENCE_2</vt:lpstr>
      <vt:lpstr>'x-415'!TABLE_REFERENCE_2</vt:lpstr>
      <vt:lpstr>'x-810'!TABLE_REFERENCE_2</vt:lpstr>
      <vt:lpstr>'x-219'!TABLE_REFERENCE_GUIDANCE</vt:lpstr>
      <vt:lpstr>TABLE_REFERENCE_GUIDANCE</vt:lpstr>
      <vt:lpstr>'x-101'!table_reference_guidance_1</vt:lpstr>
      <vt:lpstr>'x-102'!table_reference_guidance_1</vt:lpstr>
      <vt:lpstr>'x-103'!table_reference_guidance_1</vt:lpstr>
      <vt:lpstr>'x-104'!table_reference_guidance_1</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'x-217'!TABLE_REFERENCE_GUIDANCE_1</vt:lpstr>
      <vt:lpstr>'x-218'!TABLE_REFERENCE_GUIDANCE_1</vt:lpstr>
      <vt:lpstr>'x-219'!TABLE_REFERENCE_GUIDANCE_1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'x-408'!TABLE_REFERENCE_GUIDANCE_1</vt:lpstr>
      <vt:lpstr>'x-409'!TABLE_REFERENCE_GUIDANCE_1</vt:lpstr>
      <vt:lpstr>'x-410'!TABLE_REFERENCE_GUIDANCE_1</vt:lpstr>
      <vt:lpstr>'x-411'!TABLE_REFERENCE_GUIDANCE_1</vt:lpstr>
      <vt:lpstr>'x-412'!TABLE_REFERENCE_GUIDANCE_1</vt:lpstr>
      <vt:lpstr>'x-413'!TABLE_REFERENCE_GUIDANCE_1</vt:lpstr>
      <vt:lpstr>'x-414'!TABLE_REFERENCE_GUIDANCE_1</vt:lpstr>
      <vt:lpstr>'x-415'!TABLE_REFERENCE_GUIDANCE_1</vt:lpstr>
      <vt:lpstr>'x-416'!TABLE_REFERENCE_GUIDANCE_1</vt:lpstr>
      <vt:lpstr>'x-417'!TABLE_REFERENCE_GUIDANCE_1</vt:lpstr>
      <vt:lpstr>'x-418'!TABLE_REFERENCE_GUIDANCE_1</vt:lpstr>
      <vt:lpstr>'x-419'!TABLE_REFERENCE_GUIDANCE_1</vt:lpstr>
      <vt:lpstr>'x-420'!TABLE_REFERENCE_GUIDANCE_1</vt:lpstr>
      <vt:lpstr>'x-421'!TABLE_REFERENCE_GUIDANCE_1</vt:lpstr>
      <vt:lpstr>'x-422'!TABLE_REFERENCE_GUIDANCE_1</vt:lpstr>
      <vt:lpstr>'x-423'!TABLE_REFERENCE_GUIDANCE_1</vt:lpstr>
      <vt:lpstr>'x-501'!TABLE_REFERENCE_GUIDANCE_1</vt:lpstr>
      <vt:lpstr>'x-502'!TABLE_REFERENCE_GUIDANCE_1</vt:lpstr>
      <vt:lpstr>'x-503'!TABLE_REFERENCE_GUIDANCE_1</vt:lpstr>
      <vt:lpstr>'x-504'!TABLE_REFERENCE_GUIDANCE_1</vt:lpstr>
      <vt:lpstr>'x-505'!TABLE_REFERENCE_GUIDANCE_1</vt:lpstr>
      <vt:lpstr>'x-601'!TABLE_REFERENCE_GUIDANCE_1</vt:lpstr>
      <vt:lpstr>'x-602'!TABLE_REFERENCE_GUIDANCE_1</vt:lpstr>
      <vt:lpstr>'x-603'!TABLE_REFERENCE_GUIDANCE_1</vt:lpstr>
      <vt:lpstr>'x-604'!TABLE_REFERENCE_GUIDANCE_1</vt:lpstr>
      <vt:lpstr>'x-605'!TABLE_REFERENCE_GUIDANCE_1</vt:lpstr>
      <vt:lpstr>'x-606'!TABLE_REFERENCE_GUIDANCE_1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'x-709'!TABLE_REFERENCE_GUIDANCE_1</vt:lpstr>
      <vt:lpstr>'x-710'!TABLE_REFERENCE_GUIDANCE_1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'x-721'!TABLE_REFERENCE_GUIDANCE_1</vt:lpstr>
      <vt:lpstr>'x-722'!TABLE_REFERENCE_GUIDANCE_1</vt:lpstr>
      <vt:lpstr>'x-723'!TABLE_REFERENCE_GUIDANCE_1</vt:lpstr>
      <vt:lpstr>'x-801'!TABLE_REFERENCE_GUIDANCE_1</vt:lpstr>
      <vt:lpstr>'x-802'!TABLE_REFERENCE_GUIDANCE_1</vt:lpstr>
      <vt:lpstr>'x-803'!TABLE_REFERENCE_GUIDANCE_1</vt:lpstr>
      <vt:lpstr>'x-804'!TABLE_REFERENCE_GUIDANCE_1</vt:lpstr>
      <vt:lpstr>'x-805'!TABLE_REFERENCE_GUIDANCE_1</vt:lpstr>
      <vt:lpstr>'x-806'!TABLE_REFERENCE_GUIDANCE_1</vt:lpstr>
      <vt:lpstr>'x-807'!TABLE_REFERENCE_GUIDANCE_1</vt:lpstr>
      <vt:lpstr>'x-808'!TABLE_REFERENCE_GUIDANCE_1</vt:lpstr>
      <vt:lpstr>'x-809'!TABLE_REFERENCE_GUIDANCE_1</vt:lpstr>
      <vt:lpstr>'x-810'!TABLE_REFERENCE_GUIDANCE_1</vt:lpstr>
      <vt:lpstr>'x-811'!TABLE_REFERENCE_GUIDANCE_1</vt:lpstr>
      <vt:lpstr>'x-812'!TABLE_REFERENCE_GUIDANCE_1</vt:lpstr>
      <vt:lpstr>'x-813'!TABLE_REFERENCE_GUIDANCE_1</vt:lpstr>
      <vt:lpstr>'x-814'!TABLE_REFERENCE_GUIDANCE_1</vt:lpstr>
      <vt:lpstr>'x-815'!TABLE_REFERENCE_GUIDANCE_1</vt:lpstr>
      <vt:lpstr>'x-816'!TABLE_REFERENCE_GUIDANCE_1</vt:lpstr>
      <vt:lpstr>'x-817'!TABLE_REFERENCE_GUIDANCE_1</vt:lpstr>
      <vt:lpstr>'x-818'!TABLE_REFERENCE_GUIDANCE_1</vt:lpstr>
      <vt:lpstr>'x-819'!TABLE_REFERENCE_GUIDANCE_1</vt:lpstr>
      <vt:lpstr>'x-820'!TABLE_REFERENCE_GUIDANCE_1</vt:lpstr>
      <vt:lpstr>'x-821'!TABLE_REFERENCE_GUIDANCE_1</vt:lpstr>
      <vt:lpstr>'x-822'!TABLE_REFERENCE_GUIDANCE_1</vt:lpstr>
      <vt:lpstr>'x-823'!TABLE_REFERENCE_GUIDANCE_1</vt:lpstr>
      <vt:lpstr>'x-204'!TABLE_REFERENCE_GUIDANCE_2</vt:lpstr>
      <vt:lpstr>'x-403'!TABLE_REFERENCE_GUIDANCE_2</vt:lpstr>
      <vt:lpstr>'x-404'!TABLE_REFERENCE_GUIDANCE_2</vt:lpstr>
      <vt:lpstr>'x-409'!TABLE_REFERENCE_GUIDANCE_2</vt:lpstr>
      <vt:lpstr>'x-410'!TABLE_REFERENCE_GUIDANCE_2</vt:lpstr>
      <vt:lpstr>'x-415'!TABLE_REFERENCE_GUIDANCE_2</vt:lpstr>
      <vt:lpstr>'x-810'!TABLE_REFERENCE_GUIDANCE_2</vt:lpstr>
      <vt:lpstr>'x-219'!TABLE_RELATED</vt:lpstr>
      <vt:lpstr>TABLE_RELATED</vt:lpstr>
      <vt:lpstr>'x-101'!table_related_1</vt:lpstr>
      <vt:lpstr>'x-102'!table_related_1</vt:lpstr>
      <vt:lpstr>'x-103'!table_related_1</vt:lpstr>
      <vt:lpstr>'x-104'!table_related_1</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'x-217'!TABLE_RELATED_1</vt:lpstr>
      <vt:lpstr>'x-218'!TABLE_RELATED_1</vt:lpstr>
      <vt:lpstr>'x-219'!TABLE_RELATED_1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'x-401'!TABLE_RELATED_1</vt:lpstr>
      <vt:lpstr>'x-402'!TABLE_RELATED_1</vt:lpstr>
      <vt:lpstr>'x-403'!TABLE_RELATED_1</vt:lpstr>
      <vt:lpstr>'x-404'!TABLE_RELATED_1</vt:lpstr>
      <vt:lpstr>'x-405'!TABLE_RELATED_1</vt:lpstr>
      <vt:lpstr>'x-406'!TABLE_RELATED_1</vt:lpstr>
      <vt:lpstr>'x-407'!TABLE_RELATED_1</vt:lpstr>
      <vt:lpstr>'x-408'!TABLE_RELATED_1</vt:lpstr>
      <vt:lpstr>'x-409'!TABLE_RELATED_1</vt:lpstr>
      <vt:lpstr>'x-410'!TABLE_RELATED_1</vt:lpstr>
      <vt:lpstr>'x-411'!TABLE_RELATED_1</vt:lpstr>
      <vt:lpstr>'x-412'!TABLE_RELATED_1</vt:lpstr>
      <vt:lpstr>'x-413'!TABLE_RELATED_1</vt:lpstr>
      <vt:lpstr>'x-414'!TABLE_RELATED_1</vt:lpstr>
      <vt:lpstr>'x-415'!TABLE_RELATED_1</vt:lpstr>
      <vt:lpstr>'x-416'!TABLE_RELATED_1</vt:lpstr>
      <vt:lpstr>'x-417'!TABLE_RELATED_1</vt:lpstr>
      <vt:lpstr>'x-418'!TABLE_RELATED_1</vt:lpstr>
      <vt:lpstr>'x-419'!TABLE_RELATED_1</vt:lpstr>
      <vt:lpstr>'x-420'!TABLE_RELATED_1</vt:lpstr>
      <vt:lpstr>'x-421'!TABLE_RELATED_1</vt:lpstr>
      <vt:lpstr>'x-422'!TABLE_RELATED_1</vt:lpstr>
      <vt:lpstr>'x-423'!TABLE_RELATED_1</vt:lpstr>
      <vt:lpstr>'x-501'!TABLE_RELATED_1</vt:lpstr>
      <vt:lpstr>'x-502'!TABLE_RELATED_1</vt:lpstr>
      <vt:lpstr>'x-503'!TABLE_RELATED_1</vt:lpstr>
      <vt:lpstr>'x-504'!TABLE_RELATED_1</vt:lpstr>
      <vt:lpstr>'x-505'!TABLE_RELATED_1</vt:lpstr>
      <vt:lpstr>'x-601'!TABLE_RELATED_1</vt:lpstr>
      <vt:lpstr>'x-602'!TABLE_RELATED_1</vt:lpstr>
      <vt:lpstr>'x-603'!TABLE_RELATED_1</vt:lpstr>
      <vt:lpstr>'x-604'!TABLE_RELATED_1</vt:lpstr>
      <vt:lpstr>'x-605'!TABLE_RELATED_1</vt:lpstr>
      <vt:lpstr>'x-606'!TABLE_RELATED_1</vt:lpstr>
      <vt:lpstr>'x-703'!TABLE_RELATED_1</vt:lpstr>
      <vt:lpstr>'x-704'!TABLE_RELATED_1</vt:lpstr>
      <vt:lpstr>'x-705'!TABLE_RELATED_1</vt:lpstr>
      <vt:lpstr>'x-706'!TABLE_RELATED_1</vt:lpstr>
      <vt:lpstr>'x-707'!TABLE_RELATED_1</vt:lpstr>
      <vt:lpstr>'x-708'!TABLE_RELATED_1</vt:lpstr>
      <vt:lpstr>'x-709'!TABLE_RELATED_1</vt:lpstr>
      <vt:lpstr>'x-710'!TABLE_RELATED_1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'x-721'!TABLE_RELATED_1</vt:lpstr>
      <vt:lpstr>'x-722'!TABLE_RELATED_1</vt:lpstr>
      <vt:lpstr>'x-723'!TABLE_RELATED_1</vt:lpstr>
      <vt:lpstr>'x-801'!TABLE_RELATED_1</vt:lpstr>
      <vt:lpstr>'x-802'!TABLE_RELATED_1</vt:lpstr>
      <vt:lpstr>'x-803'!TABLE_RELATED_1</vt:lpstr>
      <vt:lpstr>'x-804'!TABLE_RELATED_1</vt:lpstr>
      <vt:lpstr>'x-805'!TABLE_RELATED_1</vt:lpstr>
      <vt:lpstr>'x-806'!TABLE_RELATED_1</vt:lpstr>
      <vt:lpstr>'x-807'!TABLE_RELATED_1</vt:lpstr>
      <vt:lpstr>'x-808'!TABLE_RELATED_1</vt:lpstr>
      <vt:lpstr>'x-809'!TABLE_RELATED_1</vt:lpstr>
      <vt:lpstr>'x-810'!TABLE_RELATED_1</vt:lpstr>
      <vt:lpstr>'x-811'!TABLE_RELATED_1</vt:lpstr>
      <vt:lpstr>'x-812'!TABLE_RELATED_1</vt:lpstr>
      <vt:lpstr>'x-813'!TABLE_RELATED_1</vt:lpstr>
      <vt:lpstr>'x-814'!TABLE_RELATED_1</vt:lpstr>
      <vt:lpstr>'x-815'!TABLE_RELATED_1</vt:lpstr>
      <vt:lpstr>'x-816'!TABLE_RELATED_1</vt:lpstr>
      <vt:lpstr>'x-817'!TABLE_RELATED_1</vt:lpstr>
      <vt:lpstr>'x-818'!TABLE_RELATED_1</vt:lpstr>
      <vt:lpstr>'x-819'!TABLE_RELATED_1</vt:lpstr>
      <vt:lpstr>'x-820'!TABLE_RELATED_1</vt:lpstr>
      <vt:lpstr>'x-821'!TABLE_RELATED_1</vt:lpstr>
      <vt:lpstr>'x-822'!TABLE_RELATED_1</vt:lpstr>
      <vt:lpstr>'x-823'!TABLE_RELATED_1</vt:lpstr>
      <vt:lpstr>'x-204'!TABLE_RELATED_2</vt:lpstr>
      <vt:lpstr>'x-403'!TABLE_RELATED_2</vt:lpstr>
      <vt:lpstr>'x-404'!TABLE_RELATED_2</vt:lpstr>
      <vt:lpstr>'x-409'!TABLE_RELATED_2</vt:lpstr>
      <vt:lpstr>'x-410'!TABLE_RELATED_2</vt:lpstr>
      <vt:lpstr>'x-415'!TABLE_RELATED_2</vt:lpstr>
      <vt:lpstr>'x-810'!TABLE_RELATED_2</vt:lpstr>
      <vt:lpstr>'x-219'!TABLE_SECTION</vt:lpstr>
      <vt:lpstr>TABLE_SECTION</vt:lpstr>
      <vt:lpstr>'x-101'!table_section_1</vt:lpstr>
      <vt:lpstr>'x-102'!table_section_1</vt:lpstr>
      <vt:lpstr>'x-103'!table_section_1</vt:lpstr>
      <vt:lpstr>'x-104'!table_section_1</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'x-217'!TABLE_SECTION_1</vt:lpstr>
      <vt:lpstr>'x-218'!TABLE_SECTION_1</vt:lpstr>
      <vt:lpstr>'x-219'!TABLE_SECTION_1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'x-401'!TABLE_SECTION_1</vt:lpstr>
      <vt:lpstr>'x-402'!TABLE_SECTION_1</vt:lpstr>
      <vt:lpstr>'x-403'!TABLE_SECTION_1</vt:lpstr>
      <vt:lpstr>'x-404'!TABLE_SECTION_1</vt:lpstr>
      <vt:lpstr>'x-405'!TABLE_SECTION_1</vt:lpstr>
      <vt:lpstr>'x-406'!TABLE_SECTION_1</vt:lpstr>
      <vt:lpstr>'x-407'!TABLE_SECTION_1</vt:lpstr>
      <vt:lpstr>'x-408'!TABLE_SECTION_1</vt:lpstr>
      <vt:lpstr>'x-409'!TABLE_SECTION_1</vt:lpstr>
      <vt:lpstr>'x-410'!TABLE_SECTION_1</vt:lpstr>
      <vt:lpstr>'x-411'!TABLE_SECTION_1</vt:lpstr>
      <vt:lpstr>'x-412'!TABLE_SECTION_1</vt:lpstr>
      <vt:lpstr>'x-413'!TABLE_SECTION_1</vt:lpstr>
      <vt:lpstr>'x-414'!TABLE_SECTION_1</vt:lpstr>
      <vt:lpstr>'x-415'!TABLE_SECTION_1</vt:lpstr>
      <vt:lpstr>'x-416'!TABLE_SECTION_1</vt:lpstr>
      <vt:lpstr>'x-417'!TABLE_SECTION_1</vt:lpstr>
      <vt:lpstr>'x-418'!TABLE_SECTION_1</vt:lpstr>
      <vt:lpstr>'x-419'!TABLE_SECTION_1</vt:lpstr>
      <vt:lpstr>'x-420'!TABLE_SECTION_1</vt:lpstr>
      <vt:lpstr>'x-421'!TABLE_SECTION_1</vt:lpstr>
      <vt:lpstr>'x-422'!TABLE_SECTION_1</vt:lpstr>
      <vt:lpstr>'x-423'!TABLE_SECTION_1</vt:lpstr>
      <vt:lpstr>'x-501'!TABLE_SECTION_1</vt:lpstr>
      <vt:lpstr>'x-502'!TABLE_SECTION_1</vt:lpstr>
      <vt:lpstr>'x-503'!TABLE_SECTION_1</vt:lpstr>
      <vt:lpstr>'x-504'!TABLE_SECTION_1</vt:lpstr>
      <vt:lpstr>'x-505'!TABLE_SECTION_1</vt:lpstr>
      <vt:lpstr>'x-601'!TABLE_SECTION_1</vt:lpstr>
      <vt:lpstr>'x-602'!TABLE_SECTION_1</vt:lpstr>
      <vt:lpstr>'x-603'!TABLE_SECTION_1</vt:lpstr>
      <vt:lpstr>'x-604'!TABLE_SECTION_1</vt:lpstr>
      <vt:lpstr>'x-605'!TABLE_SECTION_1</vt:lpstr>
      <vt:lpstr>'x-606'!TABLE_SECTION_1</vt:lpstr>
      <vt:lpstr>'x-703'!TABLE_SECTION_1</vt:lpstr>
      <vt:lpstr>'x-704'!TABLE_SECTION_1</vt:lpstr>
      <vt:lpstr>'x-705'!TABLE_SECTION_1</vt:lpstr>
      <vt:lpstr>'x-706'!TABLE_SECTION_1</vt:lpstr>
      <vt:lpstr>'x-707'!TABLE_SECTION_1</vt:lpstr>
      <vt:lpstr>'x-708'!TABLE_SECTION_1</vt:lpstr>
      <vt:lpstr>'x-709'!TABLE_SECTION_1</vt:lpstr>
      <vt:lpstr>'x-710'!TABLE_SECTION_1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'x-721'!TABLE_SECTION_1</vt:lpstr>
      <vt:lpstr>'x-722'!TABLE_SECTION_1</vt:lpstr>
      <vt:lpstr>'x-723'!TABLE_SECTION_1</vt:lpstr>
      <vt:lpstr>'x-801'!TABLE_SECTION_1</vt:lpstr>
      <vt:lpstr>'x-802'!TABLE_SECTION_1</vt:lpstr>
      <vt:lpstr>'x-803'!TABLE_SECTION_1</vt:lpstr>
      <vt:lpstr>'x-804'!TABLE_SECTION_1</vt:lpstr>
      <vt:lpstr>'x-805'!TABLE_SECTION_1</vt:lpstr>
      <vt:lpstr>'x-806'!TABLE_SECTION_1</vt:lpstr>
      <vt:lpstr>'x-807'!TABLE_SECTION_1</vt:lpstr>
      <vt:lpstr>'x-808'!TABLE_SECTION_1</vt:lpstr>
      <vt:lpstr>'x-809'!TABLE_SECTION_1</vt:lpstr>
      <vt:lpstr>'x-810'!TABLE_SECTION_1</vt:lpstr>
      <vt:lpstr>'x-811'!TABLE_SECTION_1</vt:lpstr>
      <vt:lpstr>'x-812'!TABLE_SECTION_1</vt:lpstr>
      <vt:lpstr>'x-813'!TABLE_SECTION_1</vt:lpstr>
      <vt:lpstr>'x-814'!TABLE_SECTION_1</vt:lpstr>
      <vt:lpstr>'x-815'!TABLE_SECTION_1</vt:lpstr>
      <vt:lpstr>'x-816'!TABLE_SECTION_1</vt:lpstr>
      <vt:lpstr>'x-817'!TABLE_SECTION_1</vt:lpstr>
      <vt:lpstr>'x-818'!TABLE_SECTION_1</vt:lpstr>
      <vt:lpstr>'x-819'!TABLE_SECTION_1</vt:lpstr>
      <vt:lpstr>'x-820'!TABLE_SECTION_1</vt:lpstr>
      <vt:lpstr>'x-821'!TABLE_SECTION_1</vt:lpstr>
      <vt:lpstr>'x-822'!TABLE_SECTION_1</vt:lpstr>
      <vt:lpstr>'x-823'!TABLE_SECTION_1</vt:lpstr>
      <vt:lpstr>'x-204'!TABLE_SECTION_2</vt:lpstr>
      <vt:lpstr>'x-403'!TABLE_SECTION_2</vt:lpstr>
      <vt:lpstr>'x-404'!TABLE_SECTION_2</vt:lpstr>
      <vt:lpstr>'x-409'!TABLE_SECTION_2</vt:lpstr>
      <vt:lpstr>'x-410'!TABLE_SECTION_2</vt:lpstr>
      <vt:lpstr>'x-415'!TABLE_SECTION_2</vt:lpstr>
      <vt:lpstr>'x-810'!TABLE_SECTION_2</vt:lpstr>
      <vt:lpstr>'x-219'!TABLE_SECTION_NUMBER</vt:lpstr>
      <vt:lpstr>TABLE_SECTION_NUMBER</vt:lpstr>
      <vt:lpstr>'x-101'!table_Section_Number_1</vt:lpstr>
      <vt:lpstr>'x-102'!table_Section_Number_1</vt:lpstr>
      <vt:lpstr>'x-103'!table_Section_Number_1</vt:lpstr>
      <vt:lpstr>'x-104'!table_Section_Number_1</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'x-217'!TABLE_SECTION_NUMBER_1</vt:lpstr>
      <vt:lpstr>'x-218'!TABLE_SECTION_NUMBER_1</vt:lpstr>
      <vt:lpstr>'x-219'!TABLE_SECTION_NUMBER_1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'x-408'!TABLE_SECTION_NUMBER_1</vt:lpstr>
      <vt:lpstr>'x-409'!TABLE_SECTION_NUMBER_1</vt:lpstr>
      <vt:lpstr>'x-410'!TABLE_SECTION_NUMBER_1</vt:lpstr>
      <vt:lpstr>'x-411'!TABLE_SECTION_NUMBER_1</vt:lpstr>
      <vt:lpstr>'x-412'!TABLE_SECTION_NUMBER_1</vt:lpstr>
      <vt:lpstr>'x-413'!TABLE_SECTION_NUMBER_1</vt:lpstr>
      <vt:lpstr>'x-414'!TABLE_SECTION_NUMBER_1</vt:lpstr>
      <vt:lpstr>'x-415'!TABLE_SECTION_NUMBER_1</vt:lpstr>
      <vt:lpstr>'x-416'!TABLE_SECTION_NUMBER_1</vt:lpstr>
      <vt:lpstr>'x-417'!TABLE_SECTION_NUMBER_1</vt:lpstr>
      <vt:lpstr>'x-418'!TABLE_SECTION_NUMBER_1</vt:lpstr>
      <vt:lpstr>'x-419'!TABLE_SECTION_NUMBER_1</vt:lpstr>
      <vt:lpstr>'x-420'!TABLE_SECTION_NUMBER_1</vt:lpstr>
      <vt:lpstr>'x-421'!TABLE_SECTION_NUMBER_1</vt:lpstr>
      <vt:lpstr>'x-422'!TABLE_SECTION_NUMBER_1</vt:lpstr>
      <vt:lpstr>'x-423'!TABLE_SECTION_NUMBER_1</vt:lpstr>
      <vt:lpstr>'x-501'!TABLE_SECTION_NUMBER_1</vt:lpstr>
      <vt:lpstr>'x-502'!TABLE_SECTION_NUMBER_1</vt:lpstr>
      <vt:lpstr>'x-503'!TABLE_SECTION_NUMBER_1</vt:lpstr>
      <vt:lpstr>'x-504'!TABLE_SECTION_NUMBER_1</vt:lpstr>
      <vt:lpstr>'x-505'!TABLE_SECTION_NUMBER_1</vt:lpstr>
      <vt:lpstr>'x-601'!TABLE_SECTION_NUMBER_1</vt:lpstr>
      <vt:lpstr>'x-602'!TABLE_SECTION_NUMBER_1</vt:lpstr>
      <vt:lpstr>'x-603'!TABLE_SECTION_NUMBER_1</vt:lpstr>
      <vt:lpstr>'x-604'!TABLE_SECTION_NUMBER_1</vt:lpstr>
      <vt:lpstr>'x-605'!TABLE_SECTION_NUMBER_1</vt:lpstr>
      <vt:lpstr>'x-606'!TABLE_SECTION_NUMBER_1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'x-709'!TABLE_SECTION_NUMBER_1</vt:lpstr>
      <vt:lpstr>'x-710'!TABLE_SECTION_NUMBER_1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'x-721'!TABLE_SECTION_NUMBER_1</vt:lpstr>
      <vt:lpstr>'x-722'!TABLE_SECTION_NUMBER_1</vt:lpstr>
      <vt:lpstr>'x-723'!TABLE_SECTION_NUMBER_1</vt:lpstr>
      <vt:lpstr>'x-801'!TABLE_SECTION_NUMBER_1</vt:lpstr>
      <vt:lpstr>'x-802'!TABLE_SECTION_NUMBER_1</vt:lpstr>
      <vt:lpstr>'x-803'!TABLE_SECTION_NUMBER_1</vt:lpstr>
      <vt:lpstr>'x-804'!TABLE_SECTION_NUMBER_1</vt:lpstr>
      <vt:lpstr>'x-805'!TABLE_SECTION_NUMBER_1</vt:lpstr>
      <vt:lpstr>'x-806'!TABLE_SECTION_NUMBER_1</vt:lpstr>
      <vt:lpstr>'x-807'!TABLE_SECTION_NUMBER_1</vt:lpstr>
      <vt:lpstr>'x-808'!TABLE_SECTION_NUMBER_1</vt:lpstr>
      <vt:lpstr>'x-809'!TABLE_SECTION_NUMBER_1</vt:lpstr>
      <vt:lpstr>'x-810'!TABLE_SECTION_NUMBER_1</vt:lpstr>
      <vt:lpstr>'x-811'!TABLE_SECTION_NUMBER_1</vt:lpstr>
      <vt:lpstr>'x-812'!TABLE_SECTION_NUMBER_1</vt:lpstr>
      <vt:lpstr>'x-813'!TABLE_SECTION_NUMBER_1</vt:lpstr>
      <vt:lpstr>'x-814'!TABLE_SECTION_NUMBER_1</vt:lpstr>
      <vt:lpstr>'x-815'!TABLE_SECTION_NUMBER_1</vt:lpstr>
      <vt:lpstr>'x-816'!TABLE_SECTION_NUMBER_1</vt:lpstr>
      <vt:lpstr>'x-817'!TABLE_SECTION_NUMBER_1</vt:lpstr>
      <vt:lpstr>'x-818'!TABLE_SECTION_NUMBER_1</vt:lpstr>
      <vt:lpstr>'x-819'!TABLE_SECTION_NUMBER_1</vt:lpstr>
      <vt:lpstr>'x-820'!TABLE_SECTION_NUMBER_1</vt:lpstr>
      <vt:lpstr>'x-821'!TABLE_SECTION_NUMBER_1</vt:lpstr>
      <vt:lpstr>'x-822'!TABLE_SECTION_NUMBER_1</vt:lpstr>
      <vt:lpstr>'x-823'!TABLE_SECTION_NUMBER_1</vt:lpstr>
      <vt:lpstr>'x-204'!TABLE_SECTION_NUMBER_2</vt:lpstr>
      <vt:lpstr>'x-403'!TABLE_SECTION_NUMBER_2</vt:lpstr>
      <vt:lpstr>'x-404'!TABLE_SECTION_NUMBER_2</vt:lpstr>
      <vt:lpstr>'x-409'!TABLE_SECTION_NUMBER_2</vt:lpstr>
      <vt:lpstr>'x-410'!TABLE_SECTION_NUMBER_2</vt:lpstr>
      <vt:lpstr>'x-415'!TABLE_SECTION_NUMBER_2</vt:lpstr>
      <vt:lpstr>'x-810'!TABLE_SECTION_NUMBER_2</vt:lpstr>
      <vt:lpstr>'x-219'!TABLE_SERIES_NUMBER</vt:lpstr>
      <vt:lpstr>TABLE_SERIES_NUMBER</vt:lpstr>
      <vt:lpstr>'x-101'!table_Series_Number_1</vt:lpstr>
      <vt:lpstr>'x-102'!table_Series_Number_1</vt:lpstr>
      <vt:lpstr>'x-103'!table_Series_Number_1</vt:lpstr>
      <vt:lpstr>'x-104'!table_Series_Number_1</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'x-217'!TABLE_SERIES_NUMBER_1</vt:lpstr>
      <vt:lpstr>'x-218'!TABLE_SERIES_NUMBER_1</vt:lpstr>
      <vt:lpstr>'x-219'!TABLE_SERIES_NUMBER_1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'x-408'!TABLE_SERIES_NUMBER_1</vt:lpstr>
      <vt:lpstr>'x-409'!TABLE_SERIES_NUMBER_1</vt:lpstr>
      <vt:lpstr>'x-410'!TABLE_SERIES_NUMBER_1</vt:lpstr>
      <vt:lpstr>'x-411'!TABLE_SERIES_NUMBER_1</vt:lpstr>
      <vt:lpstr>'x-412'!TABLE_SERIES_NUMBER_1</vt:lpstr>
      <vt:lpstr>'x-413'!TABLE_SERIES_NUMBER_1</vt:lpstr>
      <vt:lpstr>'x-414'!TABLE_SERIES_NUMBER_1</vt:lpstr>
      <vt:lpstr>'x-415'!TABLE_SERIES_NUMBER_1</vt:lpstr>
      <vt:lpstr>'x-416'!TABLE_SERIES_NUMBER_1</vt:lpstr>
      <vt:lpstr>'x-417'!TABLE_SERIES_NUMBER_1</vt:lpstr>
      <vt:lpstr>'x-418'!TABLE_SERIES_NUMBER_1</vt:lpstr>
      <vt:lpstr>'x-419'!TABLE_SERIES_NUMBER_1</vt:lpstr>
      <vt:lpstr>'x-420'!TABLE_SERIES_NUMBER_1</vt:lpstr>
      <vt:lpstr>'x-421'!TABLE_SERIES_NUMBER_1</vt:lpstr>
      <vt:lpstr>'x-422'!TABLE_SERIES_NUMBER_1</vt:lpstr>
      <vt:lpstr>'x-423'!TABLE_SERIES_NUMBER_1</vt:lpstr>
      <vt:lpstr>'x-501'!TABLE_SERIES_NUMBER_1</vt:lpstr>
      <vt:lpstr>'x-502'!TABLE_SERIES_NUMBER_1</vt:lpstr>
      <vt:lpstr>'x-503'!TABLE_SERIES_NUMBER_1</vt:lpstr>
      <vt:lpstr>'x-504'!TABLE_SERIES_NUMBER_1</vt:lpstr>
      <vt:lpstr>'x-505'!TABLE_SERIES_NUMBER_1</vt:lpstr>
      <vt:lpstr>'x-601'!TABLE_SERIES_NUMBER_1</vt:lpstr>
      <vt:lpstr>'x-602'!TABLE_SERIES_NUMBER_1</vt:lpstr>
      <vt:lpstr>'x-603'!TABLE_SERIES_NUMBER_1</vt:lpstr>
      <vt:lpstr>'x-604'!TABLE_SERIES_NUMBER_1</vt:lpstr>
      <vt:lpstr>'x-605'!TABLE_SERIES_NUMBER_1</vt:lpstr>
      <vt:lpstr>'x-606'!TABLE_SERIES_NUMBER_1</vt:lpstr>
      <vt:lpstr>'x-703'!TABLE_SERIES_NUMBER_1</vt:lpstr>
      <vt:lpstr>'x-704'!TABLE_SERIES_NUMBER_1</vt:lpstr>
      <vt:lpstr>'x-705'!TABLE_SERIES_NUMBER_1</vt:lpstr>
      <vt:lpstr>'x-706'!TABLE_SERIES_NUMBER_1</vt:lpstr>
      <vt:lpstr>'x-707'!TABLE_SERIES_NUMBER_1</vt:lpstr>
      <vt:lpstr>'x-708'!TABLE_SERIES_NUMBER_1</vt:lpstr>
      <vt:lpstr>'x-709'!TABLE_SERIES_NUMBER_1</vt:lpstr>
      <vt:lpstr>'x-710'!TABLE_SERIES_NUMBER_1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'x-721'!TABLE_SERIES_NUMBER_1</vt:lpstr>
      <vt:lpstr>'x-722'!TABLE_SERIES_NUMBER_1</vt:lpstr>
      <vt:lpstr>'x-723'!TABLE_SERIES_NUMBER_1</vt:lpstr>
      <vt:lpstr>'x-801'!TABLE_SERIES_NUMBER_1</vt:lpstr>
      <vt:lpstr>'x-802'!TABLE_SERIES_NUMBER_1</vt:lpstr>
      <vt:lpstr>'x-803'!TABLE_SERIES_NUMBER_1</vt:lpstr>
      <vt:lpstr>'x-804'!TABLE_SERIES_NUMBER_1</vt:lpstr>
      <vt:lpstr>'x-805'!TABLE_SERIES_NUMBER_1</vt:lpstr>
      <vt:lpstr>'x-806'!TABLE_SERIES_NUMBER_1</vt:lpstr>
      <vt:lpstr>'x-807'!TABLE_SERIES_NUMBER_1</vt:lpstr>
      <vt:lpstr>'x-808'!TABLE_SERIES_NUMBER_1</vt:lpstr>
      <vt:lpstr>'x-809'!TABLE_SERIES_NUMBER_1</vt:lpstr>
      <vt:lpstr>'x-810'!TABLE_SERIES_NUMBER_1</vt:lpstr>
      <vt:lpstr>'x-811'!TABLE_SERIES_NUMBER_1</vt:lpstr>
      <vt:lpstr>'x-812'!TABLE_SERIES_NUMBER_1</vt:lpstr>
      <vt:lpstr>'x-813'!TABLE_SERIES_NUMBER_1</vt:lpstr>
      <vt:lpstr>'x-814'!TABLE_SERIES_NUMBER_1</vt:lpstr>
      <vt:lpstr>'x-815'!TABLE_SERIES_NUMBER_1</vt:lpstr>
      <vt:lpstr>'x-816'!TABLE_SERIES_NUMBER_1</vt:lpstr>
      <vt:lpstr>'x-817'!TABLE_SERIES_NUMBER_1</vt:lpstr>
      <vt:lpstr>'x-818'!TABLE_SERIES_NUMBER_1</vt:lpstr>
      <vt:lpstr>'x-819'!TABLE_SERIES_NUMBER_1</vt:lpstr>
      <vt:lpstr>'x-820'!TABLE_SERIES_NUMBER_1</vt:lpstr>
      <vt:lpstr>'x-821'!TABLE_SERIES_NUMBER_1</vt:lpstr>
      <vt:lpstr>'x-822'!TABLE_SERIES_NUMBER_1</vt:lpstr>
      <vt:lpstr>'x-823'!TABLE_SERIES_NUMBER_1</vt:lpstr>
      <vt:lpstr>'x-204'!TABLE_SERIES_NUMBER_2</vt:lpstr>
      <vt:lpstr>'x-403'!TABLE_SERIES_NUMBER_2</vt:lpstr>
      <vt:lpstr>'x-404'!TABLE_SERIES_NUMBER_2</vt:lpstr>
      <vt:lpstr>'x-409'!TABLE_SERIES_NUMBER_2</vt:lpstr>
      <vt:lpstr>'x-410'!TABLE_SERIES_NUMBER_2</vt:lpstr>
      <vt:lpstr>'x-415'!TABLE_SERIES_NUMBER_2</vt:lpstr>
      <vt:lpstr>'x-810'!TABLE_SERIES_NUMBER_2</vt:lpstr>
      <vt:lpstr>ti</vt:lpstr>
      <vt:lpstr>tit</vt:lpstr>
      <vt:lpstr>title</vt:lpstr>
      <vt:lpstr>title_new</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NHS NI Consolidated Factors 2025-02.xlsm</dc:title>
  <dc:subject/>
  <dc:creator>Brian Allan</dc:creator>
  <cp:keywords/>
  <dc:description/>
  <cp:lastModifiedBy>Colley, Peter - GAD</cp:lastModifiedBy>
  <cp:revision/>
  <dcterms:created xsi:type="dcterms:W3CDTF">2007-01-30T12:07:56Z</dcterms:created>
  <dcterms:modified xsi:type="dcterms:W3CDTF">2026-03-18T10:46:53Z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fe182ab4-a2f3-445e-9550-17612bbecf2b</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