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8D9C5DD9-D4BA-407C-942B-6FD12B43139D}" xr6:coauthVersionLast="47" xr6:coauthVersionMax="47" xr10:uidLastSave="{00000000-0000-0000-0000-000000000000}"/>
  <bookViews>
    <workbookView xWindow="-110" yWindow="-110" windowWidth="22780" windowHeight="14540" tabRatio="768" firstSheet="6" activeTab="6" xr2:uid="{00000000-000D-0000-FFFF-FFFF00000000}"/>
  </bookViews>
  <sheets>
    <sheet name="Cover" sheetId="1" r:id="rId1"/>
    <sheet name="Purpose of spreadsheet" sheetId="77" r:id="rId2"/>
    <sheet name="Version Control" sheetId="78" r:id="rId3"/>
    <sheet name="Summary - NHSPS_S" sheetId="83" state="hidden" r:id="rId4"/>
    <sheet name="AnnGenHiddenLists" sheetId="103" state="hidden" r:id="rId5"/>
    <sheet name="x-Series Number" sheetId="102" state="hidden" r:id="rId6"/>
    <sheet name="Factor List" sheetId="55" r:id="rId7"/>
    <sheet name="Assumptions" sheetId="269" r:id="rId8"/>
    <sheet name="x-101" sheetId="245" r:id="rId9"/>
    <sheet name="x-102" sheetId="246" r:id="rId10"/>
    <sheet name="x-103" sheetId="247" r:id="rId11"/>
    <sheet name="x-104" sheetId="248" r:id="rId12"/>
    <sheet name="x-201" sheetId="136" r:id="rId13"/>
    <sheet name="x-202" sheetId="137" r:id="rId14"/>
    <sheet name="x-203" sheetId="138" r:id="rId15"/>
    <sheet name="x-204" sheetId="139" r:id="rId16"/>
    <sheet name="x-205" sheetId="140" r:id="rId17"/>
    <sheet name="x-206" sheetId="141" r:id="rId18"/>
    <sheet name="x-207" sheetId="142" r:id="rId19"/>
    <sheet name="x-208" sheetId="143" r:id="rId20"/>
    <sheet name="x-209" sheetId="130" r:id="rId21"/>
    <sheet name="x-214" sheetId="249" r:id="rId22"/>
    <sheet name="x-215" sheetId="250" r:id="rId23"/>
    <sheet name="x-216" sheetId="251" r:id="rId24"/>
    <sheet name="x-217" sheetId="232" r:id="rId25"/>
    <sheet name="x-218" sheetId="273" r:id="rId26"/>
    <sheet name="x-219" sheetId="274" r:id="rId27"/>
    <sheet name="x-301" sheetId="146" r:id="rId28"/>
    <sheet name="x-302" sheetId="147" r:id="rId29"/>
    <sheet name="x-303" sheetId="148" r:id="rId30"/>
    <sheet name="x-304" sheetId="149" r:id="rId31"/>
    <sheet name="x-305" sheetId="150" r:id="rId32"/>
    <sheet name="x-306" sheetId="174" r:id="rId33"/>
    <sheet name="x-307" sheetId="175" r:id="rId34"/>
    <sheet name="x-308" sheetId="270" r:id="rId35"/>
    <sheet name="x-401" sheetId="151" r:id="rId36"/>
    <sheet name="x-402" sheetId="152" r:id="rId37"/>
    <sheet name="x-403" sheetId="153" r:id="rId38"/>
    <sheet name="x-404" sheetId="154" r:id="rId39"/>
    <sheet name="x-405" sheetId="155" r:id="rId40"/>
    <sheet name="x-406" sheetId="156" r:id="rId41"/>
    <sheet name="x-407" sheetId="157" r:id="rId42"/>
    <sheet name="x-408" sheetId="158" r:id="rId43"/>
    <sheet name="x-409" sheetId="159" r:id="rId44"/>
    <sheet name="x-410" sheetId="160" r:id="rId45"/>
    <sheet name="x-411" sheetId="161" r:id="rId46"/>
    <sheet name="x-412" sheetId="162" r:id="rId47"/>
    <sheet name="x-413" sheetId="163" r:id="rId48"/>
    <sheet name="x-414" sheetId="164" r:id="rId49"/>
    <sheet name="x-415" sheetId="165" r:id="rId50"/>
    <sheet name="x-416" sheetId="166" r:id="rId51"/>
    <sheet name="x-417" sheetId="167" r:id="rId52"/>
    <sheet name="x-418" sheetId="168" r:id="rId53"/>
    <sheet name="x-419" sheetId="169" r:id="rId54"/>
    <sheet name="x-420" sheetId="170" r:id="rId55"/>
    <sheet name="x-421" sheetId="173" r:id="rId56"/>
    <sheet name="x-422" sheetId="172" r:id="rId57"/>
    <sheet name="x-423" sheetId="244" r:id="rId58"/>
    <sheet name="x-424" sheetId="271" r:id="rId59"/>
    <sheet name="x-501" sheetId="176" r:id="rId60"/>
    <sheet name="x-502" sheetId="177" r:id="rId61"/>
    <sheet name="x-503" sheetId="178" r:id="rId62"/>
    <sheet name="x-504" sheetId="179" r:id="rId63"/>
    <sheet name="x-505" sheetId="272" r:id="rId64"/>
    <sheet name="x-605" sheetId="213" r:id="rId65"/>
    <sheet name="x-606" sheetId="214" r:id="rId66"/>
    <sheet name="x-607" sheetId="235" r:id="rId67"/>
    <sheet name="x-608" sheetId="236" r:id="rId68"/>
    <sheet name="x-609" sheetId="237" r:id="rId69"/>
    <sheet name="x-610" sheetId="238" r:id="rId70"/>
    <sheet name="x-611" sheetId="239" r:id="rId71"/>
    <sheet name="x-612" sheetId="240" r:id="rId72"/>
    <sheet name="x-613" sheetId="241" r:id="rId73"/>
    <sheet name="x-614" sheetId="242" r:id="rId74"/>
    <sheet name="x-615" sheetId="243" r:id="rId75"/>
    <sheet name="x-703" sheetId="252" r:id="rId76"/>
    <sheet name="x-704" sheetId="253" r:id="rId77"/>
    <sheet name="x-705" sheetId="254" r:id="rId78"/>
    <sheet name="x-706" sheetId="255" r:id="rId79"/>
    <sheet name="x-707" sheetId="256" r:id="rId80"/>
    <sheet name="x-708" sheetId="257" r:id="rId81"/>
    <sheet name="x-709" sheetId="258" r:id="rId82"/>
    <sheet name="x-710" sheetId="259" r:id="rId83"/>
    <sheet name="x-711" sheetId="260" r:id="rId84"/>
    <sheet name="x-712" sheetId="261" r:id="rId85"/>
    <sheet name="x-713" sheetId="262" r:id="rId86"/>
    <sheet name="x-714" sheetId="263" r:id="rId87"/>
    <sheet name="x-715" sheetId="264" r:id="rId88"/>
    <sheet name="x-716" sheetId="265" r:id="rId89"/>
    <sheet name="x-717" sheetId="266" r:id="rId90"/>
    <sheet name="x-718" sheetId="267" r:id="rId91"/>
    <sheet name="x-719" sheetId="268" r:id="rId92"/>
    <sheet name="x-720" sheetId="212" r:id="rId93"/>
    <sheet name="x-801" sheetId="180" r:id="rId94"/>
    <sheet name="x-802" sheetId="181" r:id="rId95"/>
    <sheet name="x-803" sheetId="182" r:id="rId96"/>
    <sheet name="x-804" sheetId="183" r:id="rId97"/>
    <sheet name="x-805" sheetId="184" r:id="rId98"/>
    <sheet name="x-806" sheetId="185" r:id="rId99"/>
    <sheet name="x-807" sheetId="186" r:id="rId100"/>
    <sheet name="x-808" sheetId="187" r:id="rId101"/>
    <sheet name="x-809" sheetId="188" r:id="rId102"/>
    <sheet name="x-810" sheetId="189" r:id="rId103"/>
    <sheet name="x-811" sheetId="190" r:id="rId104"/>
    <sheet name="x-812" sheetId="191" r:id="rId105"/>
    <sheet name="x-813" sheetId="192" r:id="rId106"/>
    <sheet name="x-814" sheetId="222" r:id="rId107"/>
    <sheet name="x-815" sheetId="223" r:id="rId108"/>
    <sheet name="x-817" sheetId="215" r:id="rId109"/>
    <sheet name="x-818" sheetId="216" r:id="rId110"/>
    <sheet name="x-819" sheetId="217" r:id="rId111"/>
    <sheet name="x-820" sheetId="218" r:id="rId112"/>
    <sheet name="x-821" sheetId="219" r:id="rId113"/>
    <sheet name="x-822" sheetId="220" r:id="rId114"/>
    <sheet name="x-823" sheetId="221" r:id="rId115"/>
    <sheet name="x-824" sheetId="224" r:id="rId116"/>
    <sheet name="x-825" sheetId="225" r:id="rId117"/>
    <sheet name="x-826" sheetId="226" r:id="rId118"/>
    <sheet name="x-827" sheetId="275" r:id="rId119"/>
  </sheets>
  <externalReferences>
    <externalReference r:id="rId120"/>
    <externalReference r:id="rId121"/>
    <externalReference r:id="rId122"/>
    <externalReference r:id="rId123"/>
    <externalReference r:id="rId124"/>
  </externalReferences>
  <definedNames>
    <definedName name="_xlnm._FilterDatabase" localSheetId="6" hidden="1">'Factor List'!$A$7:$Q$125</definedName>
    <definedName name="age_rng">#REF!</definedName>
    <definedName name="BaseTablesList">AnnGenHiddenLists!$A$4:$A$160</definedName>
    <definedName name="DATE_MODIFIED">'Version Control'!$C$17</definedName>
    <definedName name="FACTOR_LIST_AGE_DEF">'Factor List'!#REF!</definedName>
    <definedName name="FACTOR_LIST_CLIENT">'Factor List'!#REF!</definedName>
    <definedName name="FACTOR_LIST_DATE_IMPLEMENTED">'Factor List'!#REF!</definedName>
    <definedName name="FACTOR_LIST_DATE_ISSUED">'Factor List'!#REF!</definedName>
    <definedName name="FACTOR_LIST_DESCRIPTION">'Factor List'!#REF!</definedName>
    <definedName name="FACTOR_LIST_FACTOR_STATUS" localSheetId="7">'[1]Factor List'!#REF!</definedName>
    <definedName name="FACTOR_LIST_FACTOR_STATUS">'Factor List'!#REF!</definedName>
    <definedName name="FACTOR_LIST_FACTOR_TYPE">'Factor List'!#REF!</definedName>
    <definedName name="FACTOR_LIST_GENDER">'Factor List'!#REF!</definedName>
    <definedName name="FACTOR_LIST_HEADINGS">'Factor List'!#REF!</definedName>
    <definedName name="FACTOR_LIST_REFERENCE">'Factor List'!#REF!</definedName>
    <definedName name="FACTOR_LIST_REFERENCE_GUIDANCE">'Factor List'!#REF!</definedName>
    <definedName name="FACTOR_LIST_RELATED">'Factor List'!#REF!</definedName>
    <definedName name="FACTOR_LIST_SECTION">'Factor List'!#REF!</definedName>
    <definedName name="FACTOR_LIST_SECTION_NUMBER">'Factor List'!#REF!</definedName>
    <definedName name="FACTOR_LIST_SERIES_NUMBER">'Factor List'!#REF!</definedName>
    <definedName name="FACTOR_LIST_SOURCE">'Factor List'!#REF!</definedName>
    <definedName name="FACTOR_LIST_TABLE_ID">'Factor List'!#REF!</definedName>
    <definedName name="FACTOR_LIST_TIMESTAMP">'Factor List'!#REF!</definedName>
    <definedName name="FACTOR_LIST_USER_ID">'Factor List'!#REF!</definedName>
    <definedName name="factor_table">#REF!</definedName>
    <definedName name="ImprovementsList">AnnGenHiddenLists!$C$4:$C$36</definedName>
    <definedName name="new_title">Cover!$A$2</definedName>
    <definedName name="_xlnm.Print_Area" localSheetId="3">'Summary - NHSPS_S'!$A$1:$G$224</definedName>
    <definedName name="_xlnm.Print_Area" localSheetId="12">'x-201'!$A$26:$M$48</definedName>
    <definedName name="_xlnm.Print_Area" localSheetId="13">'x-202'!$A$26:$M$48</definedName>
    <definedName name="_xlnm.Print_Area" localSheetId="14">'x-203'!$A$26:$M$48</definedName>
    <definedName name="_xlnm.Print_Area" localSheetId="15">'x-204'!$A$26:$L$48</definedName>
    <definedName name="_xlnm.Print_Area" localSheetId="16">'x-205'!$A$26:$M$48</definedName>
    <definedName name="_xlnm.Print_Area" localSheetId="17">'x-206'!$A$26:$M$48</definedName>
    <definedName name="_xlnm.Print_Area" localSheetId="18">'x-207'!$A$26:$M$48</definedName>
    <definedName name="_xlnm.Print_Area" localSheetId="19">'x-208'!$A$26:$M$48</definedName>
    <definedName name="_xlnm.Print_Area" localSheetId="20">'x-209'!$A$26:$N$97</definedName>
    <definedName name="_xlnm.Print_Area" localSheetId="21">'x-214'!$A$26:$M$48</definedName>
    <definedName name="_xlnm.Print_Area" localSheetId="22">'x-215'!$A$26:$M$48</definedName>
    <definedName name="_xlnm.Print_Area" localSheetId="23">'x-216'!$A$26:$N$48</definedName>
    <definedName name="_xlnm.Print_Area" localSheetId="24">'x-217'!$A$26:$N$48</definedName>
    <definedName name="_xlnm.Print_Area" localSheetId="25">'x-218'!$A$1:$H$78</definedName>
    <definedName name="_xlnm.Print_Area" localSheetId="26">'x-219'!$A$1:$H$78</definedName>
    <definedName name="_xlnm.Print_Area" localSheetId="27">'x-301'!$A$26:$N$48</definedName>
    <definedName name="_xlnm.Print_Area" localSheetId="28">'x-302'!$A$26:$N$48</definedName>
    <definedName name="_xlnm.Print_Area" localSheetId="29">'x-303'!$A$26:$N$48</definedName>
    <definedName name="_xlnm.Print_Area" localSheetId="30">'x-304'!$A$26:$N$48</definedName>
    <definedName name="_xlnm.Print_Area" localSheetId="31">'x-305'!$A$26:$N$48</definedName>
    <definedName name="_xlnm.Print_Area" localSheetId="32">'x-306'!$A$26:$N$48</definedName>
    <definedName name="_xlnm.Print_Area" localSheetId="33">'x-307'!$A$26:$N$48</definedName>
    <definedName name="_xlnm.Print_Area" localSheetId="34">'x-308'!$A$26:$L$47</definedName>
    <definedName name="_xlnm.Print_Area" localSheetId="35">'x-401'!$A$26:$N$48</definedName>
    <definedName name="_xlnm.Print_Area" localSheetId="36">'x-402'!$A$26:$N$48</definedName>
    <definedName name="_xlnm.Print_Area" localSheetId="37">'x-403'!$A$26:$N$48</definedName>
    <definedName name="_xlnm.Print_Area" localSheetId="38">'x-404'!$A$26:$N$48</definedName>
    <definedName name="_xlnm.Print_Area" localSheetId="39">'x-405'!$A$26:$N$48</definedName>
    <definedName name="_xlnm.Print_Area" localSheetId="40">'x-406'!$A$26:$N$48</definedName>
    <definedName name="_xlnm.Print_Area" localSheetId="41">'x-407'!$A$26:$N$48</definedName>
    <definedName name="_xlnm.Print_Area" localSheetId="42">'x-408'!$A$26:$N$48</definedName>
    <definedName name="_xlnm.Print_Area" localSheetId="43">'x-409'!$A$26:$N$48</definedName>
    <definedName name="_xlnm.Print_Area" localSheetId="44">'x-410'!$A$26:$N$48</definedName>
    <definedName name="_xlnm.Print_Area" localSheetId="45">'x-411'!$A$26:$N$48</definedName>
    <definedName name="_xlnm.Print_Area" localSheetId="46">'x-412'!$A$26:$N$48</definedName>
    <definedName name="_xlnm.Print_Area" localSheetId="47">'x-413'!$A$26:$N$48</definedName>
    <definedName name="_xlnm.Print_Area" localSheetId="48">'x-414'!$A$26:$N$48</definedName>
    <definedName name="_xlnm.Print_Area" localSheetId="49">'x-415'!$A$26:$N$48</definedName>
    <definedName name="_xlnm.Print_Area" localSheetId="50">'x-416'!$A$26:$N$48</definedName>
    <definedName name="_xlnm.Print_Area" localSheetId="51">'x-417'!$A$26:$N$48</definedName>
    <definedName name="_xlnm.Print_Area" localSheetId="52">'x-418'!$A$26:$N$48</definedName>
    <definedName name="_xlnm.Print_Area" localSheetId="53">'x-419'!$A$26:$N$48</definedName>
    <definedName name="_xlnm.Print_Area" localSheetId="54">'x-420'!$A$26:$N$48</definedName>
    <definedName name="_xlnm.Print_Area" localSheetId="55">'x-421'!$A$26:$N$48</definedName>
    <definedName name="_xlnm.Print_Area" localSheetId="56">'x-422'!$A$26:$N$48</definedName>
    <definedName name="_xlnm.Print_Area" localSheetId="57">'x-423'!$A$26:$N$46</definedName>
    <definedName name="_xlnm.Print_Area" localSheetId="58">'x-424'!$A$1:$G$53</definedName>
    <definedName name="_xlnm.Print_Area" localSheetId="59">'x-501'!$A$26:$N$48</definedName>
    <definedName name="_xlnm.Print_Area" localSheetId="60">'x-502'!$A$26:$N$48</definedName>
    <definedName name="_xlnm.Print_Area" localSheetId="61">'x-503'!$A$26:$N$48</definedName>
    <definedName name="_xlnm.Print_Area" localSheetId="62">'x-504'!$A$26:$N$48</definedName>
    <definedName name="_xlnm.Print_Area" localSheetId="63">'x-505'!$A$1:$G$53</definedName>
    <definedName name="_xlnm.Print_Area" localSheetId="64">'x-605'!#REF!</definedName>
    <definedName name="_xlnm.Print_Area" localSheetId="65">'x-606'!#REF!</definedName>
    <definedName name="_xlnm.Print_Area" localSheetId="66">'x-607'!$A$26:$N$48</definedName>
    <definedName name="_xlnm.Print_Area" localSheetId="67">'x-608'!$A$26:$N$48</definedName>
    <definedName name="_xlnm.Print_Area" localSheetId="68">'x-609'!$A$26:$N$44</definedName>
    <definedName name="_xlnm.Print_Area" localSheetId="69">'x-610'!$A$26:$N$44</definedName>
    <definedName name="_xlnm.Print_Area" localSheetId="70">'x-611'!$A$26:$N$48</definedName>
    <definedName name="_xlnm.Print_Area" localSheetId="71">'x-612'!$A$26:$N$44</definedName>
    <definedName name="_xlnm.Print_Area" localSheetId="72">'x-613'!$A$26:$N$44</definedName>
    <definedName name="_xlnm.Print_Area" localSheetId="73">'x-614'!$A$26:$N$48</definedName>
    <definedName name="_xlnm.Print_Area" localSheetId="74">'x-615'!$A$26:$N$48</definedName>
    <definedName name="_xlnm.Print_Area" localSheetId="75">'x-703'!$A$26:$N$48</definedName>
    <definedName name="_xlnm.Print_Area" localSheetId="76">'x-704'!$A$26:$N$48</definedName>
    <definedName name="_xlnm.Print_Area" localSheetId="77">'x-705'!$A$26:$N$48</definedName>
    <definedName name="_xlnm.Print_Area" localSheetId="78">'x-706'!$A$26:$N$48</definedName>
    <definedName name="_xlnm.Print_Area" localSheetId="79">'x-707'!$A$26:$N$48</definedName>
    <definedName name="_xlnm.Print_Area" localSheetId="80">'x-708'!$A$26:$N$48</definedName>
    <definedName name="_xlnm.Print_Area" localSheetId="81">'x-709'!$A$26:$N$48</definedName>
    <definedName name="_xlnm.Print_Area" localSheetId="82">'x-710'!$A$26:$N$48</definedName>
    <definedName name="_xlnm.Print_Area" localSheetId="83">'x-711'!$A$26:$N$48</definedName>
    <definedName name="_xlnm.Print_Area" localSheetId="84">'x-712'!$A$26:$N$48</definedName>
    <definedName name="_xlnm.Print_Area" localSheetId="85">'x-713'!$A$26:$N$48</definedName>
    <definedName name="_xlnm.Print_Area" localSheetId="86">'x-714'!$A$26:$N$48</definedName>
    <definedName name="_xlnm.Print_Area" localSheetId="87">'x-715'!$A$26:$N$48</definedName>
    <definedName name="_xlnm.Print_Area" localSheetId="88">'x-716'!$A$26:$N$48</definedName>
    <definedName name="_xlnm.Print_Area" localSheetId="89">'x-717'!$A$26:$N$48</definedName>
    <definedName name="_xlnm.Print_Area" localSheetId="90">'x-718'!$A$26:$N$48</definedName>
    <definedName name="_xlnm.Print_Area" localSheetId="91">'x-719'!$A$26:$N$48</definedName>
    <definedName name="_xlnm.Print_Area" localSheetId="92">'x-720'!$A$26:$N$48</definedName>
    <definedName name="_xlnm.Print_Area" localSheetId="93">'x-801'!$A$26:$N$48</definedName>
    <definedName name="_xlnm.Print_Area" localSheetId="94">'x-802'!$A$26:$N$48</definedName>
    <definedName name="_xlnm.Print_Area" localSheetId="95">'x-803'!$A$26:$N$48</definedName>
    <definedName name="_xlnm.Print_Area" localSheetId="96">'x-804'!$A$26:$N$48</definedName>
    <definedName name="_xlnm.Print_Area" localSheetId="97">'x-805'!$A$26:$N$48</definedName>
    <definedName name="_xlnm.Print_Area" localSheetId="98">'x-806'!$A$26:$N$48</definedName>
    <definedName name="_xlnm.Print_Area" localSheetId="99">'x-807'!$A$26:$N$48</definedName>
    <definedName name="_xlnm.Print_Area" localSheetId="100">'x-808'!$A$26:$N$48</definedName>
    <definedName name="_xlnm.Print_Area" localSheetId="101">'x-809'!$A$26:$N$48</definedName>
    <definedName name="_xlnm.Print_Area" localSheetId="102">'x-810'!$A$26:$N$48</definedName>
    <definedName name="_xlnm.Print_Area" localSheetId="103">'x-811'!$A$26:$N$48</definedName>
    <definedName name="_xlnm.Print_Area" localSheetId="104">'x-812'!$A$26:$N$48</definedName>
    <definedName name="_xlnm.Print_Area" localSheetId="105">'x-813'!$A$26:$N$48</definedName>
    <definedName name="_xlnm.Print_Area" localSheetId="106">'x-814'!$A$26:$N$48</definedName>
    <definedName name="_xlnm.Print_Area" localSheetId="107">'x-815'!$A$26:$N$48</definedName>
    <definedName name="_xlnm.Print_Area" localSheetId="108">'x-817'!$A$26:$N$48</definedName>
    <definedName name="_xlnm.Print_Area" localSheetId="109">'x-818'!$A$26:$N$48</definedName>
    <definedName name="_xlnm.Print_Area" localSheetId="110">'x-819'!$A$26:$N$48</definedName>
    <definedName name="_xlnm.Print_Area" localSheetId="111">'x-820'!$A$26:$N$48</definedName>
    <definedName name="_xlnm.Print_Area" localSheetId="112">'x-821'!$A$26:$N$48</definedName>
    <definedName name="_xlnm.Print_Area" localSheetId="113">'x-822'!$A$26:$N$48</definedName>
    <definedName name="_xlnm.Print_Area" localSheetId="114">'x-823'!$A$26:$N$48</definedName>
    <definedName name="_xlnm.Print_Area" localSheetId="115">'x-824'!$A$26:$N$48</definedName>
    <definedName name="_xlnm.Print_Area" localSheetId="116">'x-825'!$A$26:$N$48</definedName>
    <definedName name="_xlnm.Print_Area" localSheetId="117">'x-826'!$A$26:$N$48</definedName>
    <definedName name="_xlnm.Print_Area" localSheetId="118">'x-827'!$A$1:$G$82</definedName>
    <definedName name="_xlnm.Print_Area" localSheetId="5">'x-Series Number'!$A$25:$N$47</definedName>
    <definedName name="_xlnm.Print_Titles" localSheetId="25">'x-218'!$1:$21</definedName>
    <definedName name="_xlnm.Print_Titles" localSheetId="26">'x-219'!$1:$21</definedName>
    <definedName name="_xlnm.Print_Titles" localSheetId="58">'x-424'!$1:$21</definedName>
    <definedName name="_xlnm.Print_Titles" localSheetId="63">'x-505'!$1:$21</definedName>
    <definedName name="_xlnm.Print_Titles" localSheetId="118">'x-827'!$1:$21</definedName>
    <definedName name="TABLE_AGE_DEF">'x-Series Number'!$B$12</definedName>
    <definedName name="table_age_def_1" localSheetId="8">'x-101'!$B$12</definedName>
    <definedName name="table_age_def_1" localSheetId="9">'x-102'!$B$12</definedName>
    <definedName name="table_age_def_1" localSheetId="10">'x-103'!$B$12</definedName>
    <definedName name="table_age_def_1" localSheetId="11">'x-104'!$B$12</definedName>
    <definedName name="TABLE_AGE_DEF_1" localSheetId="12">'x-201'!$B$12</definedName>
    <definedName name="TABLE_AGE_DEF_1" localSheetId="13">'x-202'!$B$12</definedName>
    <definedName name="TABLE_AGE_DEF_1" localSheetId="14">'x-203'!$B$12</definedName>
    <definedName name="TABLE_AGE_DEF_1" localSheetId="15">'x-204'!$B$12</definedName>
    <definedName name="TABLE_AGE_DEF_1" localSheetId="16">'x-205'!$B$12</definedName>
    <definedName name="TABLE_AGE_DEF_1" localSheetId="17">'x-206'!$B$12</definedName>
    <definedName name="TABLE_AGE_DEF_1" localSheetId="18">'x-207'!$B$12</definedName>
    <definedName name="TABLE_AGE_DEF_1" localSheetId="19">'x-208'!$B$12</definedName>
    <definedName name="TABLE_AGE_DEF_1" localSheetId="20">'x-209'!$B$12</definedName>
    <definedName name="TABLE_AGE_DEF_1" localSheetId="21">'x-214'!$B$12</definedName>
    <definedName name="TABLE_AGE_DEF_1" localSheetId="22">'x-215'!$B$12</definedName>
    <definedName name="TABLE_AGE_DEF_1" localSheetId="23">'x-216'!$B$12</definedName>
    <definedName name="TABLE_AGE_DEF_1" localSheetId="24">'x-217'!$B$12</definedName>
    <definedName name="TABLE_AGE_DEF_1" localSheetId="25">'x-218'!$B$12</definedName>
    <definedName name="TABLE_AGE_DEF_1" localSheetId="26">'x-219'!$B$12</definedName>
    <definedName name="TABLE_AGE_DEF_1" localSheetId="27">'x-301'!$B$12</definedName>
    <definedName name="TABLE_AGE_DEF_1" localSheetId="28">'x-302'!$B$12</definedName>
    <definedName name="TABLE_AGE_DEF_1" localSheetId="29">'x-303'!$B$12</definedName>
    <definedName name="TABLE_AGE_DEF_1" localSheetId="30">'x-304'!$B$12</definedName>
    <definedName name="TABLE_AGE_DEF_1" localSheetId="31">'x-305'!$B$12</definedName>
    <definedName name="TABLE_AGE_DEF_1" localSheetId="32">'x-306'!$B$12</definedName>
    <definedName name="TABLE_AGE_DEF_1" localSheetId="33">'x-307'!$B$12</definedName>
    <definedName name="TABLE_AGE_DEF_1" localSheetId="34">'x-308'!$B$12</definedName>
    <definedName name="TABLE_AGE_DEF_1" localSheetId="35">'x-401'!$B$12</definedName>
    <definedName name="TABLE_AGE_DEF_1" localSheetId="36">'x-402'!$B$12</definedName>
    <definedName name="TABLE_AGE_DEF_1" localSheetId="37">'x-403'!$B$12</definedName>
    <definedName name="TABLE_AGE_DEF_1" localSheetId="38">'x-404'!$B$12</definedName>
    <definedName name="TABLE_AGE_DEF_1" localSheetId="39">'x-405'!$B$12</definedName>
    <definedName name="TABLE_AGE_DEF_1" localSheetId="40">'x-406'!$B$12</definedName>
    <definedName name="TABLE_AGE_DEF_1" localSheetId="41">'x-407'!$B$12</definedName>
    <definedName name="TABLE_AGE_DEF_1" localSheetId="42">'x-408'!$B$12</definedName>
    <definedName name="TABLE_AGE_DEF_1" localSheetId="43">'x-409'!$B$12</definedName>
    <definedName name="TABLE_AGE_DEF_1" localSheetId="44">'x-410'!$B$12</definedName>
    <definedName name="TABLE_AGE_DEF_1" localSheetId="45">'x-411'!$B$12</definedName>
    <definedName name="TABLE_AGE_DEF_1" localSheetId="46">'x-412'!$B$12</definedName>
    <definedName name="TABLE_AGE_DEF_1" localSheetId="47">'x-413'!$B$12</definedName>
    <definedName name="TABLE_AGE_DEF_1" localSheetId="48">'x-414'!$B$12</definedName>
    <definedName name="TABLE_AGE_DEF_1" localSheetId="49">'x-415'!$B$12</definedName>
    <definedName name="TABLE_AGE_DEF_1" localSheetId="50">'x-416'!$B$12</definedName>
    <definedName name="TABLE_AGE_DEF_1" localSheetId="51">'x-417'!$B$12</definedName>
    <definedName name="TABLE_AGE_DEF_1" localSheetId="52">'x-418'!$B$12</definedName>
    <definedName name="TABLE_AGE_DEF_1" localSheetId="53">'x-419'!$B$12</definedName>
    <definedName name="TABLE_AGE_DEF_1" localSheetId="54">'x-420'!$B$12</definedName>
    <definedName name="TABLE_AGE_DEF_1" localSheetId="55">'x-421'!$B$12</definedName>
    <definedName name="TABLE_AGE_DEF_1" localSheetId="56">'x-422'!$B$12</definedName>
    <definedName name="TABLE_AGE_DEF_1" localSheetId="57">'x-423'!$B$12</definedName>
    <definedName name="TABLE_AGE_DEF_1" localSheetId="58">'x-424'!$B$12</definedName>
    <definedName name="TABLE_AGE_DEF_1" localSheetId="59">'x-501'!$B$12</definedName>
    <definedName name="TABLE_AGE_DEF_1" localSheetId="60">'x-502'!$B$12</definedName>
    <definedName name="TABLE_AGE_DEF_1" localSheetId="61">'x-503'!$B$12</definedName>
    <definedName name="TABLE_AGE_DEF_1" localSheetId="62">'x-504'!$B$12</definedName>
    <definedName name="TABLE_AGE_DEF_1" localSheetId="63">'x-505'!$B$12</definedName>
    <definedName name="TABLE_AGE_DEF_1" localSheetId="64">'x-605'!$B$12</definedName>
    <definedName name="TABLE_AGE_DEF_1" localSheetId="65">'x-606'!$B$12</definedName>
    <definedName name="TABLE_AGE_DEF_1" localSheetId="66">'x-607'!$B$12</definedName>
    <definedName name="TABLE_AGE_DEF_1" localSheetId="67">'x-608'!$B$12</definedName>
    <definedName name="TABLE_AGE_DEF_1" localSheetId="68">'x-609'!$B$12</definedName>
    <definedName name="TABLE_AGE_DEF_1" localSheetId="69">'x-610'!$B$12</definedName>
    <definedName name="TABLE_AGE_DEF_1" localSheetId="70">'x-611'!$B$12</definedName>
    <definedName name="TABLE_AGE_DEF_1" localSheetId="71">'x-612'!$B$12</definedName>
    <definedName name="TABLE_AGE_DEF_1" localSheetId="72">'x-613'!$B$12</definedName>
    <definedName name="TABLE_AGE_DEF_1" localSheetId="73">'x-614'!$B$12</definedName>
    <definedName name="TABLE_AGE_DEF_1" localSheetId="74">'x-615'!$B$12</definedName>
    <definedName name="TABLE_AGE_DEF_1" localSheetId="75">'x-703'!$B$12</definedName>
    <definedName name="TABLE_AGE_DEF_1" localSheetId="76">'x-704'!$B$12</definedName>
    <definedName name="TABLE_AGE_DEF_1" localSheetId="77">'x-705'!$B$12</definedName>
    <definedName name="TABLE_AGE_DEF_1" localSheetId="78">'x-706'!$B$12</definedName>
    <definedName name="TABLE_AGE_DEF_1" localSheetId="79">'x-707'!$B$12</definedName>
    <definedName name="TABLE_AGE_DEF_1" localSheetId="80">'x-708'!$B$12</definedName>
    <definedName name="TABLE_AGE_DEF_1" localSheetId="81">'x-709'!$B$12</definedName>
    <definedName name="TABLE_AGE_DEF_1" localSheetId="82">'x-710'!$B$12</definedName>
    <definedName name="TABLE_AGE_DEF_1" localSheetId="83">'x-711'!$B$12</definedName>
    <definedName name="TABLE_AGE_DEF_1" localSheetId="84">'x-712'!$B$12</definedName>
    <definedName name="TABLE_AGE_DEF_1" localSheetId="85">'x-713'!$B$12</definedName>
    <definedName name="TABLE_AGE_DEF_1" localSheetId="86">'x-714'!$B$12</definedName>
    <definedName name="TABLE_AGE_DEF_1" localSheetId="87">'x-715'!$B$12</definedName>
    <definedName name="TABLE_AGE_DEF_1" localSheetId="88">'x-716'!$B$12</definedName>
    <definedName name="TABLE_AGE_DEF_1" localSheetId="89">'x-717'!$B$12</definedName>
    <definedName name="TABLE_AGE_DEF_1" localSheetId="90">'x-718'!$B$12</definedName>
    <definedName name="TABLE_AGE_DEF_1" localSheetId="91">'x-719'!$B$12</definedName>
    <definedName name="TABLE_AGE_DEF_1" localSheetId="92">'x-720'!$B$12</definedName>
    <definedName name="TABLE_AGE_DEF_1" localSheetId="93">'x-801'!$B$12</definedName>
    <definedName name="TABLE_AGE_DEF_1" localSheetId="94">'x-802'!$B$12</definedName>
    <definedName name="TABLE_AGE_DEF_1" localSheetId="95">'x-803'!$B$12</definedName>
    <definedName name="TABLE_AGE_DEF_1" localSheetId="96">'x-804'!$B$12</definedName>
    <definedName name="TABLE_AGE_DEF_1" localSheetId="97">'x-805'!$B$12</definedName>
    <definedName name="TABLE_AGE_DEF_1" localSheetId="98">'x-806'!$B$12</definedName>
    <definedName name="TABLE_AGE_DEF_1" localSheetId="99">'x-807'!$B$12</definedName>
    <definedName name="TABLE_AGE_DEF_1" localSheetId="100">'x-808'!$B$12</definedName>
    <definedName name="TABLE_AGE_DEF_1" localSheetId="101">'x-809'!$B$12</definedName>
    <definedName name="TABLE_AGE_DEF_1" localSheetId="102">'x-810'!$B$12</definedName>
    <definedName name="TABLE_AGE_DEF_1" localSheetId="103">'x-811'!$B$12</definedName>
    <definedName name="TABLE_AGE_DEF_1" localSheetId="104">'x-812'!$B$12</definedName>
    <definedName name="TABLE_AGE_DEF_1" localSheetId="105">'x-813'!$B$12</definedName>
    <definedName name="TABLE_AGE_DEF_1" localSheetId="106">'x-814'!$B$12</definedName>
    <definedName name="TABLE_AGE_DEF_1" localSheetId="107">'x-815'!$B$12</definedName>
    <definedName name="TABLE_AGE_DEF_1" localSheetId="108">'x-817'!$B$12</definedName>
    <definedName name="TABLE_AGE_DEF_1" localSheetId="109">'x-818'!$B$12</definedName>
    <definedName name="TABLE_AGE_DEF_1" localSheetId="110">'x-819'!$B$12</definedName>
    <definedName name="TABLE_AGE_DEF_1" localSheetId="111">'x-820'!$B$12</definedName>
    <definedName name="TABLE_AGE_DEF_1" localSheetId="112">'x-821'!$B$12</definedName>
    <definedName name="TABLE_AGE_DEF_1" localSheetId="113">'x-822'!$B$12</definedName>
    <definedName name="TABLE_AGE_DEF_1" localSheetId="114">'x-823'!$B$12</definedName>
    <definedName name="TABLE_AGE_DEF_1" localSheetId="115">'x-824'!$B$12</definedName>
    <definedName name="TABLE_AGE_DEF_1" localSheetId="116">'x-825'!$B$12</definedName>
    <definedName name="TABLE_AGE_DEF_1" localSheetId="117">'x-826'!$B$12</definedName>
    <definedName name="TABLE_AGE_DEF_1" localSheetId="118">'x-827'!$B$12</definedName>
    <definedName name="TABLE_AGE_DEF_2" localSheetId="15">'x-204'!$I$12</definedName>
    <definedName name="TABLE_AGE_DEF_2" localSheetId="37">'x-403'!$Q$12</definedName>
    <definedName name="TABLE_AGE_DEF_2" localSheetId="38">'x-404'!$Q$12</definedName>
    <definedName name="TABLE_AGE_DEF_2" localSheetId="43">'x-409'!$Q$12</definedName>
    <definedName name="TABLE_AGE_DEF_2" localSheetId="44">'x-410'!$Q$12</definedName>
    <definedName name="TABLE_AGE_DEF_2" localSheetId="49">'x-415'!$Q$12</definedName>
    <definedName name="TABLE_AGE_DEF_2" localSheetId="102">'x-810'!$Q$12</definedName>
    <definedName name="TABLE_AREA" localSheetId="34">'x-308'!#REF!</definedName>
    <definedName name="TABLE_AREA" localSheetId="64">'x-605'!#REF!</definedName>
    <definedName name="TABLE_AREA" localSheetId="65">'x-606'!#REF!</definedName>
    <definedName name="TABLE_AREA">'x-Series Number'!$A$25:$B$64</definedName>
    <definedName name="table_area_1" localSheetId="8">'x-101'!$A$26:$B$78</definedName>
    <definedName name="table_area_1" localSheetId="9">'x-102'!$A$26:$B$78</definedName>
    <definedName name="table_area_1" localSheetId="10">'x-103'!$A$26:$B$78</definedName>
    <definedName name="table_area_1" localSheetId="11">'x-104'!$A$26:$B$78</definedName>
    <definedName name="TABLE_AREA_1" localSheetId="12">'x-201'!$A$26:$E$64</definedName>
    <definedName name="TABLE_AREA_1" localSheetId="13">'x-202'!$A$26:$E$64</definedName>
    <definedName name="TABLE_AREA_1" localSheetId="14">'x-203'!$A$26:$E$73</definedName>
    <definedName name="TABLE_AREA_1" localSheetId="15">'x-204'!$A$26:$E$68</definedName>
    <definedName name="TABLE_AREA_1" localSheetId="16">'x-205'!$A$26:$E$46</definedName>
    <definedName name="TABLE_AREA_1" localSheetId="17">'x-206'!$A$26:$E$46</definedName>
    <definedName name="TABLE_AREA_1" localSheetId="18">'x-207'!$A$26:$E$67</definedName>
    <definedName name="TABLE_AREA_1" localSheetId="19">'x-208'!$A$26:$D$67</definedName>
    <definedName name="TABLE_AREA_1" localSheetId="20">'x-209'!$A$26:$C$76</definedName>
    <definedName name="TABLE_AREA_1" localSheetId="21">'x-214'!$A$26:$D$75</definedName>
    <definedName name="TABLE_AREA_1" localSheetId="22">'x-215'!$A$26:$D$70</definedName>
    <definedName name="TABLE_AREA_1" localSheetId="23">'x-216'!$A$26:$D$31</definedName>
    <definedName name="TABLE_AREA_1" localSheetId="24">'x-217'!$A$26:$B$78</definedName>
    <definedName name="TABLE_AREA_1" localSheetId="25">'x-218'!$A$26:$B$30</definedName>
    <definedName name="TABLE_AREA_1" localSheetId="26">'x-219'!$A$26:$B$30</definedName>
    <definedName name="TABLE_AREA_1" localSheetId="27">'x-301'!$A$26:$G$77</definedName>
    <definedName name="TABLE_AREA_1" localSheetId="28">'x-302'!$A$26:$G$102</definedName>
    <definedName name="TABLE_AREA_1" localSheetId="29">'x-303'!$A$26:$C$31</definedName>
    <definedName name="TABLE_AREA_1" localSheetId="30">'x-304'!$A$26:$E$72</definedName>
    <definedName name="TABLE_AREA_1" localSheetId="31">'x-305'!$A$26:$E$102</definedName>
    <definedName name="TABLE_AREA_1" localSheetId="32">'x-306'!$A$26:$D$67</definedName>
    <definedName name="TABLE_AREA_1" localSheetId="33">'x-307'!$A$26:$B$62</definedName>
    <definedName name="TABLE_AREA_1" localSheetId="34">'x-308'!$A$26:$B$27</definedName>
    <definedName name="TABLE_AREA_1" localSheetId="35">'x-401'!$A$26:$M$37</definedName>
    <definedName name="TABLE_AREA_1" localSheetId="36">'x-402'!$A$26:$M$42</definedName>
    <definedName name="TABLE_AREA_1" localSheetId="37">'x-403'!$A$26:$M$32</definedName>
    <definedName name="TABLE_AREA_1" localSheetId="38">'x-404'!$A$26:$M$32</definedName>
    <definedName name="TABLE_AREA_1" localSheetId="39">'x-405'!$A$26:$M$37</definedName>
    <definedName name="TABLE_AREA_1" localSheetId="40">'x-406'!$A$26:$M$42</definedName>
    <definedName name="TABLE_AREA_1" localSheetId="41">'x-407'!$A$26:$M$37</definedName>
    <definedName name="TABLE_AREA_1" localSheetId="42">'x-408'!$A$26:$M$42</definedName>
    <definedName name="TABLE_AREA_1" localSheetId="43">'x-409'!$A$26:$M$32</definedName>
    <definedName name="TABLE_AREA_1" localSheetId="44">'x-410'!$A$26:$M$32</definedName>
    <definedName name="TABLE_AREA_1" localSheetId="45">'x-411'!$A$26:$M$37</definedName>
    <definedName name="TABLE_AREA_1" localSheetId="46">'x-412'!$A$26:$M$32</definedName>
    <definedName name="TABLE_AREA_1" localSheetId="47">'x-413'!$A$26:$M$32</definedName>
    <definedName name="TABLE_AREA_1" localSheetId="48">'x-414'!$A$26:$M$32</definedName>
    <definedName name="TABLE_AREA_1" localSheetId="49">'x-415'!$A$26:$M$32</definedName>
    <definedName name="TABLE_AREA_1" localSheetId="50">'x-416'!$A$26:$M$40</definedName>
    <definedName name="TABLE_AREA_1" localSheetId="51">'x-417'!$A$26:$M$37</definedName>
    <definedName name="TABLE_AREA_1" localSheetId="52">'x-418'!$A$26:$M$37</definedName>
    <definedName name="TABLE_AREA_1" localSheetId="53">'x-419'!$A$26:$M$37</definedName>
    <definedName name="TABLE_AREA_1" localSheetId="54">'x-420'!$A$26:$M$37</definedName>
    <definedName name="TABLE_AREA_1" localSheetId="55">'x-421'!$A$26:$M$37</definedName>
    <definedName name="TABLE_AREA_1" localSheetId="56">'x-422'!$A$26:$M$37</definedName>
    <definedName name="TABLE_AREA_1" localSheetId="57">'x-423'!$A$26:$M$42</definedName>
    <definedName name="TABLE_AREA_1" localSheetId="58">'x-424'!$A$26:$B$27</definedName>
    <definedName name="TABLE_AREA_1" localSheetId="59">'x-501'!$A$26:$C$107</definedName>
    <definedName name="TABLE_AREA_1" localSheetId="60">'x-502'!$A$26:$C$107</definedName>
    <definedName name="TABLE_AREA_1" localSheetId="61">'x-503'!$A$26:$C$107</definedName>
    <definedName name="TABLE_AREA_1" localSheetId="62">'x-504'!$A$26:$B$52</definedName>
    <definedName name="TABLE_AREA_1" localSheetId="63">'x-505'!$A$26:$B$27</definedName>
    <definedName name="TABLE_AREA_1" localSheetId="64">'x-605'!#REF!</definedName>
    <definedName name="TABLE_AREA_1" localSheetId="65">'x-606'!#REF!</definedName>
    <definedName name="TABLE_AREA_1" localSheetId="66">'x-607'!$A$26:$C$81</definedName>
    <definedName name="TABLE_AREA_1" localSheetId="67">'x-608'!$A$26:$C$81</definedName>
    <definedName name="TABLE_AREA_1" localSheetId="68">'x-609'!$A$26:$M$67</definedName>
    <definedName name="TABLE_AREA_1" localSheetId="69">'x-610'!$A$26:$M$72</definedName>
    <definedName name="TABLE_AREA_1" localSheetId="70">'x-611'!$A$26:$B$81</definedName>
    <definedName name="TABLE_AREA_1" localSheetId="71">'x-612'!$A$26:$B$81</definedName>
    <definedName name="TABLE_AREA_1" localSheetId="72">'x-613'!$A$26:$B$81</definedName>
    <definedName name="TABLE_AREA_1" localSheetId="73">'x-614'!$A$26:$B$81</definedName>
    <definedName name="TABLE_AREA_1" localSheetId="74">'x-615'!$A$26:$M$66</definedName>
    <definedName name="TABLE_AREA_1" localSheetId="75">'x-703'!$A$26:$C$76</definedName>
    <definedName name="TABLE_AREA_1" localSheetId="76">'x-704'!$A$26:$U$69</definedName>
    <definedName name="TABLE_AREA_1" localSheetId="77">'x-705'!$A$26:$U$69</definedName>
    <definedName name="TABLE_AREA_1" localSheetId="78">'x-706'!$A$26:$U$74</definedName>
    <definedName name="TABLE_AREA_1" localSheetId="79">'x-707'!$A$26:$U$74</definedName>
    <definedName name="TABLE_AREA_1" localSheetId="80">'x-708'!$A$26:$U$69</definedName>
    <definedName name="TABLE_AREA_1" localSheetId="81">'x-709'!$A$26:$U$69</definedName>
    <definedName name="TABLE_AREA_1" localSheetId="82">'x-710'!$A$26:$U$74</definedName>
    <definedName name="TABLE_AREA_1" localSheetId="83">'x-711'!$A$26:$U$74</definedName>
    <definedName name="TABLE_AREA_1" localSheetId="84">'x-712'!$A$26:$U$75</definedName>
    <definedName name="TABLE_AREA_1" localSheetId="85">'x-713'!$A$26:$U$76</definedName>
    <definedName name="TABLE_AREA_1" localSheetId="86">'x-714'!$A$26:$U$77</definedName>
    <definedName name="TABLE_AREA_1" localSheetId="87">'x-715'!$A$26:$U$78</definedName>
    <definedName name="TABLE_AREA_1" localSheetId="88">'x-716'!$A$26:$U$75</definedName>
    <definedName name="TABLE_AREA_1" localSheetId="89">'x-717'!$A$26:$U$76</definedName>
    <definedName name="TABLE_AREA_1" localSheetId="90">'x-718'!$A$26:$U$77</definedName>
    <definedName name="TABLE_AREA_1" localSheetId="91">'x-719'!$A$26:$U$78</definedName>
    <definedName name="TABLE_AREA_1" localSheetId="92">'x-720'!$A$26:$D$78</definedName>
    <definedName name="TABLE_AREA_1" localSheetId="93">'x-801'!$A$26:$M$32</definedName>
    <definedName name="TABLE_AREA_1" localSheetId="94">'x-802'!$A$26:$M$78</definedName>
    <definedName name="TABLE_AREA_1" localSheetId="95">'x-803'!$A$26:$M$32</definedName>
    <definedName name="TABLE_AREA_1" localSheetId="96">'x-804'!$A$26:$M$37</definedName>
    <definedName name="TABLE_AREA_1" localSheetId="97">'x-805'!$A$26:$M$78</definedName>
    <definedName name="TABLE_AREA_1" localSheetId="98">'x-806'!$A$26:$M$37</definedName>
    <definedName name="TABLE_AREA_1" localSheetId="99">'x-807'!$A$26:$M$37</definedName>
    <definedName name="TABLE_AREA_1" localSheetId="100">'x-808'!$A$26:$M$37</definedName>
    <definedName name="TABLE_AREA_1" localSheetId="101">'x-809'!$A$26:$M$32</definedName>
    <definedName name="TABLE_AREA_1" localSheetId="102">'x-810'!$A$26:$M$32</definedName>
    <definedName name="TABLE_AREA_1" localSheetId="103">'x-811'!$A$26:$M$32</definedName>
    <definedName name="TABLE_AREA_1" localSheetId="104">'x-812'!$A$26:$M$32</definedName>
    <definedName name="TABLE_AREA_1" localSheetId="105">'x-813'!$A$26:$M$40</definedName>
    <definedName name="TABLE_AREA_1" localSheetId="106">'x-814'!$A$26:$B$52</definedName>
    <definedName name="TABLE_AREA_1" localSheetId="107">'x-815'!$A$26:$C$60</definedName>
    <definedName name="TABLE_AREA_1" localSheetId="108">'x-817'!$A$26:$M$67</definedName>
    <definedName name="TABLE_AREA_1" localSheetId="109">'x-818'!$A$26:$M$72</definedName>
    <definedName name="TABLE_AREA_1" localSheetId="110">'x-819'!$A$26:$M$67</definedName>
    <definedName name="TABLE_AREA_1" localSheetId="111">'x-820'!$A$26:$M$72</definedName>
    <definedName name="TABLE_AREA_1" localSheetId="112">'x-821'!$A$26:$M$62</definedName>
    <definedName name="TABLE_AREA_1" localSheetId="113">'x-822'!$A$26:$M$76</definedName>
    <definedName name="TABLE_AREA_1" localSheetId="114">'x-823'!$A$26:$M$60</definedName>
    <definedName name="TABLE_AREA_1" localSheetId="115">'x-824'!$A$26:$AU$104</definedName>
    <definedName name="TABLE_AREA_1" localSheetId="116">'x-825'!$A$26:$AA$104</definedName>
    <definedName name="TABLE_AREA_1" localSheetId="117">'x-826'!$A$26:$AA$95</definedName>
    <definedName name="TABLE_AREA_1" localSheetId="118">'x-827'!$A$26:$B$29</definedName>
    <definedName name="TABLE_AREA_2" localSheetId="15">'x-204'!$H$26:$L$31</definedName>
    <definedName name="TABLE_AREA_2" localSheetId="37">'x-403'!$P$26:$Q$32</definedName>
    <definedName name="TABLE_AREA_2" localSheetId="38">'x-404'!$P$26:$Q$32</definedName>
    <definedName name="TABLE_AREA_2" localSheetId="43">'x-409'!$P$26:$AB$32</definedName>
    <definedName name="TABLE_AREA_2" localSheetId="44">'x-410'!$P$26:$AB$32</definedName>
    <definedName name="TABLE_AREA_2" localSheetId="49">'x-415'!$P$26:$AB$32</definedName>
    <definedName name="TABLE_AREA_2" localSheetId="102">'x-810'!$P$26:$AB$32</definedName>
    <definedName name="TABLE_ASSUMPTION_SET_1" localSheetId="8">'x-101'!$B$21</definedName>
    <definedName name="TABLE_ASSUMPTION_SET_1" localSheetId="9">'x-102'!$B$21</definedName>
    <definedName name="TABLE_ASSUMPTION_SET_1" localSheetId="10">'x-103'!$B$21</definedName>
    <definedName name="TABLE_ASSUMPTION_SET_1" localSheetId="11">'x-104'!$B$21</definedName>
    <definedName name="TABLE_ASSUMPTION_SET_1" localSheetId="12">'x-201'!$B$21</definedName>
    <definedName name="TABLE_ASSUMPTION_SET_1" localSheetId="13">'x-202'!$B$21</definedName>
    <definedName name="TABLE_ASSUMPTION_SET_1" localSheetId="14">'x-203'!$B$21</definedName>
    <definedName name="TABLE_ASSUMPTION_SET_1" localSheetId="15">'x-204'!$B$21</definedName>
    <definedName name="TABLE_ASSUMPTION_SET_1" localSheetId="16">'x-205'!$B$21</definedName>
    <definedName name="TABLE_ASSUMPTION_SET_1" localSheetId="17">'x-206'!$B$21</definedName>
    <definedName name="TABLE_ASSUMPTION_SET_1" localSheetId="18">'x-207'!$B$21</definedName>
    <definedName name="TABLE_ASSUMPTION_SET_1" localSheetId="19">'x-208'!$B$21</definedName>
    <definedName name="TABLE_ASSUMPTION_SET_1" localSheetId="20">'x-209'!$B$21</definedName>
    <definedName name="TABLE_ASSUMPTION_SET_1" localSheetId="21">'x-214'!$B$21</definedName>
    <definedName name="TABLE_ASSUMPTION_SET_1" localSheetId="22">'x-215'!$B$21</definedName>
    <definedName name="TABLE_ASSUMPTION_SET_1" localSheetId="23">'x-216'!$B$21</definedName>
    <definedName name="TABLE_ASSUMPTION_SET_1" localSheetId="24">'x-217'!$B$21</definedName>
    <definedName name="TABLE_ASSUMPTION_SET_1" localSheetId="25">'x-218'!$B$21</definedName>
    <definedName name="TABLE_ASSUMPTION_SET_1" localSheetId="26">'x-219'!$B$21</definedName>
    <definedName name="TABLE_ASSUMPTION_SET_1" localSheetId="27">'x-301'!$B$21</definedName>
    <definedName name="TABLE_ASSUMPTION_SET_1" localSheetId="28">'x-302'!$B$21</definedName>
    <definedName name="TABLE_ASSUMPTION_SET_1" localSheetId="29">'x-303'!$B$21</definedName>
    <definedName name="TABLE_ASSUMPTION_SET_1" localSheetId="30">'x-304'!$B$21</definedName>
    <definedName name="TABLE_ASSUMPTION_SET_1" localSheetId="31">'x-305'!$B$21</definedName>
    <definedName name="TABLE_ASSUMPTION_SET_1" localSheetId="32">'x-306'!$B$21</definedName>
    <definedName name="TABLE_ASSUMPTION_SET_1" localSheetId="33">'x-307'!$B$21</definedName>
    <definedName name="TABLE_ASSUMPTION_SET_1" localSheetId="34">'x-308'!$B$21</definedName>
    <definedName name="TABLE_ASSUMPTION_SET_1" localSheetId="35">'x-401'!$B$21</definedName>
    <definedName name="TABLE_ASSUMPTION_SET_1" localSheetId="36">'x-402'!$B$21</definedName>
    <definedName name="TABLE_ASSUMPTION_SET_1" localSheetId="37">'x-403'!$B$21</definedName>
    <definedName name="TABLE_ASSUMPTION_SET_1" localSheetId="38">'x-404'!$B$21</definedName>
    <definedName name="TABLE_ASSUMPTION_SET_1" localSheetId="39">'x-405'!$B$21</definedName>
    <definedName name="TABLE_ASSUMPTION_SET_1" localSheetId="40">'x-406'!$B$21</definedName>
    <definedName name="TABLE_ASSUMPTION_SET_1" localSheetId="41">'x-407'!$B$21</definedName>
    <definedName name="TABLE_ASSUMPTION_SET_1" localSheetId="42">'x-408'!$B$21</definedName>
    <definedName name="TABLE_ASSUMPTION_SET_1" localSheetId="43">'x-409'!$B$21</definedName>
    <definedName name="TABLE_ASSUMPTION_SET_1" localSheetId="44">'x-410'!$B$21</definedName>
    <definedName name="TABLE_ASSUMPTION_SET_1" localSheetId="45">'x-411'!$B$21</definedName>
    <definedName name="TABLE_ASSUMPTION_SET_1" localSheetId="46">'x-412'!$B$21</definedName>
    <definedName name="TABLE_ASSUMPTION_SET_1" localSheetId="47">'x-413'!$B$21</definedName>
    <definedName name="TABLE_ASSUMPTION_SET_1" localSheetId="48">'x-414'!$B$21</definedName>
    <definedName name="TABLE_ASSUMPTION_SET_1" localSheetId="49">'x-415'!$B$21</definedName>
    <definedName name="TABLE_ASSUMPTION_SET_1" localSheetId="50">'x-416'!$B$21</definedName>
    <definedName name="TABLE_ASSUMPTION_SET_1" localSheetId="51">'x-417'!$B$21</definedName>
    <definedName name="TABLE_ASSUMPTION_SET_1" localSheetId="52">'x-418'!$B$21</definedName>
    <definedName name="TABLE_ASSUMPTION_SET_1" localSheetId="53">'x-419'!$B$21</definedName>
    <definedName name="TABLE_ASSUMPTION_SET_1" localSheetId="54">'x-420'!$B$21</definedName>
    <definedName name="TABLE_ASSUMPTION_SET_1" localSheetId="55">'x-421'!$B$21</definedName>
    <definedName name="TABLE_ASSUMPTION_SET_1" localSheetId="56">'x-422'!$B$21</definedName>
    <definedName name="TABLE_ASSUMPTION_SET_1" localSheetId="57">'x-423'!$B$21</definedName>
    <definedName name="TABLE_ASSUMPTION_SET_1" localSheetId="58">'x-424'!$B$21</definedName>
    <definedName name="TABLE_ASSUMPTION_SET_1" localSheetId="59">'x-501'!$B$21</definedName>
    <definedName name="TABLE_ASSUMPTION_SET_1" localSheetId="60">'x-502'!$B$21</definedName>
    <definedName name="TABLE_ASSUMPTION_SET_1" localSheetId="61">'x-503'!$B$21</definedName>
    <definedName name="TABLE_ASSUMPTION_SET_1" localSheetId="62">'x-504'!$B$21</definedName>
    <definedName name="TABLE_ASSUMPTION_SET_1" localSheetId="63">'x-505'!$B$21</definedName>
    <definedName name="TABLE_ASSUMPTION_SET_1" localSheetId="64">'x-605'!$B$21</definedName>
    <definedName name="TABLE_ASSUMPTION_SET_1" localSheetId="65">'x-606'!$B$21</definedName>
    <definedName name="TABLE_ASSUMPTION_SET_1" localSheetId="66">'x-607'!$B$21</definedName>
    <definedName name="TABLE_ASSUMPTION_SET_1" localSheetId="67">'x-608'!$B$21</definedName>
    <definedName name="TABLE_ASSUMPTION_SET_1" localSheetId="68">'x-609'!$B$21</definedName>
    <definedName name="TABLE_ASSUMPTION_SET_1" localSheetId="69">'x-610'!$B$21</definedName>
    <definedName name="TABLE_ASSUMPTION_SET_1" localSheetId="70">'x-611'!$B$21</definedName>
    <definedName name="TABLE_ASSUMPTION_SET_1" localSheetId="71">'x-612'!$B$21</definedName>
    <definedName name="TABLE_ASSUMPTION_SET_1" localSheetId="72">'x-613'!$B$21</definedName>
    <definedName name="TABLE_ASSUMPTION_SET_1" localSheetId="73">'x-614'!$B$21</definedName>
    <definedName name="TABLE_ASSUMPTION_SET_1" localSheetId="74">'x-615'!$B$21</definedName>
    <definedName name="TABLE_ASSUMPTION_SET_1" localSheetId="75">'x-703'!$B$21</definedName>
    <definedName name="TABLE_ASSUMPTION_SET_1" localSheetId="76">'x-704'!$B$21</definedName>
    <definedName name="TABLE_ASSUMPTION_SET_1" localSheetId="77">'x-705'!$B$21</definedName>
    <definedName name="TABLE_ASSUMPTION_SET_1" localSheetId="78">'x-706'!$B$21</definedName>
    <definedName name="TABLE_ASSUMPTION_SET_1" localSheetId="79">'x-707'!$B$21</definedName>
    <definedName name="TABLE_ASSUMPTION_SET_1" localSheetId="80">'x-708'!$B$21</definedName>
    <definedName name="TABLE_ASSUMPTION_SET_1" localSheetId="81">'x-709'!$B$21</definedName>
    <definedName name="TABLE_ASSUMPTION_SET_1" localSheetId="82">'x-710'!$B$21</definedName>
    <definedName name="TABLE_ASSUMPTION_SET_1" localSheetId="83">'x-711'!$B$21</definedName>
    <definedName name="TABLE_ASSUMPTION_SET_1" localSheetId="84">'x-712'!$B$21</definedName>
    <definedName name="TABLE_ASSUMPTION_SET_1" localSheetId="85">'x-713'!$B$21</definedName>
    <definedName name="TABLE_ASSUMPTION_SET_1" localSheetId="86">'x-714'!$B$21</definedName>
    <definedName name="TABLE_ASSUMPTION_SET_1" localSheetId="87">'x-715'!$B$21</definedName>
    <definedName name="TABLE_ASSUMPTION_SET_1" localSheetId="88">'x-716'!$B$21</definedName>
    <definedName name="TABLE_ASSUMPTION_SET_1" localSheetId="89">'x-717'!$B$21</definedName>
    <definedName name="TABLE_ASSUMPTION_SET_1" localSheetId="90">'x-718'!$B$21</definedName>
    <definedName name="TABLE_ASSUMPTION_SET_1" localSheetId="91">'x-719'!$B$21</definedName>
    <definedName name="TABLE_ASSUMPTION_SET_1" localSheetId="92">'x-720'!$B$21</definedName>
    <definedName name="TABLE_ASSUMPTION_SET_1" localSheetId="93">'x-801'!$B$21</definedName>
    <definedName name="TABLE_ASSUMPTION_SET_1" localSheetId="94">'x-802'!$B$21</definedName>
    <definedName name="TABLE_ASSUMPTION_SET_1" localSheetId="95">'x-803'!$B$21</definedName>
    <definedName name="TABLE_ASSUMPTION_SET_1" localSheetId="96">'x-804'!$B$21</definedName>
    <definedName name="TABLE_ASSUMPTION_SET_1" localSheetId="97">'x-805'!$B$21</definedName>
    <definedName name="TABLE_ASSUMPTION_SET_1" localSheetId="98">'x-806'!$B$21</definedName>
    <definedName name="TABLE_ASSUMPTION_SET_1" localSheetId="99">'x-807'!$B$21</definedName>
    <definedName name="TABLE_ASSUMPTION_SET_1" localSheetId="100">'x-808'!$B$21</definedName>
    <definedName name="TABLE_ASSUMPTION_SET_1" localSheetId="101">'x-809'!$B$21</definedName>
    <definedName name="TABLE_ASSUMPTION_SET_1" localSheetId="102">'x-810'!$B$21</definedName>
    <definedName name="TABLE_ASSUMPTION_SET_1" localSheetId="103">'x-811'!$B$21</definedName>
    <definedName name="TABLE_ASSUMPTION_SET_1" localSheetId="104">'x-812'!$B$21</definedName>
    <definedName name="TABLE_ASSUMPTION_SET_1" localSheetId="105">'x-813'!$B$21</definedName>
    <definedName name="TABLE_ASSUMPTION_SET_1" localSheetId="106">'x-814'!$B$21</definedName>
    <definedName name="TABLE_ASSUMPTION_SET_1" localSheetId="107">'x-815'!$B$21</definedName>
    <definedName name="TABLE_ASSUMPTION_SET_1" localSheetId="108">'x-817'!$B$21</definedName>
    <definedName name="TABLE_ASSUMPTION_SET_1" localSheetId="109">'x-818'!$B$21</definedName>
    <definedName name="TABLE_ASSUMPTION_SET_1" localSheetId="110">'x-819'!$B$21</definedName>
    <definedName name="TABLE_ASSUMPTION_SET_1" localSheetId="111">'x-820'!$B$21</definedName>
    <definedName name="TABLE_ASSUMPTION_SET_1" localSheetId="112">'x-821'!$B$21</definedName>
    <definedName name="TABLE_ASSUMPTION_SET_1" localSheetId="113">'x-822'!$B$21</definedName>
    <definedName name="TABLE_ASSUMPTION_SET_1" localSheetId="114">'x-823'!$B$21</definedName>
    <definedName name="TABLE_ASSUMPTION_SET_1" localSheetId="115">'x-824'!$B$21</definedName>
    <definedName name="TABLE_ASSUMPTION_SET_1" localSheetId="116">'x-825'!$B$21</definedName>
    <definedName name="TABLE_ASSUMPTION_SET_1" localSheetId="117">'x-826'!$B$21</definedName>
    <definedName name="TABLE_ASSUMPTION_SET_1" localSheetId="118">'x-827'!$B$21</definedName>
    <definedName name="TABLE_ASSUMPTION_SET_2" localSheetId="15">'x-204'!$I$21</definedName>
    <definedName name="TABLE_ASSUMPTION_SET_2" localSheetId="37">'x-403'!$Q$21</definedName>
    <definedName name="TABLE_ASSUMPTION_SET_2" localSheetId="38">'x-404'!$Q$21</definedName>
    <definedName name="TABLE_ASSUMPTION_SET_2" localSheetId="43">'x-409'!$Q$21</definedName>
    <definedName name="TABLE_ASSUMPTION_SET_2" localSheetId="44">'x-410'!$Q$21</definedName>
    <definedName name="TABLE_ASSUMPTION_SET_2" localSheetId="49">'x-415'!$Q$21</definedName>
    <definedName name="TABLE_ASSUMPTION_SET_2" localSheetId="102">'x-810'!$Q$21</definedName>
    <definedName name="TABLE_CLIENT">'x-Series Number'!$B$7</definedName>
    <definedName name="table_client_1" localSheetId="8">'x-101'!$B$7</definedName>
    <definedName name="table_client_1" localSheetId="9">'x-102'!$B$7</definedName>
    <definedName name="table_client_1" localSheetId="10">'x-103'!$B$7</definedName>
    <definedName name="table_client_1" localSheetId="11">'x-104'!$B$7</definedName>
    <definedName name="TABLE_CLIENT_1" localSheetId="12">'x-201'!$B$7</definedName>
    <definedName name="TABLE_CLIENT_1" localSheetId="13">'x-202'!$B$7</definedName>
    <definedName name="TABLE_CLIENT_1" localSheetId="14">'x-203'!$B$7</definedName>
    <definedName name="TABLE_CLIENT_1" localSheetId="15">'x-204'!$B$7</definedName>
    <definedName name="TABLE_CLIENT_1" localSheetId="16">'x-205'!$B$7</definedName>
    <definedName name="TABLE_CLIENT_1" localSheetId="17">'x-206'!$B$7</definedName>
    <definedName name="TABLE_CLIENT_1" localSheetId="18">'x-207'!$B$7</definedName>
    <definedName name="TABLE_CLIENT_1" localSheetId="19">'x-208'!$B$7</definedName>
    <definedName name="TABLE_CLIENT_1" localSheetId="20">'x-209'!$B$7</definedName>
    <definedName name="TABLE_CLIENT_1" localSheetId="21">'x-214'!$B$7</definedName>
    <definedName name="TABLE_CLIENT_1" localSheetId="22">'x-215'!$B$7</definedName>
    <definedName name="TABLE_CLIENT_1" localSheetId="23">'x-216'!$B$7</definedName>
    <definedName name="TABLE_CLIENT_1" localSheetId="24">'x-217'!$B$7</definedName>
    <definedName name="TABLE_CLIENT_1" localSheetId="25">'x-218'!$B$7</definedName>
    <definedName name="TABLE_CLIENT_1" localSheetId="26">'x-219'!$B$7</definedName>
    <definedName name="TABLE_CLIENT_1" localSheetId="27">'x-301'!$B$7</definedName>
    <definedName name="TABLE_CLIENT_1" localSheetId="28">'x-302'!$B$7</definedName>
    <definedName name="TABLE_CLIENT_1" localSheetId="29">'x-303'!$B$7</definedName>
    <definedName name="TABLE_CLIENT_1" localSheetId="30">'x-304'!$B$7</definedName>
    <definedName name="TABLE_CLIENT_1" localSheetId="31">'x-305'!$B$7</definedName>
    <definedName name="TABLE_CLIENT_1" localSheetId="32">'x-306'!$B$7</definedName>
    <definedName name="TABLE_CLIENT_1" localSheetId="33">'x-307'!$B$7</definedName>
    <definedName name="TABLE_CLIENT_1" localSheetId="34">'x-308'!$B$7</definedName>
    <definedName name="TABLE_CLIENT_1" localSheetId="35">'x-401'!$B$7</definedName>
    <definedName name="TABLE_CLIENT_1" localSheetId="36">'x-402'!$B$7</definedName>
    <definedName name="TABLE_CLIENT_1" localSheetId="37">'x-403'!$B$7</definedName>
    <definedName name="TABLE_CLIENT_1" localSheetId="38">'x-404'!$B$7</definedName>
    <definedName name="TABLE_CLIENT_1" localSheetId="39">'x-405'!$B$7</definedName>
    <definedName name="TABLE_CLIENT_1" localSheetId="40">'x-406'!$B$7</definedName>
    <definedName name="TABLE_CLIENT_1" localSheetId="41">'x-407'!$B$7</definedName>
    <definedName name="TABLE_CLIENT_1" localSheetId="42">'x-408'!$B$7</definedName>
    <definedName name="TABLE_CLIENT_1" localSheetId="43">'x-409'!$B$7</definedName>
    <definedName name="TABLE_CLIENT_1" localSheetId="44">'x-410'!$B$7</definedName>
    <definedName name="TABLE_CLIENT_1" localSheetId="45">'x-411'!$B$7</definedName>
    <definedName name="TABLE_CLIENT_1" localSheetId="46">'x-412'!$B$7</definedName>
    <definedName name="TABLE_CLIENT_1" localSheetId="47">'x-413'!$B$7</definedName>
    <definedName name="TABLE_CLIENT_1" localSheetId="48">'x-414'!$B$7</definedName>
    <definedName name="TABLE_CLIENT_1" localSheetId="49">'x-415'!$B$7</definedName>
    <definedName name="TABLE_CLIENT_1" localSheetId="50">'x-416'!$B$7</definedName>
    <definedName name="TABLE_CLIENT_1" localSheetId="51">'x-417'!$B$7</definedName>
    <definedName name="TABLE_CLIENT_1" localSheetId="52">'x-418'!$B$7</definedName>
    <definedName name="TABLE_CLIENT_1" localSheetId="53">'x-419'!$B$7</definedName>
    <definedName name="TABLE_CLIENT_1" localSheetId="54">'x-420'!$B$7</definedName>
    <definedName name="TABLE_CLIENT_1" localSheetId="55">'x-421'!$B$7</definedName>
    <definedName name="TABLE_CLIENT_1" localSheetId="56">'x-422'!$B$7</definedName>
    <definedName name="TABLE_CLIENT_1" localSheetId="57">'x-423'!$B$7</definedName>
    <definedName name="TABLE_CLIENT_1" localSheetId="58">'x-424'!$B$7</definedName>
    <definedName name="TABLE_CLIENT_1" localSheetId="59">'x-501'!$B$7</definedName>
    <definedName name="TABLE_CLIENT_1" localSheetId="60">'x-502'!$B$7</definedName>
    <definedName name="TABLE_CLIENT_1" localSheetId="61">'x-503'!$B$7</definedName>
    <definedName name="TABLE_CLIENT_1" localSheetId="62">'x-504'!$B$7</definedName>
    <definedName name="TABLE_CLIENT_1" localSheetId="63">'x-505'!$B$7</definedName>
    <definedName name="TABLE_CLIENT_1" localSheetId="64">'x-605'!$B$7</definedName>
    <definedName name="TABLE_CLIENT_1" localSheetId="65">'x-606'!$B$7</definedName>
    <definedName name="TABLE_CLIENT_1" localSheetId="66">'x-607'!$B$7</definedName>
    <definedName name="TABLE_CLIENT_1" localSheetId="67">'x-608'!$B$7</definedName>
    <definedName name="TABLE_CLIENT_1" localSheetId="68">'x-609'!$B$7</definedName>
    <definedName name="TABLE_CLIENT_1" localSheetId="69">'x-610'!$B$7</definedName>
    <definedName name="TABLE_CLIENT_1" localSheetId="70">'x-611'!$B$7</definedName>
    <definedName name="TABLE_CLIENT_1" localSheetId="71">'x-612'!$B$7</definedName>
    <definedName name="TABLE_CLIENT_1" localSheetId="72">'x-613'!$B$7</definedName>
    <definedName name="TABLE_CLIENT_1" localSheetId="73">'x-614'!$B$7</definedName>
    <definedName name="TABLE_CLIENT_1" localSheetId="74">'x-615'!$B$7</definedName>
    <definedName name="TABLE_CLIENT_1" localSheetId="75">'x-703'!$B$7</definedName>
    <definedName name="TABLE_CLIENT_1" localSheetId="76">'x-704'!$B$7</definedName>
    <definedName name="TABLE_CLIENT_1" localSheetId="77">'x-705'!$B$7</definedName>
    <definedName name="TABLE_CLIENT_1" localSheetId="78">'x-706'!$B$7</definedName>
    <definedName name="TABLE_CLIENT_1" localSheetId="79">'x-707'!$B$7</definedName>
    <definedName name="TABLE_CLIENT_1" localSheetId="80">'x-708'!$B$7</definedName>
    <definedName name="TABLE_CLIENT_1" localSheetId="81">'x-709'!$B$7</definedName>
    <definedName name="TABLE_CLIENT_1" localSheetId="82">'x-710'!$B$7</definedName>
    <definedName name="TABLE_CLIENT_1" localSheetId="83">'x-711'!$B$7</definedName>
    <definedName name="TABLE_CLIENT_1" localSheetId="84">'x-712'!$B$7</definedName>
    <definedName name="TABLE_CLIENT_1" localSheetId="85">'x-713'!$B$7</definedName>
    <definedName name="TABLE_CLIENT_1" localSheetId="86">'x-714'!$B$7</definedName>
    <definedName name="TABLE_CLIENT_1" localSheetId="87">'x-715'!$B$7</definedName>
    <definedName name="TABLE_CLIENT_1" localSheetId="88">'x-716'!$B$7</definedName>
    <definedName name="TABLE_CLIENT_1" localSheetId="89">'x-717'!$B$7</definedName>
    <definedName name="TABLE_CLIENT_1" localSheetId="90">'x-718'!$B$7</definedName>
    <definedName name="TABLE_CLIENT_1" localSheetId="91">'x-719'!$B$7</definedName>
    <definedName name="TABLE_CLIENT_1" localSheetId="92">'x-720'!$B$7</definedName>
    <definedName name="TABLE_CLIENT_1" localSheetId="93">'x-801'!$B$7</definedName>
    <definedName name="TABLE_CLIENT_1" localSheetId="94">'x-802'!$B$7</definedName>
    <definedName name="TABLE_CLIENT_1" localSheetId="95">'x-803'!$B$7</definedName>
    <definedName name="TABLE_CLIENT_1" localSheetId="96">'x-804'!$B$7</definedName>
    <definedName name="TABLE_CLIENT_1" localSheetId="97">'x-805'!$B$7</definedName>
    <definedName name="TABLE_CLIENT_1" localSheetId="98">'x-806'!$B$7</definedName>
    <definedName name="TABLE_CLIENT_1" localSheetId="99">'x-807'!$B$7</definedName>
    <definedName name="TABLE_CLIENT_1" localSheetId="100">'x-808'!$B$7</definedName>
    <definedName name="TABLE_CLIENT_1" localSheetId="101">'x-809'!$B$7</definedName>
    <definedName name="TABLE_CLIENT_1" localSheetId="102">'x-810'!$B$7</definedName>
    <definedName name="TABLE_CLIENT_1" localSheetId="103">'x-811'!$B$7</definedName>
    <definedName name="TABLE_CLIENT_1" localSheetId="104">'x-812'!$B$7</definedName>
    <definedName name="TABLE_CLIENT_1" localSheetId="105">'x-813'!$B$7</definedName>
    <definedName name="TABLE_CLIENT_1" localSheetId="106">'x-814'!$B$7</definedName>
    <definedName name="TABLE_CLIENT_1" localSheetId="107">'x-815'!$B$7</definedName>
    <definedName name="TABLE_CLIENT_1" localSheetId="108">'x-817'!$B$7</definedName>
    <definedName name="TABLE_CLIENT_1" localSheetId="109">'x-818'!$B$7</definedName>
    <definedName name="TABLE_CLIENT_1" localSheetId="110">'x-819'!$B$7</definedName>
    <definedName name="TABLE_CLIENT_1" localSheetId="111">'x-820'!$B$7</definedName>
    <definedName name="TABLE_CLIENT_1" localSheetId="112">'x-821'!$B$7</definedName>
    <definedName name="TABLE_CLIENT_1" localSheetId="113">'x-822'!$B$7</definedName>
    <definedName name="TABLE_CLIENT_1" localSheetId="114">'x-823'!$B$7</definedName>
    <definedName name="TABLE_CLIENT_1" localSheetId="115">'x-824'!$B$7</definedName>
    <definedName name="TABLE_CLIENT_1" localSheetId="116">'x-825'!$B$7</definedName>
    <definedName name="TABLE_CLIENT_1" localSheetId="117">'x-826'!$B$7</definedName>
    <definedName name="TABLE_CLIENT_1" localSheetId="118">'x-827'!$B$7</definedName>
    <definedName name="TABLE_CLIENT_2" localSheetId="15">'x-204'!$I$7</definedName>
    <definedName name="TABLE_CLIENT_2" localSheetId="37">'x-403'!$Q$7</definedName>
    <definedName name="TABLE_CLIENT_2" localSheetId="38">'x-404'!$Q$7</definedName>
    <definedName name="TABLE_CLIENT_2" localSheetId="43">'x-409'!$Q$7</definedName>
    <definedName name="TABLE_CLIENT_2" localSheetId="44">'x-410'!$Q$7</definedName>
    <definedName name="TABLE_CLIENT_2" localSheetId="49">'x-415'!$Q$7</definedName>
    <definedName name="TABLE_CLIENT_2" localSheetId="102">'x-810'!$Q$7</definedName>
    <definedName name="TABLE_DATE_IMPLEMENTED">'x-Series Number'!$B$19</definedName>
    <definedName name="table_date_implemented_1" localSheetId="8">'x-101'!$B$19</definedName>
    <definedName name="table_date_implemented_1" localSheetId="9">'x-102'!$B$19</definedName>
    <definedName name="table_date_implemented_1" localSheetId="10">'x-103'!$B$19</definedName>
    <definedName name="table_date_implemented_1" localSheetId="11">'x-104'!$B$19</definedName>
    <definedName name="TABLE_DATE_IMPLEMENTED_1" localSheetId="12">'x-201'!$B$19</definedName>
    <definedName name="TABLE_DATE_IMPLEMENTED_1" localSheetId="13">'x-202'!$B$19</definedName>
    <definedName name="TABLE_DATE_IMPLEMENTED_1" localSheetId="14">'x-203'!$B$19</definedName>
    <definedName name="TABLE_DATE_IMPLEMENTED_1" localSheetId="15">'x-204'!$B$19</definedName>
    <definedName name="TABLE_DATE_IMPLEMENTED_1" localSheetId="16">'x-205'!$B$19</definedName>
    <definedName name="TABLE_DATE_IMPLEMENTED_1" localSheetId="17">'x-206'!$B$19</definedName>
    <definedName name="TABLE_DATE_IMPLEMENTED_1" localSheetId="18">'x-207'!$B$19</definedName>
    <definedName name="TABLE_DATE_IMPLEMENTED_1" localSheetId="19">'x-208'!$B$19</definedName>
    <definedName name="TABLE_DATE_IMPLEMENTED_1" localSheetId="20">'x-209'!$B$19</definedName>
    <definedName name="TABLE_DATE_IMPLEMENTED_1" localSheetId="21">'x-214'!$B$19</definedName>
    <definedName name="TABLE_DATE_IMPLEMENTED_1" localSheetId="22">'x-215'!$B$19</definedName>
    <definedName name="TABLE_DATE_IMPLEMENTED_1" localSheetId="23">'x-216'!$B$19</definedName>
    <definedName name="TABLE_DATE_IMPLEMENTED_1" localSheetId="24">'x-217'!$B$19</definedName>
    <definedName name="TABLE_DATE_IMPLEMENTED_1" localSheetId="25">'x-218'!$B$19</definedName>
    <definedName name="TABLE_DATE_IMPLEMENTED_1" localSheetId="26">'x-219'!$B$19</definedName>
    <definedName name="TABLE_DATE_IMPLEMENTED_1" localSheetId="27">'x-301'!$B$19</definedName>
    <definedName name="TABLE_DATE_IMPLEMENTED_1" localSheetId="28">'x-302'!$B$19</definedName>
    <definedName name="TABLE_DATE_IMPLEMENTED_1" localSheetId="29">'x-303'!$B$19</definedName>
    <definedName name="TABLE_DATE_IMPLEMENTED_1" localSheetId="30">'x-304'!$B$19</definedName>
    <definedName name="TABLE_DATE_IMPLEMENTED_1" localSheetId="31">'x-305'!$B$19</definedName>
    <definedName name="TABLE_DATE_IMPLEMENTED_1" localSheetId="32">'x-306'!$B$19</definedName>
    <definedName name="TABLE_DATE_IMPLEMENTED_1" localSheetId="33">'x-307'!$B$19</definedName>
    <definedName name="TABLE_DATE_IMPLEMENTED_1" localSheetId="34">'x-308'!$B$19</definedName>
    <definedName name="TABLE_DATE_IMPLEMENTED_1" localSheetId="35">'x-401'!$B$19</definedName>
    <definedName name="TABLE_DATE_IMPLEMENTED_1" localSheetId="36">'x-402'!$B$19</definedName>
    <definedName name="TABLE_DATE_IMPLEMENTED_1" localSheetId="37">'x-403'!$B$19</definedName>
    <definedName name="TABLE_DATE_IMPLEMENTED_1" localSheetId="38">'x-404'!$B$19</definedName>
    <definedName name="TABLE_DATE_IMPLEMENTED_1" localSheetId="39">'x-405'!$B$19</definedName>
    <definedName name="TABLE_DATE_IMPLEMENTED_1" localSheetId="40">'x-406'!$B$19</definedName>
    <definedName name="TABLE_DATE_IMPLEMENTED_1" localSheetId="41">'x-407'!$B$19</definedName>
    <definedName name="TABLE_DATE_IMPLEMENTED_1" localSheetId="42">'x-408'!$B$19</definedName>
    <definedName name="TABLE_DATE_IMPLEMENTED_1" localSheetId="43">'x-409'!$B$19</definedName>
    <definedName name="TABLE_DATE_IMPLEMENTED_1" localSheetId="44">'x-410'!$B$19</definedName>
    <definedName name="TABLE_DATE_IMPLEMENTED_1" localSheetId="45">'x-411'!$B$19</definedName>
    <definedName name="TABLE_DATE_IMPLEMENTED_1" localSheetId="46">'x-412'!$B$19</definedName>
    <definedName name="TABLE_DATE_IMPLEMENTED_1" localSheetId="47">'x-413'!$B$19</definedName>
    <definedName name="TABLE_DATE_IMPLEMENTED_1" localSheetId="48">'x-414'!$B$19</definedName>
    <definedName name="TABLE_DATE_IMPLEMENTED_1" localSheetId="49">'x-415'!$B$19</definedName>
    <definedName name="TABLE_DATE_IMPLEMENTED_1" localSheetId="50">'x-416'!$B$19</definedName>
    <definedName name="TABLE_DATE_IMPLEMENTED_1" localSheetId="51">'x-417'!$B$19</definedName>
    <definedName name="TABLE_DATE_IMPLEMENTED_1" localSheetId="52">'x-418'!$B$19</definedName>
    <definedName name="TABLE_DATE_IMPLEMENTED_1" localSheetId="53">'x-419'!$B$19</definedName>
    <definedName name="TABLE_DATE_IMPLEMENTED_1" localSheetId="54">'x-420'!$B$19</definedName>
    <definedName name="TABLE_DATE_IMPLEMENTED_1" localSheetId="55">'x-421'!$B$19</definedName>
    <definedName name="TABLE_DATE_IMPLEMENTED_1" localSheetId="56">'x-422'!$B$19</definedName>
    <definedName name="TABLE_DATE_IMPLEMENTED_1" localSheetId="57">'x-423'!$B$19</definedName>
    <definedName name="TABLE_DATE_IMPLEMENTED_1" localSheetId="58">'x-424'!$B$19</definedName>
    <definedName name="TABLE_DATE_IMPLEMENTED_1" localSheetId="59">'x-501'!$B$19</definedName>
    <definedName name="TABLE_DATE_IMPLEMENTED_1" localSheetId="60">'x-502'!$B$19</definedName>
    <definedName name="TABLE_DATE_IMPLEMENTED_1" localSheetId="61">'x-503'!$B$19</definedName>
    <definedName name="TABLE_DATE_IMPLEMENTED_1" localSheetId="62">'x-504'!$B$19</definedName>
    <definedName name="TABLE_DATE_IMPLEMENTED_1" localSheetId="63">'x-505'!$B$19</definedName>
    <definedName name="TABLE_DATE_IMPLEMENTED_1" localSheetId="64">'x-605'!$B$19</definedName>
    <definedName name="TABLE_DATE_IMPLEMENTED_1" localSheetId="65">'x-606'!$B$19</definedName>
    <definedName name="TABLE_DATE_IMPLEMENTED_1" localSheetId="66">'x-607'!$B$19</definedName>
    <definedName name="TABLE_DATE_IMPLEMENTED_1" localSheetId="67">'x-608'!$B$19</definedName>
    <definedName name="TABLE_DATE_IMPLEMENTED_1" localSheetId="68">'x-609'!$B$19</definedName>
    <definedName name="TABLE_DATE_IMPLEMENTED_1" localSheetId="69">'x-610'!$B$19</definedName>
    <definedName name="TABLE_DATE_IMPLEMENTED_1" localSheetId="70">'x-611'!$B$19</definedName>
    <definedName name="TABLE_DATE_IMPLEMENTED_1" localSheetId="71">'x-612'!$B$19</definedName>
    <definedName name="TABLE_DATE_IMPLEMENTED_1" localSheetId="72">'x-613'!$B$19</definedName>
    <definedName name="TABLE_DATE_IMPLEMENTED_1" localSheetId="73">'x-614'!$B$19</definedName>
    <definedName name="TABLE_DATE_IMPLEMENTED_1" localSheetId="74">'x-615'!$B$19</definedName>
    <definedName name="TABLE_DATE_IMPLEMENTED_1" localSheetId="75">'x-703'!$B$19</definedName>
    <definedName name="TABLE_DATE_IMPLEMENTED_1" localSheetId="76">'x-704'!$B$19</definedName>
    <definedName name="TABLE_DATE_IMPLEMENTED_1" localSheetId="77">'x-705'!$B$19</definedName>
    <definedName name="TABLE_DATE_IMPLEMENTED_1" localSheetId="78">'x-706'!$B$19</definedName>
    <definedName name="TABLE_DATE_IMPLEMENTED_1" localSheetId="79">'x-707'!$B$19</definedName>
    <definedName name="TABLE_DATE_IMPLEMENTED_1" localSheetId="80">'x-708'!$B$19</definedName>
    <definedName name="TABLE_DATE_IMPLEMENTED_1" localSheetId="81">'x-709'!$B$19</definedName>
    <definedName name="TABLE_DATE_IMPLEMENTED_1" localSheetId="82">'x-710'!$B$19</definedName>
    <definedName name="TABLE_DATE_IMPLEMENTED_1" localSheetId="83">'x-711'!$B$19</definedName>
    <definedName name="TABLE_DATE_IMPLEMENTED_1" localSheetId="84">'x-712'!$B$19</definedName>
    <definedName name="TABLE_DATE_IMPLEMENTED_1" localSheetId="85">'x-713'!$B$19</definedName>
    <definedName name="TABLE_DATE_IMPLEMENTED_1" localSheetId="86">'x-714'!$B$19</definedName>
    <definedName name="TABLE_DATE_IMPLEMENTED_1" localSheetId="87">'x-715'!$B$19</definedName>
    <definedName name="TABLE_DATE_IMPLEMENTED_1" localSheetId="88">'x-716'!$B$19</definedName>
    <definedName name="TABLE_DATE_IMPLEMENTED_1" localSheetId="89">'x-717'!$B$19</definedName>
    <definedName name="TABLE_DATE_IMPLEMENTED_1" localSheetId="90">'x-718'!$B$19</definedName>
    <definedName name="TABLE_DATE_IMPLEMENTED_1" localSheetId="91">'x-719'!$B$19</definedName>
    <definedName name="TABLE_DATE_IMPLEMENTED_1" localSheetId="92">'x-720'!$B$19</definedName>
    <definedName name="TABLE_DATE_IMPLEMENTED_1" localSheetId="93">'x-801'!$B$19</definedName>
    <definedName name="TABLE_DATE_IMPLEMENTED_1" localSheetId="94">'x-802'!$B$19</definedName>
    <definedName name="TABLE_DATE_IMPLEMENTED_1" localSheetId="95">'x-803'!$B$19</definedName>
    <definedName name="TABLE_DATE_IMPLEMENTED_1" localSheetId="96">'x-804'!$B$19</definedName>
    <definedName name="TABLE_DATE_IMPLEMENTED_1" localSheetId="97">'x-805'!$B$19</definedName>
    <definedName name="TABLE_DATE_IMPLEMENTED_1" localSheetId="98">'x-806'!$B$19</definedName>
    <definedName name="TABLE_DATE_IMPLEMENTED_1" localSheetId="99">'x-807'!$B$19</definedName>
    <definedName name="TABLE_DATE_IMPLEMENTED_1" localSheetId="100">'x-808'!$B$19</definedName>
    <definedName name="TABLE_DATE_IMPLEMENTED_1" localSheetId="101">'x-809'!$B$19</definedName>
    <definedName name="TABLE_DATE_IMPLEMENTED_1" localSheetId="102">'x-810'!$B$19</definedName>
    <definedName name="TABLE_DATE_IMPLEMENTED_1" localSheetId="103">'x-811'!$B$19</definedName>
    <definedName name="TABLE_DATE_IMPLEMENTED_1" localSheetId="104">'x-812'!$B$19</definedName>
    <definedName name="TABLE_DATE_IMPLEMENTED_1" localSheetId="105">'x-813'!$B$19</definedName>
    <definedName name="TABLE_DATE_IMPLEMENTED_1" localSheetId="106">'x-814'!$B$19</definedName>
    <definedName name="TABLE_DATE_IMPLEMENTED_1" localSheetId="107">'x-815'!$B$19</definedName>
    <definedName name="TABLE_DATE_IMPLEMENTED_1" localSheetId="108">'x-817'!$B$19</definedName>
    <definedName name="TABLE_DATE_IMPLEMENTED_1" localSheetId="109">'x-818'!$B$19</definedName>
    <definedName name="TABLE_DATE_IMPLEMENTED_1" localSheetId="110">'x-819'!$B$19</definedName>
    <definedName name="TABLE_DATE_IMPLEMENTED_1" localSheetId="111">'x-820'!$B$19</definedName>
    <definedName name="TABLE_DATE_IMPLEMENTED_1" localSheetId="112">'x-821'!$B$19</definedName>
    <definedName name="TABLE_DATE_IMPLEMENTED_1" localSheetId="113">'x-822'!$B$19</definedName>
    <definedName name="TABLE_DATE_IMPLEMENTED_1" localSheetId="114">'x-823'!$B$19</definedName>
    <definedName name="TABLE_DATE_IMPLEMENTED_1" localSheetId="115">'x-824'!$B$19</definedName>
    <definedName name="TABLE_DATE_IMPLEMENTED_1" localSheetId="116">'x-825'!$B$19</definedName>
    <definedName name="TABLE_DATE_IMPLEMENTED_1" localSheetId="117">'x-826'!$B$19</definedName>
    <definedName name="TABLE_DATE_IMPLEMENTED_1" localSheetId="118">'x-827'!$B$19</definedName>
    <definedName name="TABLE_DATE_IMPLEMENTED_2" localSheetId="15">'x-204'!$I$19</definedName>
    <definedName name="TABLE_DATE_IMPLEMENTED_2" localSheetId="37">'x-403'!$Q$19</definedName>
    <definedName name="TABLE_DATE_IMPLEMENTED_2" localSheetId="38">'x-404'!$Q$19</definedName>
    <definedName name="TABLE_DATE_IMPLEMENTED_2" localSheetId="43">'x-409'!$Q$19</definedName>
    <definedName name="TABLE_DATE_IMPLEMENTED_2" localSheetId="44">'x-410'!$Q$19</definedName>
    <definedName name="TABLE_DATE_IMPLEMENTED_2" localSheetId="49">'x-415'!$Q$19</definedName>
    <definedName name="TABLE_DATE_IMPLEMENTED_2" localSheetId="102">'x-810'!$Q$19</definedName>
    <definedName name="TABLE_DATE_ISSUED">'x-Series Number'!$B$18</definedName>
    <definedName name="table_date_issued_1" localSheetId="8">'x-101'!$B$18</definedName>
    <definedName name="table_date_issued_1" localSheetId="9">'x-102'!$B$18</definedName>
    <definedName name="table_date_issued_1" localSheetId="10">'x-103'!$B$18</definedName>
    <definedName name="table_date_issued_1" localSheetId="11">'x-104'!$B$18</definedName>
    <definedName name="TABLE_DATE_ISSUED_1" localSheetId="12">'x-201'!$B$18</definedName>
    <definedName name="TABLE_DATE_ISSUED_1" localSheetId="13">'x-202'!$B$18</definedName>
    <definedName name="TABLE_DATE_ISSUED_1" localSheetId="14">'x-203'!$B$18</definedName>
    <definedName name="TABLE_DATE_ISSUED_1" localSheetId="15">'x-204'!$B$18</definedName>
    <definedName name="TABLE_DATE_ISSUED_1" localSheetId="16">'x-205'!$B$18</definedName>
    <definedName name="TABLE_DATE_ISSUED_1" localSheetId="17">'x-206'!$B$18</definedName>
    <definedName name="TABLE_DATE_ISSUED_1" localSheetId="18">'x-207'!$B$18</definedName>
    <definedName name="TABLE_DATE_ISSUED_1" localSheetId="19">'x-208'!$B$18</definedName>
    <definedName name="TABLE_DATE_ISSUED_1" localSheetId="20">'x-209'!$B$18</definedName>
    <definedName name="TABLE_DATE_ISSUED_1" localSheetId="21">'x-214'!$B$18</definedName>
    <definedName name="TABLE_DATE_ISSUED_1" localSheetId="22">'x-215'!$B$18</definedName>
    <definedName name="TABLE_DATE_ISSUED_1" localSheetId="23">'x-216'!$B$18</definedName>
    <definedName name="TABLE_DATE_ISSUED_1" localSheetId="24">'x-217'!$B$18</definedName>
    <definedName name="TABLE_DATE_ISSUED_1" localSheetId="25">'x-218'!$B$18</definedName>
    <definedName name="TABLE_DATE_ISSUED_1" localSheetId="26">'x-219'!$B$18</definedName>
    <definedName name="TABLE_DATE_ISSUED_1" localSheetId="27">'x-301'!$B$18</definedName>
    <definedName name="TABLE_DATE_ISSUED_1" localSheetId="28">'x-302'!$B$18</definedName>
    <definedName name="TABLE_DATE_ISSUED_1" localSheetId="29">'x-303'!$B$18</definedName>
    <definedName name="TABLE_DATE_ISSUED_1" localSheetId="30">'x-304'!$B$18</definedName>
    <definedName name="TABLE_DATE_ISSUED_1" localSheetId="31">'x-305'!$B$18</definedName>
    <definedName name="TABLE_DATE_ISSUED_1" localSheetId="32">'x-306'!$B$18</definedName>
    <definedName name="TABLE_DATE_ISSUED_1" localSheetId="33">'x-307'!$B$18</definedName>
    <definedName name="TABLE_DATE_ISSUED_1" localSheetId="34">'x-308'!$B$18</definedName>
    <definedName name="TABLE_DATE_ISSUED_1" localSheetId="35">'x-401'!$B$18</definedName>
    <definedName name="TABLE_DATE_ISSUED_1" localSheetId="36">'x-402'!$B$18</definedName>
    <definedName name="TABLE_DATE_ISSUED_1" localSheetId="37">'x-403'!$B$18</definedName>
    <definedName name="TABLE_DATE_ISSUED_1" localSheetId="38">'x-404'!$B$18</definedName>
    <definedName name="TABLE_DATE_ISSUED_1" localSheetId="39">'x-405'!$B$18</definedName>
    <definedName name="TABLE_DATE_ISSUED_1" localSheetId="40">'x-406'!$B$18</definedName>
    <definedName name="TABLE_DATE_ISSUED_1" localSheetId="41">'x-407'!$B$18</definedName>
    <definedName name="TABLE_DATE_ISSUED_1" localSheetId="42">'x-408'!$B$18</definedName>
    <definedName name="TABLE_DATE_ISSUED_1" localSheetId="43">'x-409'!$B$18</definedName>
    <definedName name="TABLE_DATE_ISSUED_1" localSheetId="44">'x-410'!$B$18</definedName>
    <definedName name="TABLE_DATE_ISSUED_1" localSheetId="45">'x-411'!$B$18</definedName>
    <definedName name="TABLE_DATE_ISSUED_1" localSheetId="46">'x-412'!$B$18</definedName>
    <definedName name="TABLE_DATE_ISSUED_1" localSheetId="47">'x-413'!$B$18</definedName>
    <definedName name="TABLE_DATE_ISSUED_1" localSheetId="48">'x-414'!$B$18</definedName>
    <definedName name="TABLE_DATE_ISSUED_1" localSheetId="49">'x-415'!$B$18</definedName>
    <definedName name="TABLE_DATE_ISSUED_1" localSheetId="50">'x-416'!$B$18</definedName>
    <definedName name="TABLE_DATE_ISSUED_1" localSheetId="51">'x-417'!$B$18</definedName>
    <definedName name="TABLE_DATE_ISSUED_1" localSheetId="52">'x-418'!$B$18</definedName>
    <definedName name="TABLE_DATE_ISSUED_1" localSheetId="53">'x-419'!$B$18</definedName>
    <definedName name="TABLE_DATE_ISSUED_1" localSheetId="54">'x-420'!$B$18</definedName>
    <definedName name="TABLE_DATE_ISSUED_1" localSheetId="55">'x-421'!$B$18</definedName>
    <definedName name="TABLE_DATE_ISSUED_1" localSheetId="56">'x-422'!$B$18</definedName>
    <definedName name="TABLE_DATE_ISSUED_1" localSheetId="57">'x-423'!$B$18</definedName>
    <definedName name="TABLE_DATE_ISSUED_1" localSheetId="58">'x-424'!$B$18</definedName>
    <definedName name="TABLE_DATE_ISSUED_1" localSheetId="59">'x-501'!$B$18</definedName>
    <definedName name="TABLE_DATE_ISSUED_1" localSheetId="60">'x-502'!$B$18</definedName>
    <definedName name="TABLE_DATE_ISSUED_1" localSheetId="61">'x-503'!$B$18</definedName>
    <definedName name="TABLE_DATE_ISSUED_1" localSheetId="62">'x-504'!$B$18</definedName>
    <definedName name="TABLE_DATE_ISSUED_1" localSheetId="63">'x-505'!$B$18</definedName>
    <definedName name="TABLE_DATE_ISSUED_1" localSheetId="64">'x-605'!$B$18</definedName>
    <definedName name="TABLE_DATE_ISSUED_1" localSheetId="65">'x-606'!$B$18</definedName>
    <definedName name="TABLE_DATE_ISSUED_1" localSheetId="66">'x-607'!$B$18</definedName>
    <definedName name="TABLE_DATE_ISSUED_1" localSheetId="67">'x-608'!$B$18</definedName>
    <definedName name="TABLE_DATE_ISSUED_1" localSheetId="68">'x-609'!$B$18</definedName>
    <definedName name="TABLE_DATE_ISSUED_1" localSheetId="69">'x-610'!$B$18</definedName>
    <definedName name="TABLE_DATE_ISSUED_1" localSheetId="70">'x-611'!$B$18</definedName>
    <definedName name="TABLE_DATE_ISSUED_1" localSheetId="71">'x-612'!$B$18</definedName>
    <definedName name="TABLE_DATE_ISSUED_1" localSheetId="72">'x-613'!$B$18</definedName>
    <definedName name="TABLE_DATE_ISSUED_1" localSheetId="73">'x-614'!$B$18</definedName>
    <definedName name="TABLE_DATE_ISSUED_1" localSheetId="74">'x-615'!$B$18</definedName>
    <definedName name="TABLE_DATE_ISSUED_1" localSheetId="75">'x-703'!$B$18</definedName>
    <definedName name="TABLE_DATE_ISSUED_1" localSheetId="76">'x-704'!$B$18</definedName>
    <definedName name="TABLE_DATE_ISSUED_1" localSheetId="77">'x-705'!$B$18</definedName>
    <definedName name="TABLE_DATE_ISSUED_1" localSheetId="78">'x-706'!$B$18</definedName>
    <definedName name="TABLE_DATE_ISSUED_1" localSheetId="79">'x-707'!$B$18</definedName>
    <definedName name="TABLE_DATE_ISSUED_1" localSheetId="80">'x-708'!$B$18</definedName>
    <definedName name="TABLE_DATE_ISSUED_1" localSheetId="81">'x-709'!$B$18</definedName>
    <definedName name="TABLE_DATE_ISSUED_1" localSheetId="82">'x-710'!$B$18</definedName>
    <definedName name="TABLE_DATE_ISSUED_1" localSheetId="83">'x-711'!$B$18</definedName>
    <definedName name="TABLE_DATE_ISSUED_1" localSheetId="84">'x-712'!$B$18</definedName>
    <definedName name="TABLE_DATE_ISSUED_1" localSheetId="85">'x-713'!$B$18</definedName>
    <definedName name="TABLE_DATE_ISSUED_1" localSheetId="86">'x-714'!$B$18</definedName>
    <definedName name="TABLE_DATE_ISSUED_1" localSheetId="87">'x-715'!$B$18</definedName>
    <definedName name="TABLE_DATE_ISSUED_1" localSheetId="88">'x-716'!$B$18</definedName>
    <definedName name="TABLE_DATE_ISSUED_1" localSheetId="89">'x-717'!$B$18</definedName>
    <definedName name="TABLE_DATE_ISSUED_1" localSheetId="90">'x-718'!$B$18</definedName>
    <definedName name="TABLE_DATE_ISSUED_1" localSheetId="91">'x-719'!$B$18</definedName>
    <definedName name="TABLE_DATE_ISSUED_1" localSheetId="92">'x-720'!$B$18</definedName>
    <definedName name="TABLE_DATE_ISSUED_1" localSheetId="93">'x-801'!$B$18</definedName>
    <definedName name="TABLE_DATE_ISSUED_1" localSheetId="94">'x-802'!$B$18</definedName>
    <definedName name="TABLE_DATE_ISSUED_1" localSheetId="95">'x-803'!$B$18</definedName>
    <definedName name="TABLE_DATE_ISSUED_1" localSheetId="96">'x-804'!$B$18</definedName>
    <definedName name="TABLE_DATE_ISSUED_1" localSheetId="97">'x-805'!$B$18</definedName>
    <definedName name="TABLE_DATE_ISSUED_1" localSheetId="98">'x-806'!$B$18</definedName>
    <definedName name="TABLE_DATE_ISSUED_1" localSheetId="99">'x-807'!$B$18</definedName>
    <definedName name="TABLE_DATE_ISSUED_1" localSheetId="100">'x-808'!$B$18</definedName>
    <definedName name="TABLE_DATE_ISSUED_1" localSheetId="101">'x-809'!$B$18</definedName>
    <definedName name="TABLE_DATE_ISSUED_1" localSheetId="102">'x-810'!$B$18</definedName>
    <definedName name="TABLE_DATE_ISSUED_1" localSheetId="103">'x-811'!$B$18</definedName>
    <definedName name="TABLE_DATE_ISSUED_1" localSheetId="104">'x-812'!$B$18</definedName>
    <definedName name="TABLE_DATE_ISSUED_1" localSheetId="105">'x-813'!$B$18</definedName>
    <definedName name="TABLE_DATE_ISSUED_1" localSheetId="106">'x-814'!$B$18</definedName>
    <definedName name="TABLE_DATE_ISSUED_1" localSheetId="107">'x-815'!$B$18</definedName>
    <definedName name="TABLE_DATE_ISSUED_1" localSheetId="108">'x-817'!$B$18</definedName>
    <definedName name="TABLE_DATE_ISSUED_1" localSheetId="109">'x-818'!$B$18</definedName>
    <definedName name="TABLE_DATE_ISSUED_1" localSheetId="110">'x-819'!$B$18</definedName>
    <definedName name="TABLE_DATE_ISSUED_1" localSheetId="111">'x-820'!$B$18</definedName>
    <definedName name="TABLE_DATE_ISSUED_1" localSheetId="112">'x-821'!$B$18</definedName>
    <definedName name="TABLE_DATE_ISSUED_1" localSheetId="113">'x-822'!$B$18</definedName>
    <definedName name="TABLE_DATE_ISSUED_1" localSheetId="114">'x-823'!$B$18</definedName>
    <definedName name="TABLE_DATE_ISSUED_1" localSheetId="115">'x-824'!$B$18</definedName>
    <definedName name="TABLE_DATE_ISSUED_1" localSheetId="116">'x-825'!$B$18</definedName>
    <definedName name="TABLE_DATE_ISSUED_1" localSheetId="117">'x-826'!$B$18</definedName>
    <definedName name="TABLE_DATE_ISSUED_1" localSheetId="118">'x-827'!$B$18</definedName>
    <definedName name="TABLE_DATE_ISSUED_2" localSheetId="15">'x-204'!$I$18</definedName>
    <definedName name="TABLE_DATE_ISSUED_2" localSheetId="37">'x-403'!$Q$18</definedName>
    <definedName name="TABLE_DATE_ISSUED_2" localSheetId="38">'x-404'!$Q$18</definedName>
    <definedName name="TABLE_DATE_ISSUED_2" localSheetId="43">'x-409'!$Q$18</definedName>
    <definedName name="TABLE_DATE_ISSUED_2" localSheetId="44">'x-410'!$Q$18</definedName>
    <definedName name="TABLE_DATE_ISSUED_2" localSheetId="49">'x-415'!$Q$18</definedName>
    <definedName name="TABLE_DATE_ISSUED_2" localSheetId="102">'x-810'!$Q$18</definedName>
    <definedName name="TABLE_DESCRIPTION">'x-Series Number'!$B$10</definedName>
    <definedName name="table_Description_1" localSheetId="8">'x-101'!$B$10</definedName>
    <definedName name="table_description_1" localSheetId="9">'x-102'!$B$10</definedName>
    <definedName name="table_Description_1" localSheetId="10">'x-103'!$B$10</definedName>
    <definedName name="table_Description_1" localSheetId="11">'x-104'!$B$10</definedName>
    <definedName name="TABLE_DESCRIPTION_1" localSheetId="12">'x-201'!$B$10</definedName>
    <definedName name="TABLE_DESCRIPTION_1" localSheetId="13">'x-202'!$B$10</definedName>
    <definedName name="TABLE_DESCRIPTION_1" localSheetId="14">'x-203'!$B$10</definedName>
    <definedName name="TABLE_DESCRIPTION_1" localSheetId="15">'x-204'!$B$10</definedName>
    <definedName name="TABLE_DESCRIPTION_1" localSheetId="16">'x-205'!$B$10</definedName>
    <definedName name="TABLE_DESCRIPTION_1" localSheetId="17">'x-206'!$B$10</definedName>
    <definedName name="TABLE_DESCRIPTION_1" localSheetId="18">'x-207'!$B$10</definedName>
    <definedName name="TABLE_DESCRIPTION_1" localSheetId="19">'x-208'!$B$10</definedName>
    <definedName name="TABLE_DESCRIPTION_1" localSheetId="20">'x-209'!$B$10</definedName>
    <definedName name="TABLE_DESCRIPTION_1" localSheetId="21">'x-214'!$B$10</definedName>
    <definedName name="TABLE_DESCRIPTION_1" localSheetId="22">'x-215'!$B$10</definedName>
    <definedName name="TABLE_DESCRIPTION_1" localSheetId="23">'x-216'!$B$10</definedName>
    <definedName name="TABLE_DESCRIPTION_1" localSheetId="24">'x-217'!$B$10</definedName>
    <definedName name="TABLE_DESCRIPTION_1" localSheetId="25">'x-218'!$B$10</definedName>
    <definedName name="TABLE_DESCRIPTION_1" localSheetId="26">'x-219'!$B$10</definedName>
    <definedName name="TABLE_DESCRIPTION_1" localSheetId="27">'x-301'!$B$10</definedName>
    <definedName name="TABLE_DESCRIPTION_1" localSheetId="28">'x-302'!$B$10</definedName>
    <definedName name="TABLE_DESCRIPTION_1" localSheetId="29">'x-303'!$B$10</definedName>
    <definedName name="TABLE_DESCRIPTION_1" localSheetId="30">'x-304'!$B$10</definedName>
    <definedName name="TABLE_DESCRIPTION_1" localSheetId="31">'x-305'!$B$10</definedName>
    <definedName name="TABLE_DESCRIPTION_1" localSheetId="32">'x-306'!$B$10</definedName>
    <definedName name="TABLE_DESCRIPTION_1" localSheetId="33">'x-307'!$B$10</definedName>
    <definedName name="TABLE_DESCRIPTION_1" localSheetId="34">'x-308'!$B$10</definedName>
    <definedName name="TABLE_DESCRIPTION_1" localSheetId="35">'x-401'!$B$10</definedName>
    <definedName name="TABLE_DESCRIPTION_1" localSheetId="36">'x-402'!$B$10</definedName>
    <definedName name="TABLE_DESCRIPTION_1" localSheetId="37">'x-403'!$B$10</definedName>
    <definedName name="TABLE_DESCRIPTION_1" localSheetId="38">'x-404'!$B$10</definedName>
    <definedName name="TABLE_DESCRIPTION_1" localSheetId="39">'x-405'!$B$10</definedName>
    <definedName name="TABLE_DESCRIPTION_1" localSheetId="40">'x-406'!$B$10</definedName>
    <definedName name="TABLE_DESCRIPTION_1" localSheetId="41">'x-407'!$B$10</definedName>
    <definedName name="TABLE_DESCRIPTION_1" localSheetId="42">'x-408'!$B$10</definedName>
    <definedName name="TABLE_DESCRIPTION_1" localSheetId="43">'x-409'!$B$10</definedName>
    <definedName name="TABLE_DESCRIPTION_1" localSheetId="44">'x-410'!$B$10</definedName>
    <definedName name="TABLE_DESCRIPTION_1" localSheetId="45">'x-411'!$B$10</definedName>
    <definedName name="TABLE_DESCRIPTION_1" localSheetId="46">'x-412'!$B$10</definedName>
    <definedName name="TABLE_DESCRIPTION_1" localSheetId="47">'x-413'!$B$10</definedName>
    <definedName name="TABLE_DESCRIPTION_1" localSheetId="48">'x-414'!$B$10</definedName>
    <definedName name="TABLE_DESCRIPTION_1" localSheetId="49">'x-415'!$B$10</definedName>
    <definedName name="TABLE_DESCRIPTION_1" localSheetId="50">'x-416'!$B$10</definedName>
    <definedName name="TABLE_DESCRIPTION_1" localSheetId="51">'x-417'!$B$10</definedName>
    <definedName name="TABLE_DESCRIPTION_1" localSheetId="52">'x-418'!$B$10</definedName>
    <definedName name="TABLE_DESCRIPTION_1" localSheetId="53">'x-419'!$B$10</definedName>
    <definedName name="TABLE_DESCRIPTION_1" localSheetId="54">'x-420'!$B$10</definedName>
    <definedName name="TABLE_DESCRIPTION_1" localSheetId="55">'x-421'!$B$10</definedName>
    <definedName name="TABLE_DESCRIPTION_1" localSheetId="56">'x-422'!$B$10</definedName>
    <definedName name="TABLE_DESCRIPTION_1" localSheetId="57">'x-423'!$B$10</definedName>
    <definedName name="TABLE_DESCRIPTION_1" localSheetId="58">'x-424'!$B$10</definedName>
    <definedName name="TABLE_DESCRIPTION_1" localSheetId="59">'x-501'!$B$10</definedName>
    <definedName name="TABLE_DESCRIPTION_1" localSheetId="60">'x-502'!$B$10</definedName>
    <definedName name="TABLE_DESCRIPTION_1" localSheetId="61">'x-503'!$B$10</definedName>
    <definedName name="TABLE_DESCRIPTION_1" localSheetId="62">'x-504'!$B$10</definedName>
    <definedName name="TABLE_DESCRIPTION_1" localSheetId="63">'x-505'!$B$10</definedName>
    <definedName name="TABLE_DESCRIPTION_1" localSheetId="64">'x-605'!$B$10</definedName>
    <definedName name="TABLE_DESCRIPTION_1" localSheetId="65">'x-606'!$B$10</definedName>
    <definedName name="TABLE_DESCRIPTION_1" localSheetId="66">'x-607'!$B$10</definedName>
    <definedName name="TABLE_DESCRIPTION_1" localSheetId="67">'x-608'!$B$10</definedName>
    <definedName name="TABLE_DESCRIPTION_1" localSheetId="68">'x-609'!$B$10</definedName>
    <definedName name="TABLE_DESCRIPTION_1" localSheetId="69">'x-610'!$B$10</definedName>
    <definedName name="TABLE_DESCRIPTION_1" localSheetId="70">'x-611'!$B$10</definedName>
    <definedName name="TABLE_DESCRIPTION_1" localSheetId="71">'x-612'!$B$10</definedName>
    <definedName name="TABLE_DESCRIPTION_1" localSheetId="72">'x-613'!$B$10</definedName>
    <definedName name="TABLE_DESCRIPTION_1" localSheetId="73">'x-614'!$B$10</definedName>
    <definedName name="TABLE_DESCRIPTION_1" localSheetId="74">'x-615'!$B$10</definedName>
    <definedName name="TABLE_DESCRIPTION_1" localSheetId="75">'x-703'!$B$10</definedName>
    <definedName name="TABLE_DESCRIPTION_1" localSheetId="76">'x-704'!$B$10</definedName>
    <definedName name="TABLE_DESCRIPTION_1" localSheetId="77">'x-705'!$B$10</definedName>
    <definedName name="TABLE_DESCRIPTION_1" localSheetId="78">'x-706'!$B$10</definedName>
    <definedName name="TABLE_DESCRIPTION_1" localSheetId="79">'x-707'!$B$10</definedName>
    <definedName name="TABLE_DESCRIPTION_1" localSheetId="80">'x-708'!$B$10</definedName>
    <definedName name="TABLE_DESCRIPTION_1" localSheetId="81">'x-709'!$B$10</definedName>
    <definedName name="TABLE_DESCRIPTION_1" localSheetId="82">'x-710'!$B$10</definedName>
    <definedName name="TABLE_DESCRIPTION_1" localSheetId="83">'x-711'!$B$10</definedName>
    <definedName name="TABLE_DESCRIPTION_1" localSheetId="84">'x-712'!$B$10</definedName>
    <definedName name="TABLE_DESCRIPTION_1" localSheetId="85">'x-713'!$B$10</definedName>
    <definedName name="TABLE_DESCRIPTION_1" localSheetId="86">'x-714'!$B$10</definedName>
    <definedName name="TABLE_DESCRIPTION_1" localSheetId="87">'x-715'!$B$10</definedName>
    <definedName name="TABLE_DESCRIPTION_1" localSheetId="88">'x-716'!$B$10</definedName>
    <definedName name="TABLE_DESCRIPTION_1" localSheetId="89">'x-717'!$B$10</definedName>
    <definedName name="TABLE_DESCRIPTION_1" localSheetId="90">'x-718'!$B$10</definedName>
    <definedName name="TABLE_DESCRIPTION_1" localSheetId="91">'x-719'!$B$10</definedName>
    <definedName name="TABLE_DESCRIPTION_1" localSheetId="92">'x-720'!$B$10</definedName>
    <definedName name="TABLE_DESCRIPTION_1" localSheetId="93">'x-801'!$B$10</definedName>
    <definedName name="TABLE_DESCRIPTION_1" localSheetId="94">'x-802'!$B$10</definedName>
    <definedName name="TABLE_DESCRIPTION_1" localSheetId="95">'x-803'!$B$10</definedName>
    <definedName name="TABLE_DESCRIPTION_1" localSheetId="96">'x-804'!$B$10</definedName>
    <definedName name="TABLE_DESCRIPTION_1" localSheetId="97">'x-805'!$B$10</definedName>
    <definedName name="TABLE_DESCRIPTION_1" localSheetId="98">'x-806'!$B$10</definedName>
    <definedName name="TABLE_DESCRIPTION_1" localSheetId="99">'x-807'!$B$10</definedName>
    <definedName name="TABLE_DESCRIPTION_1" localSheetId="100">'x-808'!$B$10</definedName>
    <definedName name="TABLE_DESCRIPTION_1" localSheetId="101">'x-809'!$B$10</definedName>
    <definedName name="TABLE_DESCRIPTION_1" localSheetId="102">'x-810'!$B$10</definedName>
    <definedName name="TABLE_DESCRIPTION_1" localSheetId="103">'x-811'!$B$10</definedName>
    <definedName name="TABLE_DESCRIPTION_1" localSheetId="104">'x-812'!$B$10</definedName>
    <definedName name="TABLE_DESCRIPTION_1" localSheetId="105">'x-813'!$B$10</definedName>
    <definedName name="TABLE_DESCRIPTION_1" localSheetId="106">'x-814'!$B$10</definedName>
    <definedName name="TABLE_DESCRIPTION_1" localSheetId="107">'x-815'!$B$10</definedName>
    <definedName name="TABLE_DESCRIPTION_1" localSheetId="108">'x-817'!$B$10</definedName>
    <definedName name="TABLE_DESCRIPTION_1" localSheetId="109">'x-818'!$B$10</definedName>
    <definedName name="TABLE_DESCRIPTION_1" localSheetId="110">'x-819'!$B$10</definedName>
    <definedName name="TABLE_DESCRIPTION_1" localSheetId="111">'x-820'!$B$10</definedName>
    <definedName name="TABLE_DESCRIPTION_1" localSheetId="112">'x-821'!$B$10</definedName>
    <definedName name="TABLE_DESCRIPTION_1" localSheetId="113">'x-822'!$B$10</definedName>
    <definedName name="TABLE_DESCRIPTION_1" localSheetId="114">'x-823'!$B$10</definedName>
    <definedName name="TABLE_DESCRIPTION_1" localSheetId="115">'x-824'!$B$10</definedName>
    <definedName name="TABLE_DESCRIPTION_1" localSheetId="116">'x-825'!$B$10</definedName>
    <definedName name="TABLE_DESCRIPTION_1" localSheetId="117">'x-826'!$B$10</definedName>
    <definedName name="TABLE_DESCRIPTION_1" localSheetId="118">'x-827'!$B$10</definedName>
    <definedName name="TABLE_DESCRIPTION_2" localSheetId="15">'x-204'!$I$10</definedName>
    <definedName name="TABLE_DESCRIPTION_2" localSheetId="37">'x-403'!$Q$10</definedName>
    <definedName name="TABLE_DESCRIPTION_2" localSheetId="38">'x-404'!$Q$10</definedName>
    <definedName name="TABLE_DESCRIPTION_2" localSheetId="43">'x-409'!$Q$10</definedName>
    <definedName name="TABLE_DESCRIPTION_2" localSheetId="44">'x-410'!$Q$10</definedName>
    <definedName name="TABLE_DESCRIPTION_2" localSheetId="49">'x-415'!$Q$10</definedName>
    <definedName name="TABLE_DESCRIPTION_2" localSheetId="102">'x-810'!$Q$10</definedName>
    <definedName name="TABLE_FACTOR_STATUS">'x-Series Number'!$B$20</definedName>
    <definedName name="table_factor_status_1" localSheetId="8">'x-101'!$B$20</definedName>
    <definedName name="table_factor_status_1" localSheetId="9">'x-102'!$B$20</definedName>
    <definedName name="table_factor_status_1" localSheetId="10">'x-103'!$B$20</definedName>
    <definedName name="table_factor_status_1" localSheetId="11">'x-104'!$B$20</definedName>
    <definedName name="TABLE_FACTOR_STATUS_1" localSheetId="12">'x-201'!$B$20</definedName>
    <definedName name="TABLE_FACTOR_STATUS_1" localSheetId="13">'x-202'!$B$20</definedName>
    <definedName name="TABLE_FACTOR_STATUS_1" localSheetId="14">'x-203'!$B$20</definedName>
    <definedName name="TABLE_FACTOR_STATUS_1" localSheetId="15">'x-204'!$B$20</definedName>
    <definedName name="TABLE_FACTOR_STATUS_1" localSheetId="16">'x-205'!$B$20</definedName>
    <definedName name="TABLE_FACTOR_STATUS_1" localSheetId="17">'x-206'!$B$20</definedName>
    <definedName name="TABLE_FACTOR_STATUS_1" localSheetId="18">'x-207'!$B$20</definedName>
    <definedName name="TABLE_FACTOR_STATUS_1" localSheetId="19">'x-208'!$B$20</definedName>
    <definedName name="TABLE_FACTOR_STATUS_1" localSheetId="20">'x-209'!$B$20</definedName>
    <definedName name="TABLE_FACTOR_STATUS_1" localSheetId="21">'x-214'!$B$20</definedName>
    <definedName name="TABLE_FACTOR_STATUS_1" localSheetId="22">'x-215'!$B$20</definedName>
    <definedName name="TABLE_FACTOR_STATUS_1" localSheetId="23">'x-216'!$B$20</definedName>
    <definedName name="TABLE_FACTOR_STATUS_1" localSheetId="24">'x-217'!$B$20</definedName>
    <definedName name="TABLE_FACTOR_STATUS_1" localSheetId="25">'x-218'!$B$20</definedName>
    <definedName name="TABLE_FACTOR_STATUS_1" localSheetId="26">'x-219'!$B$20</definedName>
    <definedName name="TABLE_FACTOR_STATUS_1" localSheetId="27">'x-301'!$B$20</definedName>
    <definedName name="TABLE_FACTOR_STATUS_1" localSheetId="28">'x-302'!$B$20</definedName>
    <definedName name="TABLE_FACTOR_STATUS_1" localSheetId="29">'x-303'!$B$20</definedName>
    <definedName name="TABLE_FACTOR_STATUS_1" localSheetId="30">'x-304'!$B$20</definedName>
    <definedName name="TABLE_FACTOR_STATUS_1" localSheetId="31">'x-305'!$B$20</definedName>
    <definedName name="TABLE_FACTOR_STATUS_1" localSheetId="32">'x-306'!$B$20</definedName>
    <definedName name="TABLE_FACTOR_STATUS_1" localSheetId="33">'x-307'!$B$20</definedName>
    <definedName name="TABLE_FACTOR_STATUS_1" localSheetId="34">'x-308'!$B$20</definedName>
    <definedName name="TABLE_FACTOR_STATUS_1" localSheetId="35">'x-401'!$B$20</definedName>
    <definedName name="TABLE_FACTOR_STATUS_1" localSheetId="36">'x-402'!$B$20</definedName>
    <definedName name="TABLE_FACTOR_STATUS_1" localSheetId="37">'x-403'!$B$20</definedName>
    <definedName name="TABLE_FACTOR_STATUS_1" localSheetId="38">'x-404'!$B$20</definedName>
    <definedName name="TABLE_FACTOR_STATUS_1" localSheetId="39">'x-405'!$B$20</definedName>
    <definedName name="TABLE_FACTOR_STATUS_1" localSheetId="40">'x-406'!$B$20</definedName>
    <definedName name="TABLE_FACTOR_STATUS_1" localSheetId="41">'x-407'!$B$20</definedName>
    <definedName name="TABLE_FACTOR_STATUS_1" localSheetId="42">'x-408'!$B$20</definedName>
    <definedName name="TABLE_FACTOR_STATUS_1" localSheetId="43">'x-409'!$B$20</definedName>
    <definedName name="TABLE_FACTOR_STATUS_1" localSheetId="44">'x-410'!$B$20</definedName>
    <definedName name="TABLE_FACTOR_STATUS_1" localSheetId="45">'x-411'!$B$20</definedName>
    <definedName name="TABLE_FACTOR_STATUS_1" localSheetId="46">'x-412'!$B$20</definedName>
    <definedName name="TABLE_FACTOR_STATUS_1" localSheetId="47">'x-413'!$B$20</definedName>
    <definedName name="TABLE_FACTOR_STATUS_1" localSheetId="48">'x-414'!$B$20</definedName>
    <definedName name="TABLE_FACTOR_STATUS_1" localSheetId="49">'x-415'!$B$20</definedName>
    <definedName name="TABLE_FACTOR_STATUS_1" localSheetId="50">'x-416'!$B$20</definedName>
    <definedName name="TABLE_FACTOR_STATUS_1" localSheetId="51">'x-417'!$B$20</definedName>
    <definedName name="TABLE_FACTOR_STATUS_1" localSheetId="52">'x-418'!$B$20</definedName>
    <definedName name="TABLE_FACTOR_STATUS_1" localSheetId="53">'x-419'!$B$20</definedName>
    <definedName name="TABLE_FACTOR_STATUS_1" localSheetId="54">'x-420'!$B$20</definedName>
    <definedName name="TABLE_FACTOR_STATUS_1" localSheetId="55">'x-421'!$B$20</definedName>
    <definedName name="TABLE_FACTOR_STATUS_1" localSheetId="56">'x-422'!$B$20</definedName>
    <definedName name="TABLE_FACTOR_STATUS_1" localSheetId="57">'x-423'!$B$20</definedName>
    <definedName name="TABLE_FACTOR_STATUS_1" localSheetId="58">'x-424'!$B$20</definedName>
    <definedName name="TABLE_FACTOR_STATUS_1" localSheetId="59">'x-501'!$B$20</definedName>
    <definedName name="TABLE_FACTOR_STATUS_1" localSheetId="60">'x-502'!$B$20</definedName>
    <definedName name="TABLE_FACTOR_STATUS_1" localSheetId="61">'x-503'!$B$20</definedName>
    <definedName name="TABLE_FACTOR_STATUS_1" localSheetId="62">'x-504'!$B$20</definedName>
    <definedName name="TABLE_FACTOR_STATUS_1" localSheetId="63">'x-505'!$B$20</definedName>
    <definedName name="TABLE_FACTOR_STATUS_1" localSheetId="64">'x-605'!$B$20</definedName>
    <definedName name="TABLE_FACTOR_STATUS_1" localSheetId="65">'x-606'!$B$20</definedName>
    <definedName name="TABLE_FACTOR_STATUS_1" localSheetId="66">'x-607'!$B$20</definedName>
    <definedName name="TABLE_FACTOR_STATUS_1" localSheetId="67">'x-608'!$B$20</definedName>
    <definedName name="TABLE_FACTOR_STATUS_1" localSheetId="68">'x-609'!$B$20</definedName>
    <definedName name="TABLE_FACTOR_STATUS_1" localSheetId="69">'x-610'!$B$20</definedName>
    <definedName name="TABLE_FACTOR_STATUS_1" localSheetId="70">'x-611'!$B$20</definedName>
    <definedName name="TABLE_FACTOR_STATUS_1" localSheetId="71">'x-612'!$B$20</definedName>
    <definedName name="TABLE_FACTOR_STATUS_1" localSheetId="72">'x-613'!$B$20</definedName>
    <definedName name="TABLE_FACTOR_STATUS_1" localSheetId="73">'x-614'!$B$20</definedName>
    <definedName name="TABLE_FACTOR_STATUS_1" localSheetId="74">'x-615'!$B$20</definedName>
    <definedName name="TABLE_FACTOR_STATUS_1" localSheetId="75">'x-703'!$B$20</definedName>
    <definedName name="TABLE_FACTOR_STATUS_1" localSheetId="76">'x-704'!$B$20</definedName>
    <definedName name="TABLE_FACTOR_STATUS_1" localSheetId="77">'x-705'!$B$20</definedName>
    <definedName name="TABLE_FACTOR_STATUS_1" localSheetId="78">'x-706'!$B$20</definedName>
    <definedName name="TABLE_FACTOR_STATUS_1" localSheetId="79">'x-707'!$B$20</definedName>
    <definedName name="TABLE_FACTOR_STATUS_1" localSheetId="80">'x-708'!$B$20</definedName>
    <definedName name="TABLE_FACTOR_STATUS_1" localSheetId="81">'x-709'!$B$20</definedName>
    <definedName name="TABLE_FACTOR_STATUS_1" localSheetId="82">'x-710'!$B$20</definedName>
    <definedName name="TABLE_FACTOR_STATUS_1" localSheetId="83">'x-711'!$B$20</definedName>
    <definedName name="TABLE_FACTOR_STATUS_1" localSheetId="84">'x-712'!$B$20</definedName>
    <definedName name="TABLE_FACTOR_STATUS_1" localSheetId="85">'x-713'!$B$20</definedName>
    <definedName name="TABLE_FACTOR_STATUS_1" localSheetId="86">'x-714'!$B$20</definedName>
    <definedName name="TABLE_FACTOR_STATUS_1" localSheetId="87">'x-715'!$B$20</definedName>
    <definedName name="TABLE_FACTOR_STATUS_1" localSheetId="88">'x-716'!$B$20</definedName>
    <definedName name="TABLE_FACTOR_STATUS_1" localSheetId="89">'x-717'!$B$20</definedName>
    <definedName name="TABLE_FACTOR_STATUS_1" localSheetId="90">'x-718'!$B$20</definedName>
    <definedName name="TABLE_FACTOR_STATUS_1" localSheetId="91">'x-719'!$B$20</definedName>
    <definedName name="TABLE_FACTOR_STATUS_1" localSheetId="92">'x-720'!$B$20</definedName>
    <definedName name="TABLE_FACTOR_STATUS_1" localSheetId="93">'x-801'!$B$20</definedName>
    <definedName name="TABLE_FACTOR_STATUS_1" localSheetId="94">'x-802'!$B$20</definedName>
    <definedName name="TABLE_FACTOR_STATUS_1" localSheetId="95">'x-803'!$B$20</definedName>
    <definedName name="TABLE_FACTOR_STATUS_1" localSheetId="96">'x-804'!$B$20</definedName>
    <definedName name="TABLE_FACTOR_STATUS_1" localSheetId="97">'x-805'!$B$20</definedName>
    <definedName name="TABLE_FACTOR_STATUS_1" localSheetId="98">'x-806'!$B$20</definedName>
    <definedName name="TABLE_FACTOR_STATUS_1" localSheetId="99">'x-807'!$B$20</definedName>
    <definedName name="TABLE_FACTOR_STATUS_1" localSheetId="100">'x-808'!$B$20</definedName>
    <definedName name="TABLE_FACTOR_STATUS_1" localSheetId="101">'x-809'!$B$20</definedName>
    <definedName name="TABLE_FACTOR_STATUS_1" localSheetId="102">'x-810'!$B$20</definedName>
    <definedName name="TABLE_FACTOR_STATUS_1" localSheetId="103">'x-811'!$B$20</definedName>
    <definedName name="TABLE_FACTOR_STATUS_1" localSheetId="104">'x-812'!$B$20</definedName>
    <definedName name="TABLE_FACTOR_STATUS_1" localSheetId="105">'x-813'!$B$20</definedName>
    <definedName name="TABLE_FACTOR_STATUS_1" localSheetId="106">'x-814'!$B$20</definedName>
    <definedName name="TABLE_FACTOR_STATUS_1" localSheetId="107">'x-815'!$B$20</definedName>
    <definedName name="TABLE_FACTOR_STATUS_1" localSheetId="108">'x-817'!$B$20</definedName>
    <definedName name="TABLE_FACTOR_STATUS_1" localSheetId="109">'x-818'!$B$20</definedName>
    <definedName name="TABLE_FACTOR_STATUS_1" localSheetId="110">'x-819'!$B$20</definedName>
    <definedName name="TABLE_FACTOR_STATUS_1" localSheetId="111">'x-820'!$B$20</definedName>
    <definedName name="TABLE_FACTOR_STATUS_1" localSheetId="112">'x-821'!$B$20</definedName>
    <definedName name="TABLE_FACTOR_STATUS_1" localSheetId="113">'x-822'!$B$20</definedName>
    <definedName name="TABLE_FACTOR_STATUS_1" localSheetId="114">'x-823'!$B$20</definedName>
    <definedName name="TABLE_FACTOR_STATUS_1" localSheetId="115">'x-824'!$B$20</definedName>
    <definedName name="TABLE_FACTOR_STATUS_1" localSheetId="116">'x-825'!$B$20</definedName>
    <definedName name="TABLE_FACTOR_STATUS_1" localSheetId="117">'x-826'!$B$20</definedName>
    <definedName name="TABLE_FACTOR_STATUS_1" localSheetId="118">'x-827'!$B$20</definedName>
    <definedName name="TABLE_FACTOR_STATUS_2" localSheetId="15">'x-204'!$I$20</definedName>
    <definedName name="TABLE_FACTOR_STATUS_2" localSheetId="37">'x-403'!$Q$20</definedName>
    <definedName name="TABLE_FACTOR_STATUS_2" localSheetId="38">'x-404'!$Q$20</definedName>
    <definedName name="TABLE_FACTOR_STATUS_2" localSheetId="43">'x-409'!$Q$20</definedName>
    <definedName name="TABLE_FACTOR_STATUS_2" localSheetId="44">'x-410'!$Q$20</definedName>
    <definedName name="TABLE_FACTOR_STATUS_2" localSheetId="49">'x-415'!$Q$20</definedName>
    <definedName name="TABLE_FACTOR_STATUS_2" localSheetId="102">'x-810'!$Q$20</definedName>
    <definedName name="TABLE_FACTOR_TYPE" localSheetId="7">'[1]x-Series Number'!$B$9</definedName>
    <definedName name="TABLE_FACTOR_TYPE">'x-Series Number'!$B$9</definedName>
    <definedName name="table_factor_type_1" localSheetId="8">'x-101'!$B$9</definedName>
    <definedName name="table_factor_type_1" localSheetId="9">'x-102'!$B$9</definedName>
    <definedName name="table_factor_type_1" localSheetId="10">'x-103'!$B$9</definedName>
    <definedName name="table_factor_type_1" localSheetId="11">'x-104'!$B$9</definedName>
    <definedName name="TABLE_FACTOR_TYPE_1" localSheetId="12">'x-201'!$B$9</definedName>
    <definedName name="TABLE_FACTOR_TYPE_1" localSheetId="13">'x-202'!$B$9</definedName>
    <definedName name="TABLE_FACTOR_TYPE_1" localSheetId="14">'x-203'!$B$9</definedName>
    <definedName name="TABLE_FACTOR_TYPE_1" localSheetId="15">'x-204'!$B$9</definedName>
    <definedName name="TABLE_FACTOR_TYPE_1" localSheetId="16">'x-205'!$B$9</definedName>
    <definedName name="TABLE_FACTOR_TYPE_1" localSheetId="17">'x-206'!$B$9</definedName>
    <definedName name="TABLE_FACTOR_TYPE_1" localSheetId="18">'x-207'!$B$9</definedName>
    <definedName name="TABLE_FACTOR_TYPE_1" localSheetId="19">'x-208'!$B$9</definedName>
    <definedName name="TABLE_FACTOR_TYPE_1" localSheetId="20">'x-209'!$B$9</definedName>
    <definedName name="TABLE_FACTOR_TYPE_1" localSheetId="21">'x-214'!$B$9</definedName>
    <definedName name="TABLE_FACTOR_TYPE_1" localSheetId="22">'x-215'!$B$9</definedName>
    <definedName name="TABLE_FACTOR_TYPE_1" localSheetId="23">'x-216'!$B$9</definedName>
    <definedName name="TABLE_FACTOR_TYPE_1" localSheetId="24">'x-217'!$B$9</definedName>
    <definedName name="TABLE_FACTOR_TYPE_1" localSheetId="25">'x-218'!$B$9</definedName>
    <definedName name="TABLE_FACTOR_TYPE_1" localSheetId="26">'x-219'!$B$9</definedName>
    <definedName name="TABLE_FACTOR_TYPE_1" localSheetId="27">'x-301'!$B$9</definedName>
    <definedName name="TABLE_FACTOR_TYPE_1" localSheetId="28">'x-302'!$B$9</definedName>
    <definedName name="TABLE_FACTOR_TYPE_1" localSheetId="29">'x-303'!$B$9</definedName>
    <definedName name="TABLE_FACTOR_TYPE_1" localSheetId="30">'x-304'!$B$9</definedName>
    <definedName name="TABLE_FACTOR_TYPE_1" localSheetId="31">'x-305'!$B$9</definedName>
    <definedName name="TABLE_FACTOR_TYPE_1" localSheetId="32">'x-306'!$B$9</definedName>
    <definedName name="TABLE_FACTOR_TYPE_1" localSheetId="33">'x-307'!$B$9</definedName>
    <definedName name="TABLE_FACTOR_TYPE_1" localSheetId="34">'x-308'!$B$9</definedName>
    <definedName name="TABLE_FACTOR_TYPE_1" localSheetId="35">'x-401'!$B$9</definedName>
    <definedName name="TABLE_FACTOR_TYPE_1" localSheetId="36">'x-402'!$B$9</definedName>
    <definedName name="TABLE_FACTOR_TYPE_1" localSheetId="37">'x-403'!$B$9</definedName>
    <definedName name="TABLE_FACTOR_TYPE_1" localSheetId="38">'x-404'!$B$9</definedName>
    <definedName name="TABLE_FACTOR_TYPE_1" localSheetId="39">'x-405'!$B$9</definedName>
    <definedName name="TABLE_FACTOR_TYPE_1" localSheetId="40">'x-406'!$B$9</definedName>
    <definedName name="TABLE_FACTOR_TYPE_1" localSheetId="41">'x-407'!$B$9</definedName>
    <definedName name="TABLE_FACTOR_TYPE_1" localSheetId="42">'x-408'!$B$9</definedName>
    <definedName name="TABLE_FACTOR_TYPE_1" localSheetId="43">'x-409'!$B$9</definedName>
    <definedName name="TABLE_FACTOR_TYPE_1" localSheetId="44">'x-410'!$B$9</definedName>
    <definedName name="TABLE_FACTOR_TYPE_1" localSheetId="45">'x-411'!$B$9</definedName>
    <definedName name="TABLE_FACTOR_TYPE_1" localSheetId="46">'x-412'!$B$9</definedName>
    <definedName name="TABLE_FACTOR_TYPE_1" localSheetId="47">'x-413'!$B$9</definedName>
    <definedName name="TABLE_FACTOR_TYPE_1" localSheetId="48">'x-414'!$B$9</definedName>
    <definedName name="TABLE_FACTOR_TYPE_1" localSheetId="49">'x-415'!$B$9</definedName>
    <definedName name="TABLE_FACTOR_TYPE_1" localSheetId="50">'x-416'!$B$9</definedName>
    <definedName name="TABLE_FACTOR_TYPE_1" localSheetId="51">'x-417'!$B$9</definedName>
    <definedName name="TABLE_FACTOR_TYPE_1" localSheetId="52">'x-418'!$B$9</definedName>
    <definedName name="TABLE_FACTOR_TYPE_1" localSheetId="53">'x-419'!$B$9</definedName>
    <definedName name="TABLE_FACTOR_TYPE_1" localSheetId="54">'x-420'!$B$9</definedName>
    <definedName name="TABLE_FACTOR_TYPE_1" localSheetId="55">'x-421'!$B$9</definedName>
    <definedName name="TABLE_FACTOR_TYPE_1" localSheetId="56">'x-422'!$B$9</definedName>
    <definedName name="TABLE_FACTOR_TYPE_1" localSheetId="57">'x-423'!$B$9</definedName>
    <definedName name="TABLE_FACTOR_TYPE_1" localSheetId="58">'x-424'!$B$9</definedName>
    <definedName name="TABLE_FACTOR_TYPE_1" localSheetId="59">'x-501'!$B$9</definedName>
    <definedName name="TABLE_FACTOR_TYPE_1" localSheetId="60">'x-502'!$B$9</definedName>
    <definedName name="TABLE_FACTOR_TYPE_1" localSheetId="61">'x-503'!$B$9</definedName>
    <definedName name="TABLE_FACTOR_TYPE_1" localSheetId="62">'x-504'!$B$9</definedName>
    <definedName name="TABLE_FACTOR_TYPE_1" localSheetId="63">'x-505'!$B$9</definedName>
    <definedName name="TABLE_FACTOR_TYPE_1" localSheetId="64">'x-605'!$B$9</definedName>
    <definedName name="TABLE_FACTOR_TYPE_1" localSheetId="65">'x-606'!$B$9</definedName>
    <definedName name="TABLE_FACTOR_TYPE_1" localSheetId="66">'x-607'!$B$9</definedName>
    <definedName name="TABLE_FACTOR_TYPE_1" localSheetId="67">'x-608'!$B$9</definedName>
    <definedName name="TABLE_FACTOR_TYPE_1" localSheetId="68">'x-609'!$B$9</definedName>
    <definedName name="TABLE_FACTOR_TYPE_1" localSheetId="69">'x-610'!$B$9</definedName>
    <definedName name="TABLE_FACTOR_TYPE_1" localSheetId="70">'x-611'!$B$9</definedName>
    <definedName name="TABLE_FACTOR_TYPE_1" localSheetId="71">'x-612'!$B$9</definedName>
    <definedName name="TABLE_FACTOR_TYPE_1" localSheetId="72">'x-613'!$B$9</definedName>
    <definedName name="TABLE_FACTOR_TYPE_1" localSheetId="73">'x-614'!$B$9</definedName>
    <definedName name="TABLE_FACTOR_TYPE_1" localSheetId="74">'x-615'!$B$9</definedName>
    <definedName name="TABLE_FACTOR_TYPE_1" localSheetId="75">'x-703'!$B$9</definedName>
    <definedName name="TABLE_FACTOR_TYPE_1" localSheetId="76">'x-704'!$B$9</definedName>
    <definedName name="TABLE_FACTOR_TYPE_1" localSheetId="77">'x-705'!$B$9</definedName>
    <definedName name="TABLE_FACTOR_TYPE_1" localSheetId="78">'x-706'!$B$9</definedName>
    <definedName name="TABLE_FACTOR_TYPE_1" localSheetId="79">'x-707'!$B$9</definedName>
    <definedName name="TABLE_FACTOR_TYPE_1" localSheetId="80">'x-708'!$B$9</definedName>
    <definedName name="TABLE_FACTOR_TYPE_1" localSheetId="81">'x-709'!$B$9</definedName>
    <definedName name="TABLE_FACTOR_TYPE_1" localSheetId="82">'x-710'!$B$9</definedName>
    <definedName name="TABLE_FACTOR_TYPE_1" localSheetId="83">'x-711'!$B$9</definedName>
    <definedName name="TABLE_FACTOR_TYPE_1" localSheetId="84">'x-712'!$B$9</definedName>
    <definedName name="TABLE_FACTOR_TYPE_1" localSheetId="85">'x-713'!$B$9</definedName>
    <definedName name="TABLE_FACTOR_TYPE_1" localSheetId="86">'x-714'!$B$9</definedName>
    <definedName name="TABLE_FACTOR_TYPE_1" localSheetId="87">'x-715'!$B$9</definedName>
    <definedName name="TABLE_FACTOR_TYPE_1" localSheetId="88">'x-716'!$B$9</definedName>
    <definedName name="TABLE_FACTOR_TYPE_1" localSheetId="89">'x-717'!$B$9</definedName>
    <definedName name="TABLE_FACTOR_TYPE_1" localSheetId="90">'x-718'!$B$9</definedName>
    <definedName name="TABLE_FACTOR_TYPE_1" localSheetId="91">'x-719'!$B$9</definedName>
    <definedName name="TABLE_FACTOR_TYPE_1" localSheetId="92">'x-720'!$B$9</definedName>
    <definedName name="TABLE_FACTOR_TYPE_1" localSheetId="93">'x-801'!$B$9</definedName>
    <definedName name="TABLE_FACTOR_TYPE_1" localSheetId="94">'x-802'!$B$9</definedName>
    <definedName name="TABLE_FACTOR_TYPE_1" localSheetId="95">'x-803'!$B$9</definedName>
    <definedName name="TABLE_FACTOR_TYPE_1" localSheetId="96">'x-804'!$B$9</definedName>
    <definedName name="TABLE_FACTOR_TYPE_1" localSheetId="97">'x-805'!$B$9</definedName>
    <definedName name="TABLE_FACTOR_TYPE_1" localSheetId="98">'x-806'!$B$9</definedName>
    <definedName name="TABLE_FACTOR_TYPE_1" localSheetId="99">'x-807'!$B$9</definedName>
    <definedName name="TABLE_FACTOR_TYPE_1" localSheetId="100">'x-808'!$B$9</definedName>
    <definedName name="TABLE_FACTOR_TYPE_1" localSheetId="101">'x-809'!$B$9</definedName>
    <definedName name="TABLE_FACTOR_TYPE_1" localSheetId="102">'x-810'!$B$9</definedName>
    <definedName name="TABLE_FACTOR_TYPE_1" localSheetId="103">'x-811'!$B$9</definedName>
    <definedName name="TABLE_FACTOR_TYPE_1" localSheetId="104">'x-812'!$B$9</definedName>
    <definedName name="TABLE_FACTOR_TYPE_1" localSheetId="105">'x-813'!$B$9</definedName>
    <definedName name="TABLE_FACTOR_TYPE_1" localSheetId="106">'x-814'!$B$9</definedName>
    <definedName name="TABLE_FACTOR_TYPE_1" localSheetId="107">'x-815'!$B$9</definedName>
    <definedName name="TABLE_FACTOR_TYPE_1" localSheetId="108">'x-817'!$B$9</definedName>
    <definedName name="TABLE_FACTOR_TYPE_1" localSheetId="109">'x-818'!$B$9</definedName>
    <definedName name="TABLE_FACTOR_TYPE_1" localSheetId="110">'x-819'!$B$9</definedName>
    <definedName name="TABLE_FACTOR_TYPE_1" localSheetId="111">'x-820'!$B$9</definedName>
    <definedName name="TABLE_FACTOR_TYPE_1" localSheetId="112">'x-821'!$B$9</definedName>
    <definedName name="TABLE_FACTOR_TYPE_1" localSheetId="113">'x-822'!$B$9</definedName>
    <definedName name="TABLE_FACTOR_TYPE_1" localSheetId="114">'x-823'!$B$9</definedName>
    <definedName name="TABLE_FACTOR_TYPE_1" localSheetId="115">'x-824'!$B$9</definedName>
    <definedName name="TABLE_FACTOR_TYPE_1" localSheetId="116">'x-825'!$B$9</definedName>
    <definedName name="TABLE_FACTOR_TYPE_1" localSheetId="117">'x-826'!$B$9</definedName>
    <definedName name="TABLE_FACTOR_TYPE_1" localSheetId="118">'x-827'!$B$9</definedName>
    <definedName name="TABLE_FACTOR_TYPE_2" localSheetId="15">'x-204'!$I$9</definedName>
    <definedName name="TABLE_FACTOR_TYPE_2" localSheetId="37">'x-403'!$Q$9</definedName>
    <definedName name="TABLE_FACTOR_TYPE_2" localSheetId="38">'x-404'!$Q$9</definedName>
    <definedName name="TABLE_FACTOR_TYPE_2" localSheetId="43">'x-409'!$Q$9</definedName>
    <definedName name="TABLE_FACTOR_TYPE_2" localSheetId="44">'x-410'!$Q$9</definedName>
    <definedName name="TABLE_FACTOR_TYPE_2" localSheetId="49">'x-415'!$Q$9</definedName>
    <definedName name="TABLE_FACTOR_TYPE_2" localSheetId="102">'x-810'!$Q$9</definedName>
    <definedName name="TABLE_GENDER">'x-Series Number'!$B$11</definedName>
    <definedName name="table_Gender_1" localSheetId="8">'x-101'!$B$11</definedName>
    <definedName name="table_gender_1" localSheetId="9">'x-102'!$B$11</definedName>
    <definedName name="table_Gender_1" localSheetId="10">'x-103'!$B$11</definedName>
    <definedName name="table_Gender_1" localSheetId="11">'x-104'!$B$11</definedName>
    <definedName name="TABLE_GENDER_1" localSheetId="12">'x-201'!$B$11</definedName>
    <definedName name="TABLE_GENDER_1" localSheetId="13">'x-202'!$B$11</definedName>
    <definedName name="TABLE_GENDER_1" localSheetId="14">'x-203'!$B$11</definedName>
    <definedName name="TABLE_GENDER_1" localSheetId="15">'x-204'!$B$11</definedName>
    <definedName name="TABLE_GENDER_1" localSheetId="16">'x-205'!$B$11</definedName>
    <definedName name="TABLE_GENDER_1" localSheetId="17">'x-206'!$B$11</definedName>
    <definedName name="TABLE_GENDER_1" localSheetId="18">'x-207'!$B$11</definedName>
    <definedName name="TABLE_GENDER_1" localSheetId="19">'x-208'!$B$11</definedName>
    <definedName name="TABLE_GENDER_1" localSheetId="20">'x-209'!$B$11</definedName>
    <definedName name="TABLE_GENDER_1" localSheetId="21">'x-214'!$B$11</definedName>
    <definedName name="TABLE_GENDER_1" localSheetId="22">'x-215'!$B$11</definedName>
    <definedName name="TABLE_GENDER_1" localSheetId="23">'x-216'!$B$11</definedName>
    <definedName name="TABLE_GENDER_1" localSheetId="24">'x-217'!$B$11</definedName>
    <definedName name="TABLE_GENDER_1" localSheetId="25">'x-218'!$B$11</definedName>
    <definedName name="TABLE_GENDER_1" localSheetId="26">'x-219'!$B$11</definedName>
    <definedName name="TABLE_GENDER_1" localSheetId="27">'x-301'!$B$11</definedName>
    <definedName name="TABLE_GENDER_1" localSheetId="28">'x-302'!$B$11</definedName>
    <definedName name="TABLE_GENDER_1" localSheetId="29">'x-303'!$B$11</definedName>
    <definedName name="TABLE_GENDER_1" localSheetId="30">'x-304'!$B$11</definedName>
    <definedName name="TABLE_GENDER_1" localSheetId="31">'x-305'!$B$11</definedName>
    <definedName name="TABLE_GENDER_1" localSheetId="32">'x-306'!$B$11</definedName>
    <definedName name="TABLE_GENDER_1" localSheetId="33">'x-307'!$B$11</definedName>
    <definedName name="TABLE_GENDER_1" localSheetId="34">'x-308'!$B$11</definedName>
    <definedName name="TABLE_GENDER_1" localSheetId="35">'x-401'!$B$11</definedName>
    <definedName name="TABLE_GENDER_1" localSheetId="36">'x-402'!$B$11</definedName>
    <definedName name="TABLE_GENDER_1" localSheetId="37">'x-403'!$B$11</definedName>
    <definedName name="TABLE_GENDER_1" localSheetId="38">'x-404'!$B$11</definedName>
    <definedName name="TABLE_GENDER_1" localSheetId="39">'x-405'!$B$11</definedName>
    <definedName name="TABLE_GENDER_1" localSheetId="40">'x-406'!$B$11</definedName>
    <definedName name="TABLE_GENDER_1" localSheetId="41">'x-407'!$B$11</definedName>
    <definedName name="TABLE_GENDER_1" localSheetId="42">'x-408'!$B$11</definedName>
    <definedName name="TABLE_GENDER_1" localSheetId="43">'x-409'!$B$11</definedName>
    <definedName name="TABLE_GENDER_1" localSheetId="44">'x-410'!$B$11</definedName>
    <definedName name="TABLE_GENDER_1" localSheetId="45">'x-411'!$B$11</definedName>
    <definedName name="TABLE_GENDER_1" localSheetId="46">'x-412'!$B$11</definedName>
    <definedName name="TABLE_GENDER_1" localSheetId="47">'x-413'!$B$11</definedName>
    <definedName name="TABLE_GENDER_1" localSheetId="48">'x-414'!$B$11</definedName>
    <definedName name="TABLE_GENDER_1" localSheetId="49">'x-415'!$B$11</definedName>
    <definedName name="TABLE_GENDER_1" localSheetId="50">'x-416'!$B$11</definedName>
    <definedName name="TABLE_GENDER_1" localSheetId="51">'x-417'!$B$11</definedName>
    <definedName name="TABLE_GENDER_1" localSheetId="52">'x-418'!$B$11</definedName>
    <definedName name="TABLE_GENDER_1" localSheetId="53">'x-419'!$B$11</definedName>
    <definedName name="TABLE_GENDER_1" localSheetId="54">'x-420'!$B$11</definedName>
    <definedName name="TABLE_GENDER_1" localSheetId="55">'x-421'!$B$11</definedName>
    <definedName name="TABLE_GENDER_1" localSheetId="56">'x-422'!$B$11</definedName>
    <definedName name="TABLE_GENDER_1" localSheetId="57">'x-423'!$B$11</definedName>
    <definedName name="TABLE_GENDER_1" localSheetId="58">'x-424'!$B$11</definedName>
    <definedName name="TABLE_GENDER_1" localSheetId="59">'x-501'!$B$11</definedName>
    <definedName name="TABLE_GENDER_1" localSheetId="60">'x-502'!$B$11</definedName>
    <definedName name="TABLE_GENDER_1" localSheetId="61">'x-503'!$B$11</definedName>
    <definedName name="TABLE_GENDER_1" localSheetId="62">'x-504'!$B$11</definedName>
    <definedName name="TABLE_GENDER_1" localSheetId="63">'x-505'!$B$11</definedName>
    <definedName name="TABLE_GENDER_1" localSheetId="64">'x-605'!$B$11</definedName>
    <definedName name="TABLE_GENDER_1" localSheetId="65">'x-606'!$B$11</definedName>
    <definedName name="TABLE_GENDER_1" localSheetId="66">'x-607'!$B$11</definedName>
    <definedName name="TABLE_GENDER_1" localSheetId="67">'x-608'!$B$11</definedName>
    <definedName name="TABLE_GENDER_1" localSheetId="68">'x-609'!$B$11</definedName>
    <definedName name="TABLE_GENDER_1" localSheetId="69">'x-610'!$B$11</definedName>
    <definedName name="TABLE_GENDER_1" localSheetId="70">'x-611'!$B$11</definedName>
    <definedName name="TABLE_GENDER_1" localSheetId="71">'x-612'!$B$11</definedName>
    <definedName name="TABLE_GENDER_1" localSheetId="72">'x-613'!$B$11</definedName>
    <definedName name="TABLE_GENDER_1" localSheetId="73">'x-614'!$B$11</definedName>
    <definedName name="TABLE_GENDER_1" localSheetId="74">'x-615'!$B$11</definedName>
    <definedName name="TABLE_GENDER_1" localSheetId="75">'x-703'!$B$11</definedName>
    <definedName name="TABLE_GENDER_1" localSheetId="76">'x-704'!$B$11</definedName>
    <definedName name="TABLE_GENDER_1" localSheetId="77">'x-705'!$B$11</definedName>
    <definedName name="TABLE_GENDER_1" localSheetId="78">'x-706'!$B$11</definedName>
    <definedName name="TABLE_GENDER_1" localSheetId="79">'x-707'!$B$11</definedName>
    <definedName name="TABLE_GENDER_1" localSheetId="80">'x-708'!$B$11</definedName>
    <definedName name="TABLE_GENDER_1" localSheetId="81">'x-709'!$B$11</definedName>
    <definedName name="TABLE_GENDER_1" localSheetId="82">'x-710'!$B$11</definedName>
    <definedName name="TABLE_GENDER_1" localSheetId="83">'x-711'!$B$11</definedName>
    <definedName name="TABLE_GENDER_1" localSheetId="84">'x-712'!$B$11</definedName>
    <definedName name="TABLE_GENDER_1" localSheetId="85">'x-713'!$B$11</definedName>
    <definedName name="TABLE_GENDER_1" localSheetId="86">'x-714'!$B$11</definedName>
    <definedName name="TABLE_GENDER_1" localSheetId="87">'x-715'!$B$11</definedName>
    <definedName name="TABLE_GENDER_1" localSheetId="88">'x-716'!$B$11</definedName>
    <definedName name="TABLE_GENDER_1" localSheetId="89">'x-717'!$B$11</definedName>
    <definedName name="TABLE_GENDER_1" localSheetId="90">'x-718'!$B$11</definedName>
    <definedName name="TABLE_GENDER_1" localSheetId="91">'x-719'!$B$11</definedName>
    <definedName name="TABLE_GENDER_1" localSheetId="92">'x-720'!$B$11</definedName>
    <definedName name="TABLE_GENDER_1" localSheetId="93">'x-801'!$B$11</definedName>
    <definedName name="TABLE_GENDER_1" localSheetId="94">'x-802'!$B$11</definedName>
    <definedName name="TABLE_GENDER_1" localSheetId="95">'x-803'!$B$11</definedName>
    <definedName name="TABLE_GENDER_1" localSheetId="96">'x-804'!$B$11</definedName>
    <definedName name="TABLE_GENDER_1" localSheetId="97">'x-805'!$B$11</definedName>
    <definedName name="TABLE_GENDER_1" localSheetId="98">'x-806'!$B$11</definedName>
    <definedName name="TABLE_GENDER_1" localSheetId="99">'x-807'!$B$11</definedName>
    <definedName name="TABLE_GENDER_1" localSheetId="100">'x-808'!$B$11</definedName>
    <definedName name="TABLE_GENDER_1" localSheetId="101">'x-809'!$B$11</definedName>
    <definedName name="TABLE_GENDER_1" localSheetId="102">'x-810'!$B$11</definedName>
    <definedName name="TABLE_GENDER_1" localSheetId="103">'x-811'!$B$11</definedName>
    <definedName name="TABLE_GENDER_1" localSheetId="104">'x-812'!$B$11</definedName>
    <definedName name="TABLE_GENDER_1" localSheetId="105">'x-813'!$B$11</definedName>
    <definedName name="TABLE_GENDER_1" localSheetId="106">'x-814'!$B$11</definedName>
    <definedName name="TABLE_GENDER_1" localSheetId="107">'x-815'!$B$11</definedName>
    <definedName name="TABLE_GENDER_1" localSheetId="108">'x-817'!$B$11</definedName>
    <definedName name="TABLE_GENDER_1" localSheetId="109">'x-818'!$B$11</definedName>
    <definedName name="TABLE_GENDER_1" localSheetId="110">'x-819'!$B$11</definedName>
    <definedName name="TABLE_GENDER_1" localSheetId="111">'x-820'!$B$11</definedName>
    <definedName name="TABLE_GENDER_1" localSheetId="112">'x-821'!$B$11</definedName>
    <definedName name="TABLE_GENDER_1" localSheetId="113">'x-822'!$B$11</definedName>
    <definedName name="TABLE_GENDER_1" localSheetId="114">'x-823'!$B$11</definedName>
    <definedName name="TABLE_GENDER_1" localSheetId="115">'x-824'!$B$11</definedName>
    <definedName name="TABLE_GENDER_1" localSheetId="116">'x-825'!$B$11</definedName>
    <definedName name="TABLE_GENDER_1" localSheetId="117">'x-826'!$B$11</definedName>
    <definedName name="TABLE_GENDER_1" localSheetId="118">'x-827'!$B$11</definedName>
    <definedName name="TABLE_GENDER_2" localSheetId="15">'x-204'!$I$11</definedName>
    <definedName name="TABLE_GENDER_2" localSheetId="37">'x-403'!$Q$11</definedName>
    <definedName name="TABLE_GENDER_2" localSheetId="38">'x-404'!$Q$11</definedName>
    <definedName name="TABLE_GENDER_2" localSheetId="43">'x-409'!$Q$11</definedName>
    <definedName name="TABLE_GENDER_2" localSheetId="44">'x-410'!$Q$11</definedName>
    <definedName name="TABLE_GENDER_2" localSheetId="49">'x-415'!$Q$11</definedName>
    <definedName name="TABLE_GENDER_2" localSheetId="102">'x-810'!$Q$11</definedName>
    <definedName name="TABLE_INFO">'x-Series Number'!$A$6:$B$20</definedName>
    <definedName name="table_info_1" localSheetId="8">'x-101'!$A$6:$B$21</definedName>
    <definedName name="table_info_1" localSheetId="9">'x-102'!$A$6:$B$21</definedName>
    <definedName name="table_info_1" localSheetId="10">'x-103'!$A$6:$B$21</definedName>
    <definedName name="table_info_1" localSheetId="11">'x-104'!$A$6:$B$21</definedName>
    <definedName name="TABLE_INFO_1" localSheetId="12">'x-201'!$A$6:$B$21</definedName>
    <definedName name="TABLE_INFO_1" localSheetId="13">'x-202'!$A$6:$B$21</definedName>
    <definedName name="TABLE_INFO_1" localSheetId="14">'x-203'!$A$6:$B$21</definedName>
    <definedName name="TABLE_INFO_1" localSheetId="15">'x-204'!$A$6:$B$21</definedName>
    <definedName name="TABLE_INFO_1" localSheetId="16">'x-205'!$A$6:$B$21</definedName>
    <definedName name="TABLE_INFO_1" localSheetId="17">'x-206'!$A$6:$B$21</definedName>
    <definedName name="TABLE_INFO_1" localSheetId="18">'x-207'!$A$6:$B$21</definedName>
    <definedName name="TABLE_INFO_1" localSheetId="19">'x-208'!$A$6:$B$21</definedName>
    <definedName name="TABLE_INFO_1" localSheetId="20">'x-209'!$A$6:$B$21</definedName>
    <definedName name="TABLE_INFO_1" localSheetId="21">'x-214'!$A$6:$B$21</definedName>
    <definedName name="TABLE_INFO_1" localSheetId="22">'x-215'!$A$6:$B$21</definedName>
    <definedName name="TABLE_INFO_1" localSheetId="23">'x-216'!$A$6:$B$21</definedName>
    <definedName name="TABLE_INFO_1" localSheetId="24">'x-217'!$A$6:$B$21</definedName>
    <definedName name="TABLE_INFO_1" localSheetId="25">'x-218'!$A$6:$B$21</definedName>
    <definedName name="TABLE_INFO_1" localSheetId="26">'x-219'!$A$6:$B$21</definedName>
    <definedName name="TABLE_INFO_1" localSheetId="27">'x-301'!$A$6:$B$21</definedName>
    <definedName name="TABLE_INFO_1" localSheetId="28">'x-302'!$A$6:$B$21</definedName>
    <definedName name="TABLE_INFO_1" localSheetId="29">'x-303'!$A$6:$B$21</definedName>
    <definedName name="TABLE_INFO_1" localSheetId="30">'x-304'!$A$6:$B$21</definedName>
    <definedName name="TABLE_INFO_1" localSheetId="31">'x-305'!$A$6:$B$21</definedName>
    <definedName name="TABLE_INFO_1" localSheetId="32">'x-306'!$A$6:$B$21</definedName>
    <definedName name="TABLE_INFO_1" localSheetId="33">'x-307'!$A$6:$B$21</definedName>
    <definedName name="TABLE_INFO_1" localSheetId="34">'x-308'!$A$6:$B$21</definedName>
    <definedName name="TABLE_INFO_1" localSheetId="35">'x-401'!$A$6:$B$21</definedName>
    <definedName name="TABLE_INFO_1" localSheetId="36">'x-402'!$A$6:$B$21</definedName>
    <definedName name="TABLE_INFO_1" localSheetId="37">'x-403'!$A$6:$B$21</definedName>
    <definedName name="TABLE_INFO_1" localSheetId="38">'x-404'!$A$6:$B$21</definedName>
    <definedName name="TABLE_INFO_1" localSheetId="39">'x-405'!$A$6:$B$21</definedName>
    <definedName name="TABLE_INFO_1" localSheetId="40">'x-406'!$A$6:$B$21</definedName>
    <definedName name="TABLE_INFO_1" localSheetId="41">'x-407'!$A$6:$B$21</definedName>
    <definedName name="TABLE_INFO_1" localSheetId="42">'x-408'!$A$6:$B$21</definedName>
    <definedName name="TABLE_INFO_1" localSheetId="43">'x-409'!$A$6:$B$21</definedName>
    <definedName name="TABLE_INFO_1" localSheetId="44">'x-410'!$A$6:$B$21</definedName>
    <definedName name="TABLE_INFO_1" localSheetId="45">'x-411'!$A$6:$B$21</definedName>
    <definedName name="TABLE_INFO_1" localSheetId="46">'x-412'!$A$6:$B$21</definedName>
    <definedName name="TABLE_INFO_1" localSheetId="47">'x-413'!$A$6:$B$21</definedName>
    <definedName name="TABLE_INFO_1" localSheetId="48">'x-414'!$A$6:$B$21</definedName>
    <definedName name="TABLE_INFO_1" localSheetId="49">'x-415'!$A$6:$B$21</definedName>
    <definedName name="TABLE_INFO_1" localSheetId="50">'x-416'!$A$6:$B$21</definedName>
    <definedName name="TABLE_INFO_1" localSheetId="51">'x-417'!$A$6:$B$21</definedName>
    <definedName name="TABLE_INFO_1" localSheetId="52">'x-418'!$A$6:$B$21</definedName>
    <definedName name="TABLE_INFO_1" localSheetId="53">'x-419'!$A$6:$B$21</definedName>
    <definedName name="TABLE_INFO_1" localSheetId="54">'x-420'!$A$6:$B$21</definedName>
    <definedName name="TABLE_INFO_1" localSheetId="55">'x-421'!$A$6:$B$21</definedName>
    <definedName name="TABLE_INFO_1" localSheetId="56">'x-422'!$A$6:$B$21</definedName>
    <definedName name="TABLE_INFO_1" localSheetId="57">'x-423'!$A$6:$B$21</definedName>
    <definedName name="TABLE_INFO_1" localSheetId="58">'x-424'!$A$6:$B$21</definedName>
    <definedName name="TABLE_INFO_1" localSheetId="59">'x-501'!$A$6:$B$21</definedName>
    <definedName name="TABLE_INFO_1" localSheetId="60">'x-502'!$A$6:$B$21</definedName>
    <definedName name="TABLE_INFO_1" localSheetId="61">'x-503'!$A$6:$B$21</definedName>
    <definedName name="TABLE_INFO_1" localSheetId="62">'x-504'!$A$6:$B$21</definedName>
    <definedName name="TABLE_INFO_1" localSheetId="63">'x-505'!$A$6:$B$21</definedName>
    <definedName name="TABLE_INFO_1" localSheetId="64">'x-605'!$A$6:$B$21</definedName>
    <definedName name="TABLE_INFO_1" localSheetId="65">'x-606'!$A$6:$B$21</definedName>
    <definedName name="TABLE_INFO_1" localSheetId="66">'x-607'!$A$6:$B$21</definedName>
    <definedName name="TABLE_INFO_1" localSheetId="67">'x-608'!$A$6:$B$21</definedName>
    <definedName name="TABLE_INFO_1" localSheetId="68">'x-609'!$A$6:$B$21</definedName>
    <definedName name="TABLE_INFO_1" localSheetId="69">'x-610'!$A$6:$B$21</definedName>
    <definedName name="TABLE_INFO_1" localSheetId="70">'x-611'!$A$6:$B$21</definedName>
    <definedName name="TABLE_INFO_1" localSheetId="71">'x-612'!$A$6:$B$21</definedName>
    <definedName name="TABLE_INFO_1" localSheetId="72">'x-613'!$A$6:$B$21</definedName>
    <definedName name="TABLE_INFO_1" localSheetId="73">'x-614'!$A$6:$B$21</definedName>
    <definedName name="TABLE_INFO_1" localSheetId="74">'x-615'!$A$6:$B$21</definedName>
    <definedName name="TABLE_INFO_1" localSheetId="75">'x-703'!$A$6:$B$21</definedName>
    <definedName name="TABLE_INFO_1" localSheetId="76">'x-704'!$A$6:$B$21</definedName>
    <definedName name="TABLE_INFO_1" localSheetId="77">'x-705'!$A$6:$B$21</definedName>
    <definedName name="TABLE_INFO_1" localSheetId="78">'x-706'!$A$6:$B$21</definedName>
    <definedName name="TABLE_INFO_1" localSheetId="79">'x-707'!$A$6:$B$21</definedName>
    <definedName name="TABLE_INFO_1" localSheetId="80">'x-708'!$A$6:$B$21</definedName>
    <definedName name="TABLE_INFO_1" localSheetId="81">'x-709'!$A$6:$B$21</definedName>
    <definedName name="TABLE_INFO_1" localSheetId="82">'x-710'!$A$6:$B$21</definedName>
    <definedName name="TABLE_INFO_1" localSheetId="83">'x-711'!$A$6:$B$21</definedName>
    <definedName name="TABLE_INFO_1" localSheetId="84">'x-712'!$A$6:$B$21</definedName>
    <definedName name="TABLE_INFO_1" localSheetId="85">'x-713'!$A$6:$B$21</definedName>
    <definedName name="TABLE_INFO_1" localSheetId="86">'x-714'!$A$6:$B$21</definedName>
    <definedName name="TABLE_INFO_1" localSheetId="87">'x-715'!$A$6:$B$21</definedName>
    <definedName name="TABLE_INFO_1" localSheetId="88">'x-716'!$A$6:$B$21</definedName>
    <definedName name="TABLE_INFO_1" localSheetId="89">'x-717'!$A$6:$B$21</definedName>
    <definedName name="TABLE_INFO_1" localSheetId="90">'x-718'!$A$6:$B$21</definedName>
    <definedName name="TABLE_INFO_1" localSheetId="91">'x-719'!$A$6:$B$21</definedName>
    <definedName name="TABLE_INFO_1" localSheetId="92">'x-720'!$A$6:$B$21</definedName>
    <definedName name="TABLE_INFO_1" localSheetId="93">'x-801'!$A$6:$B$21</definedName>
    <definedName name="TABLE_INFO_1" localSheetId="94">'x-802'!$A$6:$B$21</definedName>
    <definedName name="TABLE_INFO_1" localSheetId="95">'x-803'!$A$6:$B$21</definedName>
    <definedName name="TABLE_INFO_1" localSheetId="96">'x-804'!$A$6:$B$21</definedName>
    <definedName name="TABLE_INFO_1" localSheetId="97">'x-805'!$A$6:$B$21</definedName>
    <definedName name="TABLE_INFO_1" localSheetId="98">'x-806'!$A$6:$B$21</definedName>
    <definedName name="TABLE_INFO_1" localSheetId="99">'x-807'!$A$6:$B$21</definedName>
    <definedName name="TABLE_INFO_1" localSheetId="100">'x-808'!$A$6:$B$21</definedName>
    <definedName name="TABLE_INFO_1" localSheetId="101">'x-809'!$A$6:$B$21</definedName>
    <definedName name="TABLE_INFO_1" localSheetId="102">'x-810'!$A$6:$B$21</definedName>
    <definedName name="TABLE_INFO_1" localSheetId="103">'x-811'!$A$6:$B$21</definedName>
    <definedName name="TABLE_INFO_1" localSheetId="104">'x-812'!$A$6:$B$21</definedName>
    <definedName name="TABLE_INFO_1" localSheetId="105">'x-813'!$A$6:$B$21</definedName>
    <definedName name="TABLE_INFO_1" localSheetId="106">'x-814'!$A$6:$B$21</definedName>
    <definedName name="TABLE_INFO_1" localSheetId="107">'x-815'!$A$6:$B$21</definedName>
    <definedName name="TABLE_INFO_1" localSheetId="108">'x-817'!$A$6:$B$21</definedName>
    <definedName name="TABLE_INFO_1" localSheetId="109">'x-818'!$A$6:$B$21</definedName>
    <definedName name="TABLE_INFO_1" localSheetId="110">'x-819'!$A$6:$B$21</definedName>
    <definedName name="TABLE_INFO_1" localSheetId="111">'x-820'!$A$6:$B$21</definedName>
    <definedName name="TABLE_INFO_1" localSheetId="112">'x-821'!$A$6:$B$21</definedName>
    <definedName name="TABLE_INFO_1" localSheetId="113">'x-822'!$A$6:$B$21</definedName>
    <definedName name="TABLE_INFO_1" localSheetId="114">'x-823'!$A$6:$B$21</definedName>
    <definedName name="TABLE_INFO_1" localSheetId="115">'x-824'!$A$6:$B$21</definedName>
    <definedName name="TABLE_INFO_1" localSheetId="116">'x-825'!$A$6:$B$21</definedName>
    <definedName name="TABLE_INFO_1" localSheetId="117">'x-826'!$A$6:$B$21</definedName>
    <definedName name="TABLE_INFO_1" localSheetId="118">'x-827'!$A$6:$B$21</definedName>
    <definedName name="TABLE_INFO_2" localSheetId="15">'x-204'!$H$6:$I$21</definedName>
    <definedName name="TABLE_INFO_2" localSheetId="37">'x-403'!$P$6:$Q$21</definedName>
    <definedName name="TABLE_INFO_2" localSheetId="38">'x-404'!$P$6:$Q$21</definedName>
    <definedName name="TABLE_INFO_2" localSheetId="43">'x-409'!$P$6:$Q$21</definedName>
    <definedName name="TABLE_INFO_2" localSheetId="44">'x-410'!$P$6:$Q$21</definedName>
    <definedName name="TABLE_INFO_2" localSheetId="49">'x-415'!$P$6:$Q$21</definedName>
    <definedName name="TABLE_INFO_2" localSheetId="102">'x-810'!$P$6:$Q$21</definedName>
    <definedName name="TABLE_REFERENCE">'x-Series Number'!$B$15</definedName>
    <definedName name="table_reference_1" localSheetId="8">'x-101'!$B$15</definedName>
    <definedName name="table_reference_1" localSheetId="9">'x-102'!$B$15</definedName>
    <definedName name="table_reference_1" localSheetId="10">'x-103'!$B$15</definedName>
    <definedName name="table_reference_1" localSheetId="11">'x-104'!$B$15</definedName>
    <definedName name="TABLE_REFERENCE_1" localSheetId="12">'x-201'!$B$15</definedName>
    <definedName name="TABLE_REFERENCE_1" localSheetId="13">'x-202'!$B$15</definedName>
    <definedName name="TABLE_REFERENCE_1" localSheetId="14">'x-203'!$B$15</definedName>
    <definedName name="TABLE_REFERENCE_1" localSheetId="15">'x-204'!$B$15</definedName>
    <definedName name="TABLE_REFERENCE_1" localSheetId="16">'x-205'!$B$15</definedName>
    <definedName name="TABLE_REFERENCE_1" localSheetId="17">'x-206'!$B$15</definedName>
    <definedName name="TABLE_REFERENCE_1" localSheetId="18">'x-207'!$B$15</definedName>
    <definedName name="TABLE_REFERENCE_1" localSheetId="19">'x-208'!$B$15</definedName>
    <definedName name="TABLE_REFERENCE_1" localSheetId="20">'x-209'!$B$15</definedName>
    <definedName name="TABLE_REFERENCE_1" localSheetId="21">'x-214'!$B$15</definedName>
    <definedName name="TABLE_REFERENCE_1" localSheetId="22">'x-215'!$B$15</definedName>
    <definedName name="TABLE_REFERENCE_1" localSheetId="23">'x-216'!$B$15</definedName>
    <definedName name="TABLE_REFERENCE_1" localSheetId="24">'x-217'!$B$15</definedName>
    <definedName name="TABLE_REFERENCE_1" localSheetId="25">'x-218'!$B$15</definedName>
    <definedName name="TABLE_REFERENCE_1" localSheetId="26">'x-219'!$B$15</definedName>
    <definedName name="TABLE_REFERENCE_1" localSheetId="27">'x-301'!$B$15</definedName>
    <definedName name="TABLE_REFERENCE_1" localSheetId="28">'x-302'!$B$15</definedName>
    <definedName name="TABLE_REFERENCE_1" localSheetId="29">'x-303'!$B$15</definedName>
    <definedName name="TABLE_REFERENCE_1" localSheetId="30">'x-304'!$B$15</definedName>
    <definedName name="TABLE_REFERENCE_1" localSheetId="31">'x-305'!$B$15</definedName>
    <definedName name="TABLE_REFERENCE_1" localSheetId="32">'x-306'!$B$15</definedName>
    <definedName name="TABLE_REFERENCE_1" localSheetId="33">'x-307'!$B$15</definedName>
    <definedName name="TABLE_REFERENCE_1" localSheetId="34">'x-308'!$B$15</definedName>
    <definedName name="TABLE_REFERENCE_1" localSheetId="35">'x-401'!$B$15</definedName>
    <definedName name="TABLE_REFERENCE_1" localSheetId="36">'x-402'!$B$15</definedName>
    <definedName name="TABLE_REFERENCE_1" localSheetId="37">'x-403'!$B$15</definedName>
    <definedName name="TABLE_REFERENCE_1" localSheetId="38">'x-404'!$B$15</definedName>
    <definedName name="TABLE_REFERENCE_1" localSheetId="39">'x-405'!$B$15</definedName>
    <definedName name="TABLE_REFERENCE_1" localSheetId="40">'x-406'!$B$15</definedName>
    <definedName name="TABLE_REFERENCE_1" localSheetId="41">'x-407'!$B$15</definedName>
    <definedName name="TABLE_REFERENCE_1" localSheetId="42">'x-408'!$B$15</definedName>
    <definedName name="TABLE_REFERENCE_1" localSheetId="43">'x-409'!$B$15</definedName>
    <definedName name="TABLE_REFERENCE_1" localSheetId="44">'x-410'!$B$15</definedName>
    <definedName name="TABLE_REFERENCE_1" localSheetId="45">'x-411'!$B$15</definedName>
    <definedName name="TABLE_REFERENCE_1" localSheetId="46">'x-412'!$B$15</definedName>
    <definedName name="TABLE_REFERENCE_1" localSheetId="47">'x-413'!$B$15</definedName>
    <definedName name="TABLE_REFERENCE_1" localSheetId="48">'x-414'!$B$15</definedName>
    <definedName name="TABLE_REFERENCE_1" localSheetId="49">'x-415'!$B$15</definedName>
    <definedName name="TABLE_REFERENCE_1" localSheetId="50">'x-416'!$B$15</definedName>
    <definedName name="TABLE_REFERENCE_1" localSheetId="51">'x-417'!$B$15</definedName>
    <definedName name="TABLE_REFERENCE_1" localSheetId="52">'x-418'!$B$15</definedName>
    <definedName name="TABLE_REFERENCE_1" localSheetId="53">'x-419'!$B$15</definedName>
    <definedName name="TABLE_REFERENCE_1" localSheetId="54">'x-420'!$B$15</definedName>
    <definedName name="TABLE_REFERENCE_1" localSheetId="55">'x-421'!$B$15</definedName>
    <definedName name="TABLE_REFERENCE_1" localSheetId="56">'x-422'!$B$15</definedName>
    <definedName name="TABLE_REFERENCE_1" localSheetId="57">'x-423'!$B$15</definedName>
    <definedName name="TABLE_REFERENCE_1" localSheetId="58">'x-424'!$B$15</definedName>
    <definedName name="TABLE_REFERENCE_1" localSheetId="59">'x-501'!$B$15</definedName>
    <definedName name="TABLE_REFERENCE_1" localSheetId="60">'x-502'!$B$15</definedName>
    <definedName name="TABLE_REFERENCE_1" localSheetId="61">'x-503'!$B$15</definedName>
    <definedName name="TABLE_REFERENCE_1" localSheetId="62">'x-504'!$B$15</definedName>
    <definedName name="TABLE_REFERENCE_1" localSheetId="63">'x-505'!$B$15</definedName>
    <definedName name="TABLE_REFERENCE_1" localSheetId="64">'x-605'!$B$15</definedName>
    <definedName name="TABLE_REFERENCE_1" localSheetId="65">'x-606'!$B$15</definedName>
    <definedName name="TABLE_REFERENCE_1" localSheetId="66">'x-607'!$B$15</definedName>
    <definedName name="TABLE_REFERENCE_1" localSheetId="67">'x-608'!$B$15</definedName>
    <definedName name="TABLE_REFERENCE_1" localSheetId="68">'x-609'!$B$15</definedName>
    <definedName name="TABLE_REFERENCE_1" localSheetId="69">'x-610'!$B$15</definedName>
    <definedName name="TABLE_REFERENCE_1" localSheetId="70">'x-611'!$B$15</definedName>
    <definedName name="TABLE_REFERENCE_1" localSheetId="71">'x-612'!$B$15</definedName>
    <definedName name="TABLE_REFERENCE_1" localSheetId="72">'x-613'!$B$15</definedName>
    <definedName name="TABLE_REFERENCE_1" localSheetId="73">'x-614'!$B$15</definedName>
    <definedName name="TABLE_REFERENCE_1" localSheetId="74">'x-615'!$B$15</definedName>
    <definedName name="TABLE_REFERENCE_1" localSheetId="75">'x-703'!$B$15</definedName>
    <definedName name="TABLE_REFERENCE_1" localSheetId="76">'x-704'!$B$15</definedName>
    <definedName name="TABLE_REFERENCE_1" localSheetId="77">'x-705'!$B$15</definedName>
    <definedName name="TABLE_REFERENCE_1" localSheetId="78">'x-706'!$B$15</definedName>
    <definedName name="TABLE_REFERENCE_1" localSheetId="79">'x-707'!$B$15</definedName>
    <definedName name="TABLE_REFERENCE_1" localSheetId="80">'x-708'!$B$15</definedName>
    <definedName name="TABLE_REFERENCE_1" localSheetId="81">'x-709'!$B$15</definedName>
    <definedName name="TABLE_REFERENCE_1" localSheetId="82">'x-710'!$B$15</definedName>
    <definedName name="TABLE_REFERENCE_1" localSheetId="83">'x-711'!$B$15</definedName>
    <definedName name="TABLE_REFERENCE_1" localSheetId="84">'x-712'!$B$15</definedName>
    <definedName name="TABLE_REFERENCE_1" localSheetId="85">'x-713'!$B$15</definedName>
    <definedName name="TABLE_REFERENCE_1" localSheetId="86">'x-714'!$B$15</definedName>
    <definedName name="TABLE_REFERENCE_1" localSheetId="87">'x-715'!$B$15</definedName>
    <definedName name="TABLE_REFERENCE_1" localSheetId="88">'x-716'!$B$15</definedName>
    <definedName name="TABLE_REFERENCE_1" localSheetId="89">'x-717'!$B$15</definedName>
    <definedName name="TABLE_REFERENCE_1" localSheetId="90">'x-718'!$B$15</definedName>
    <definedName name="TABLE_REFERENCE_1" localSheetId="91">'x-719'!$B$15</definedName>
    <definedName name="TABLE_REFERENCE_1" localSheetId="92">'x-720'!$B$15</definedName>
    <definedName name="TABLE_REFERENCE_1" localSheetId="93">'x-801'!$B$15</definedName>
    <definedName name="TABLE_REFERENCE_1" localSheetId="94">'x-802'!$B$15</definedName>
    <definedName name="TABLE_REFERENCE_1" localSheetId="95">'x-803'!$B$15</definedName>
    <definedName name="TABLE_REFERENCE_1" localSheetId="96">'x-804'!$B$15</definedName>
    <definedName name="TABLE_REFERENCE_1" localSheetId="97">'x-805'!$B$15</definedName>
    <definedName name="TABLE_REFERENCE_1" localSheetId="98">'x-806'!$B$15</definedName>
    <definedName name="TABLE_REFERENCE_1" localSheetId="99">'x-807'!$B$15</definedName>
    <definedName name="TABLE_REFERENCE_1" localSheetId="100">'x-808'!$B$15</definedName>
    <definedName name="TABLE_REFERENCE_1" localSheetId="101">'x-809'!$B$15</definedName>
    <definedName name="TABLE_REFERENCE_1" localSheetId="102">'x-810'!$B$15</definedName>
    <definedName name="TABLE_REFERENCE_1" localSheetId="103">'x-811'!$B$15</definedName>
    <definedName name="TABLE_REFERENCE_1" localSheetId="104">'x-812'!$B$15</definedName>
    <definedName name="TABLE_REFERENCE_1" localSheetId="105">'x-813'!$B$15</definedName>
    <definedName name="TABLE_REFERENCE_1" localSheetId="106">'x-814'!$B$15</definedName>
    <definedName name="TABLE_REFERENCE_1" localSheetId="107">'x-815'!$B$15</definedName>
    <definedName name="TABLE_REFERENCE_1" localSheetId="108">'x-817'!$B$15</definedName>
    <definedName name="TABLE_REFERENCE_1" localSheetId="109">'x-818'!$B$15</definedName>
    <definedName name="TABLE_REFERENCE_1" localSheetId="110">'x-819'!$B$15</definedName>
    <definedName name="TABLE_REFERENCE_1" localSheetId="111">'x-820'!$B$15</definedName>
    <definedName name="TABLE_REFERENCE_1" localSheetId="112">'x-821'!$B$15</definedName>
    <definedName name="TABLE_REFERENCE_1" localSheetId="113">'x-822'!$B$15</definedName>
    <definedName name="TABLE_REFERENCE_1" localSheetId="114">'x-823'!$B$15</definedName>
    <definedName name="TABLE_REFERENCE_1" localSheetId="115">'x-824'!$B$15</definedName>
    <definedName name="TABLE_REFERENCE_1" localSheetId="116">'x-825'!$B$15</definedName>
    <definedName name="TABLE_REFERENCE_1" localSheetId="117">'x-826'!$B$15</definedName>
    <definedName name="TABLE_REFERENCE_1" localSheetId="118">'x-827'!$B$15</definedName>
    <definedName name="TABLE_REFERENCE_2" localSheetId="15">'x-204'!$I$15</definedName>
    <definedName name="TABLE_REFERENCE_2" localSheetId="37">'x-403'!$Q$15</definedName>
    <definedName name="TABLE_REFERENCE_2" localSheetId="38">'x-404'!$Q$15</definedName>
    <definedName name="TABLE_REFERENCE_2" localSheetId="43">'x-409'!$Q$15</definedName>
    <definedName name="TABLE_REFERENCE_2" localSheetId="44">'x-410'!$Q$15</definedName>
    <definedName name="TABLE_REFERENCE_2" localSheetId="49">'x-415'!$Q$15</definedName>
    <definedName name="TABLE_REFERENCE_2" localSheetId="102">'x-810'!$Q$15</definedName>
    <definedName name="TABLE_REFERENCE_GUIDANCE">'x-Series Number'!$B$16</definedName>
    <definedName name="table_reference_guidance_1" localSheetId="8">'x-101'!$B$16</definedName>
    <definedName name="table_reference_guidance_1" localSheetId="9">'x-102'!$B$16</definedName>
    <definedName name="table_reference_guidance_1" localSheetId="10">'x-103'!$B$16</definedName>
    <definedName name="table_reference_guidance_1" localSheetId="11">'x-104'!$B$16</definedName>
    <definedName name="TABLE_REFERENCE_GUIDANCE_1" localSheetId="12">'x-201'!$B$16</definedName>
    <definedName name="TABLE_REFERENCE_GUIDANCE_1" localSheetId="13">'x-202'!$B$16</definedName>
    <definedName name="TABLE_REFERENCE_GUIDANCE_1" localSheetId="14">'x-203'!$B$16</definedName>
    <definedName name="TABLE_REFERENCE_GUIDANCE_1" localSheetId="15">'x-204'!$B$16</definedName>
    <definedName name="TABLE_REFERENCE_GUIDANCE_1" localSheetId="16">'x-205'!$B$16</definedName>
    <definedName name="TABLE_REFERENCE_GUIDANCE_1" localSheetId="17">'x-206'!$B$16</definedName>
    <definedName name="TABLE_REFERENCE_GUIDANCE_1" localSheetId="18">'x-207'!$B$16</definedName>
    <definedName name="TABLE_REFERENCE_GUIDANCE_1" localSheetId="19">'x-208'!$B$16</definedName>
    <definedName name="TABLE_REFERENCE_GUIDANCE_1" localSheetId="20">'x-209'!$B$16</definedName>
    <definedName name="TABLE_REFERENCE_GUIDANCE_1" localSheetId="21">'x-214'!$B$16</definedName>
    <definedName name="TABLE_REFERENCE_GUIDANCE_1" localSheetId="22">'x-215'!$B$16</definedName>
    <definedName name="TABLE_REFERENCE_GUIDANCE_1" localSheetId="23">'x-216'!$B$16</definedName>
    <definedName name="TABLE_REFERENCE_GUIDANCE_1" localSheetId="24">'x-217'!$B$16</definedName>
    <definedName name="TABLE_REFERENCE_GUIDANCE_1" localSheetId="25">'x-218'!$B$16</definedName>
    <definedName name="TABLE_REFERENCE_GUIDANCE_1" localSheetId="26">'x-219'!$B$16</definedName>
    <definedName name="TABLE_REFERENCE_GUIDANCE_1" localSheetId="27">'x-301'!$B$16</definedName>
    <definedName name="TABLE_REFERENCE_GUIDANCE_1" localSheetId="28">'x-302'!$B$16</definedName>
    <definedName name="TABLE_REFERENCE_GUIDANCE_1" localSheetId="29">'x-303'!$B$16</definedName>
    <definedName name="TABLE_REFERENCE_GUIDANCE_1" localSheetId="30">'x-304'!$B$16</definedName>
    <definedName name="TABLE_REFERENCE_GUIDANCE_1" localSheetId="31">'x-305'!$B$16</definedName>
    <definedName name="TABLE_REFERENCE_GUIDANCE_1" localSheetId="32">'x-306'!$B$16</definedName>
    <definedName name="TABLE_REFERENCE_GUIDANCE_1" localSheetId="33">'x-307'!$B$16</definedName>
    <definedName name="TABLE_REFERENCE_GUIDANCE_1" localSheetId="34">'x-308'!$B$16</definedName>
    <definedName name="TABLE_REFERENCE_GUIDANCE_1" localSheetId="35">'x-401'!$B$16</definedName>
    <definedName name="TABLE_REFERENCE_GUIDANCE_1" localSheetId="36">'x-402'!$B$16</definedName>
    <definedName name="TABLE_REFERENCE_GUIDANCE_1" localSheetId="37">'x-403'!$B$16</definedName>
    <definedName name="TABLE_REFERENCE_GUIDANCE_1" localSheetId="38">'x-404'!$B$16</definedName>
    <definedName name="TABLE_REFERENCE_GUIDANCE_1" localSheetId="39">'x-405'!$B$16</definedName>
    <definedName name="TABLE_REFERENCE_GUIDANCE_1" localSheetId="40">'x-406'!$B$16</definedName>
    <definedName name="TABLE_REFERENCE_GUIDANCE_1" localSheetId="41">'x-407'!$B$16</definedName>
    <definedName name="TABLE_REFERENCE_GUIDANCE_1" localSheetId="42">'x-408'!$B$16</definedName>
    <definedName name="TABLE_REFERENCE_GUIDANCE_1" localSheetId="43">'x-409'!$B$16</definedName>
    <definedName name="TABLE_REFERENCE_GUIDANCE_1" localSheetId="44">'x-410'!$B$16</definedName>
    <definedName name="TABLE_REFERENCE_GUIDANCE_1" localSheetId="45">'x-411'!$B$16</definedName>
    <definedName name="TABLE_REFERENCE_GUIDANCE_1" localSheetId="46">'x-412'!$B$16</definedName>
    <definedName name="TABLE_REFERENCE_GUIDANCE_1" localSheetId="47">'x-413'!$B$16</definedName>
    <definedName name="TABLE_REFERENCE_GUIDANCE_1" localSheetId="48">'x-414'!$B$16</definedName>
    <definedName name="TABLE_REFERENCE_GUIDANCE_1" localSheetId="49">'x-415'!$B$16</definedName>
    <definedName name="TABLE_REFERENCE_GUIDANCE_1" localSheetId="50">'x-416'!$B$16</definedName>
    <definedName name="TABLE_REFERENCE_GUIDANCE_1" localSheetId="51">'x-417'!$B$16</definedName>
    <definedName name="TABLE_REFERENCE_GUIDANCE_1" localSheetId="52">'x-418'!$B$16</definedName>
    <definedName name="TABLE_REFERENCE_GUIDANCE_1" localSheetId="53">'x-419'!$B$16</definedName>
    <definedName name="TABLE_REFERENCE_GUIDANCE_1" localSheetId="54">'x-420'!$B$16</definedName>
    <definedName name="TABLE_REFERENCE_GUIDANCE_1" localSheetId="55">'x-421'!$B$16</definedName>
    <definedName name="TABLE_REFERENCE_GUIDANCE_1" localSheetId="56">'x-422'!$B$16</definedName>
    <definedName name="TABLE_REFERENCE_GUIDANCE_1" localSheetId="57">'x-423'!$B$16</definedName>
    <definedName name="TABLE_REFERENCE_GUIDANCE_1" localSheetId="58">'x-424'!$B$16</definedName>
    <definedName name="TABLE_REFERENCE_GUIDANCE_1" localSheetId="59">'x-501'!$B$16</definedName>
    <definedName name="TABLE_REFERENCE_GUIDANCE_1" localSheetId="60">'x-502'!$B$16</definedName>
    <definedName name="TABLE_REFERENCE_GUIDANCE_1" localSheetId="61">'x-503'!$B$16</definedName>
    <definedName name="TABLE_REFERENCE_GUIDANCE_1" localSheetId="62">'x-504'!$B$16</definedName>
    <definedName name="TABLE_REFERENCE_GUIDANCE_1" localSheetId="63">'x-505'!$B$16</definedName>
    <definedName name="TABLE_REFERENCE_GUIDANCE_1" localSheetId="64">'x-605'!$B$16</definedName>
    <definedName name="TABLE_REFERENCE_GUIDANCE_1" localSheetId="65">'x-606'!$B$16</definedName>
    <definedName name="TABLE_REFERENCE_GUIDANCE_1" localSheetId="66">'x-607'!$B$16</definedName>
    <definedName name="TABLE_REFERENCE_GUIDANCE_1" localSheetId="67">'x-608'!$B$16</definedName>
    <definedName name="TABLE_REFERENCE_GUIDANCE_1" localSheetId="68">'x-609'!$B$16</definedName>
    <definedName name="TABLE_REFERENCE_GUIDANCE_1" localSheetId="69">'x-610'!$B$16</definedName>
    <definedName name="TABLE_REFERENCE_GUIDANCE_1" localSheetId="70">'x-611'!$B$16</definedName>
    <definedName name="TABLE_REFERENCE_GUIDANCE_1" localSheetId="71">'x-612'!$B$16</definedName>
    <definedName name="TABLE_REFERENCE_GUIDANCE_1" localSheetId="72">'x-613'!$B$16</definedName>
    <definedName name="TABLE_REFERENCE_GUIDANCE_1" localSheetId="73">'x-614'!$B$16</definedName>
    <definedName name="TABLE_REFERENCE_GUIDANCE_1" localSheetId="74">'x-615'!$B$16</definedName>
    <definedName name="TABLE_REFERENCE_GUIDANCE_1" localSheetId="75">'x-703'!$B$16</definedName>
    <definedName name="TABLE_REFERENCE_GUIDANCE_1" localSheetId="76">'x-704'!$B$16</definedName>
    <definedName name="TABLE_REFERENCE_GUIDANCE_1" localSheetId="77">'x-705'!$B$16</definedName>
    <definedName name="TABLE_REFERENCE_GUIDANCE_1" localSheetId="78">'x-706'!$B$16</definedName>
    <definedName name="TABLE_REFERENCE_GUIDANCE_1" localSheetId="79">'x-707'!$B$16</definedName>
    <definedName name="TABLE_REFERENCE_GUIDANCE_1" localSheetId="80">'x-708'!$B$16</definedName>
    <definedName name="TABLE_REFERENCE_GUIDANCE_1" localSheetId="81">'x-709'!$B$16</definedName>
    <definedName name="TABLE_REFERENCE_GUIDANCE_1" localSheetId="82">'x-710'!$B$16</definedName>
    <definedName name="TABLE_REFERENCE_GUIDANCE_1" localSheetId="83">'x-711'!$B$16</definedName>
    <definedName name="TABLE_REFERENCE_GUIDANCE_1" localSheetId="84">'x-712'!$B$16</definedName>
    <definedName name="TABLE_REFERENCE_GUIDANCE_1" localSheetId="85">'x-713'!$B$16</definedName>
    <definedName name="TABLE_REFERENCE_GUIDANCE_1" localSheetId="86">'x-714'!$B$16</definedName>
    <definedName name="TABLE_REFERENCE_GUIDANCE_1" localSheetId="87">'x-715'!$B$16</definedName>
    <definedName name="TABLE_REFERENCE_GUIDANCE_1" localSheetId="88">'x-716'!$B$16</definedName>
    <definedName name="TABLE_REFERENCE_GUIDANCE_1" localSheetId="89">'x-717'!$B$16</definedName>
    <definedName name="TABLE_REFERENCE_GUIDANCE_1" localSheetId="90">'x-718'!$B$16</definedName>
    <definedName name="TABLE_REFERENCE_GUIDANCE_1" localSheetId="91">'x-719'!$B$16</definedName>
    <definedName name="TABLE_REFERENCE_GUIDANCE_1" localSheetId="92">'x-720'!$B$16</definedName>
    <definedName name="TABLE_REFERENCE_GUIDANCE_1" localSheetId="93">'x-801'!$B$16</definedName>
    <definedName name="TABLE_REFERENCE_GUIDANCE_1" localSheetId="94">'x-802'!$B$16</definedName>
    <definedName name="TABLE_REFERENCE_GUIDANCE_1" localSheetId="95">'x-803'!$B$16</definedName>
    <definedName name="TABLE_REFERENCE_GUIDANCE_1" localSheetId="96">'x-804'!$B$16</definedName>
    <definedName name="TABLE_REFERENCE_GUIDANCE_1" localSheetId="97">'x-805'!$B$16</definedName>
    <definedName name="TABLE_REFERENCE_GUIDANCE_1" localSheetId="98">'x-806'!$B$16</definedName>
    <definedName name="TABLE_REFERENCE_GUIDANCE_1" localSheetId="99">'x-807'!$B$16</definedName>
    <definedName name="TABLE_REFERENCE_GUIDANCE_1" localSheetId="100">'x-808'!$B$16</definedName>
    <definedName name="TABLE_REFERENCE_GUIDANCE_1" localSheetId="101">'x-809'!$B$16</definedName>
    <definedName name="TABLE_REFERENCE_GUIDANCE_1" localSheetId="102">'x-810'!$B$16</definedName>
    <definedName name="TABLE_REFERENCE_GUIDANCE_1" localSheetId="103">'x-811'!$B$16</definedName>
    <definedName name="TABLE_REFERENCE_GUIDANCE_1" localSheetId="104">'x-812'!$B$16</definedName>
    <definedName name="TABLE_REFERENCE_GUIDANCE_1" localSheetId="105">'x-813'!$B$16</definedName>
    <definedName name="TABLE_REFERENCE_GUIDANCE_1" localSheetId="106">'x-814'!$B$16</definedName>
    <definedName name="TABLE_REFERENCE_GUIDANCE_1" localSheetId="107">'x-815'!$B$16</definedName>
    <definedName name="TABLE_REFERENCE_GUIDANCE_1" localSheetId="108">'x-817'!$B$16</definedName>
    <definedName name="TABLE_REFERENCE_GUIDANCE_1" localSheetId="109">'x-818'!$B$16</definedName>
    <definedName name="TABLE_REFERENCE_GUIDANCE_1" localSheetId="110">'x-819'!$B$16</definedName>
    <definedName name="TABLE_REFERENCE_GUIDANCE_1" localSheetId="111">'x-820'!$B$16</definedName>
    <definedName name="TABLE_REFERENCE_GUIDANCE_1" localSheetId="112">'x-821'!$B$16</definedName>
    <definedName name="TABLE_REFERENCE_GUIDANCE_1" localSheetId="113">'x-822'!$B$16</definedName>
    <definedName name="TABLE_REFERENCE_GUIDANCE_1" localSheetId="114">'x-823'!$B$16</definedName>
    <definedName name="TABLE_REFERENCE_GUIDANCE_1" localSheetId="115">'x-824'!$B$16</definedName>
    <definedName name="TABLE_REFERENCE_GUIDANCE_1" localSheetId="116">'x-825'!$B$16</definedName>
    <definedName name="TABLE_REFERENCE_GUIDANCE_1" localSheetId="117">'x-826'!$B$16</definedName>
    <definedName name="TABLE_REFERENCE_GUIDANCE_1" localSheetId="118">'x-827'!$B$16</definedName>
    <definedName name="TABLE_REFERENCE_GUIDANCE_2" localSheetId="15">'x-204'!$I$16</definedName>
    <definedName name="TABLE_REFERENCE_GUIDANCE_2" localSheetId="37">'x-403'!$Q$16</definedName>
    <definedName name="TABLE_REFERENCE_GUIDANCE_2" localSheetId="38">'x-404'!$Q$16</definedName>
    <definedName name="TABLE_REFERENCE_GUIDANCE_2" localSheetId="43">'x-409'!$Q$16</definedName>
    <definedName name="TABLE_REFERENCE_GUIDANCE_2" localSheetId="44">'x-410'!$Q$16</definedName>
    <definedName name="TABLE_REFERENCE_GUIDANCE_2" localSheetId="49">'x-415'!$Q$16</definedName>
    <definedName name="TABLE_REFERENCE_GUIDANCE_2" localSheetId="102">'x-810'!$Q$16</definedName>
    <definedName name="TABLE_RELATED">'x-Series Number'!$B$17</definedName>
    <definedName name="table_related_1" localSheetId="8">'x-101'!$B$17</definedName>
    <definedName name="table_related_1" localSheetId="9">'x-102'!$B$17</definedName>
    <definedName name="table_related_1" localSheetId="10">'x-103'!$B$17</definedName>
    <definedName name="table_related_1" localSheetId="11">'x-104'!$B$17</definedName>
    <definedName name="TABLE_RELATED_1" localSheetId="12">'x-201'!$B$17</definedName>
    <definedName name="TABLE_RELATED_1" localSheetId="13">'x-202'!$B$17</definedName>
    <definedName name="TABLE_RELATED_1" localSheetId="14">'x-203'!$B$17</definedName>
    <definedName name="TABLE_RELATED_1" localSheetId="15">'x-204'!$B$17</definedName>
    <definedName name="TABLE_RELATED_1" localSheetId="16">'x-205'!$B$17</definedName>
    <definedName name="TABLE_RELATED_1" localSheetId="17">'x-206'!$B$17</definedName>
    <definedName name="TABLE_RELATED_1" localSheetId="18">'x-207'!$B$17</definedName>
    <definedName name="TABLE_RELATED_1" localSheetId="19">'x-208'!$B$17</definedName>
    <definedName name="TABLE_RELATED_1" localSheetId="20">'x-209'!$B$17</definedName>
    <definedName name="TABLE_RELATED_1" localSheetId="21">'x-214'!$B$17</definedName>
    <definedName name="TABLE_RELATED_1" localSheetId="22">'x-215'!$B$17</definedName>
    <definedName name="TABLE_RELATED_1" localSheetId="23">'x-216'!$B$17</definedName>
    <definedName name="TABLE_RELATED_1" localSheetId="24">'x-217'!$B$17</definedName>
    <definedName name="TABLE_RELATED_1" localSheetId="25">'x-218'!$B$17</definedName>
    <definedName name="TABLE_RELATED_1" localSheetId="26">'x-219'!$B$17</definedName>
    <definedName name="TABLE_RELATED_1" localSheetId="27">'x-301'!$B$17</definedName>
    <definedName name="TABLE_RELATED_1" localSheetId="28">'x-302'!$B$17</definedName>
    <definedName name="TABLE_RELATED_1" localSheetId="29">'x-303'!$B$17</definedName>
    <definedName name="TABLE_RELATED_1" localSheetId="30">'x-304'!$B$17</definedName>
    <definedName name="TABLE_RELATED_1" localSheetId="31">'x-305'!$B$17</definedName>
    <definedName name="TABLE_RELATED_1" localSheetId="32">'x-306'!$B$17</definedName>
    <definedName name="TABLE_RELATED_1" localSheetId="33">'x-307'!$B$17</definedName>
    <definedName name="TABLE_RELATED_1" localSheetId="34">'x-308'!$B$17</definedName>
    <definedName name="TABLE_RELATED_1" localSheetId="35">'x-401'!$B$17</definedName>
    <definedName name="TABLE_RELATED_1" localSheetId="36">'x-402'!$B$17</definedName>
    <definedName name="TABLE_RELATED_1" localSheetId="37">'x-403'!$B$17</definedName>
    <definedName name="TABLE_RELATED_1" localSheetId="38">'x-404'!$B$17</definedName>
    <definedName name="TABLE_RELATED_1" localSheetId="39">'x-405'!$B$17</definedName>
    <definedName name="TABLE_RELATED_1" localSheetId="40">'x-406'!$B$17</definedName>
    <definedName name="TABLE_RELATED_1" localSheetId="41">'x-407'!$B$17</definedName>
    <definedName name="TABLE_RELATED_1" localSheetId="42">'x-408'!$B$17</definedName>
    <definedName name="TABLE_RELATED_1" localSheetId="43">'x-409'!$B$17</definedName>
    <definedName name="TABLE_RELATED_1" localSheetId="44">'x-410'!$B$17</definedName>
    <definedName name="TABLE_RELATED_1" localSheetId="45">'x-411'!$B$17</definedName>
    <definedName name="TABLE_RELATED_1" localSheetId="46">'x-412'!$B$17</definedName>
    <definedName name="TABLE_RELATED_1" localSheetId="47">'x-413'!$B$17</definedName>
    <definedName name="TABLE_RELATED_1" localSheetId="48">'x-414'!$B$17</definedName>
    <definedName name="TABLE_RELATED_1" localSheetId="49">'x-415'!$B$17</definedName>
    <definedName name="TABLE_RELATED_1" localSheetId="50">'x-416'!$B$17</definedName>
    <definedName name="TABLE_RELATED_1" localSheetId="51">'x-417'!$B$17</definedName>
    <definedName name="TABLE_RELATED_1" localSheetId="52">'x-418'!$B$17</definedName>
    <definedName name="TABLE_RELATED_1" localSheetId="53">'x-419'!$B$17</definedName>
    <definedName name="TABLE_RELATED_1" localSheetId="54">'x-420'!$B$17</definedName>
    <definedName name="TABLE_RELATED_1" localSheetId="55">'x-421'!$B$17</definedName>
    <definedName name="TABLE_RELATED_1" localSheetId="56">'x-422'!$B$17</definedName>
    <definedName name="TABLE_RELATED_1" localSheetId="57">'x-423'!$B$17</definedName>
    <definedName name="TABLE_RELATED_1" localSheetId="58">'x-424'!$B$17</definedName>
    <definedName name="TABLE_RELATED_1" localSheetId="59">'x-501'!$B$17</definedName>
    <definedName name="TABLE_RELATED_1" localSheetId="60">'x-502'!$B$17</definedName>
    <definedName name="TABLE_RELATED_1" localSheetId="61">'x-503'!$B$17</definedName>
    <definedName name="TABLE_RELATED_1" localSheetId="62">'x-504'!$B$17</definedName>
    <definedName name="TABLE_RELATED_1" localSheetId="63">'x-505'!$B$17</definedName>
    <definedName name="TABLE_RELATED_1" localSheetId="64">'x-605'!$B$17</definedName>
    <definedName name="TABLE_RELATED_1" localSheetId="65">'x-606'!$B$17</definedName>
    <definedName name="TABLE_RELATED_1" localSheetId="66">'x-607'!$B$17</definedName>
    <definedName name="TABLE_RELATED_1" localSheetId="67">'x-608'!$B$17</definedName>
    <definedName name="TABLE_RELATED_1" localSheetId="68">'x-609'!$B$17</definedName>
    <definedName name="TABLE_RELATED_1" localSheetId="69">'x-610'!$B$17</definedName>
    <definedName name="TABLE_RELATED_1" localSheetId="70">'x-611'!$B$17</definedName>
    <definedName name="TABLE_RELATED_1" localSheetId="71">'x-612'!$B$17</definedName>
    <definedName name="TABLE_RELATED_1" localSheetId="72">'x-613'!$B$17</definedName>
    <definedName name="TABLE_RELATED_1" localSheetId="73">'x-614'!$B$17</definedName>
    <definedName name="TABLE_RELATED_1" localSheetId="74">'x-615'!$B$17</definedName>
    <definedName name="TABLE_RELATED_1" localSheetId="75">'x-703'!$B$17</definedName>
    <definedName name="TABLE_RELATED_1" localSheetId="76">'x-704'!$B$17</definedName>
    <definedName name="TABLE_RELATED_1" localSheetId="77">'x-705'!$B$17</definedName>
    <definedName name="TABLE_RELATED_1" localSheetId="78">'x-706'!$B$17</definedName>
    <definedName name="TABLE_RELATED_1" localSheetId="79">'x-707'!$B$17</definedName>
    <definedName name="TABLE_RELATED_1" localSheetId="80">'x-708'!$B$17</definedName>
    <definedName name="TABLE_RELATED_1" localSheetId="81">'x-709'!$B$17</definedName>
    <definedName name="TABLE_RELATED_1" localSheetId="82">'x-710'!$B$17</definedName>
    <definedName name="TABLE_RELATED_1" localSheetId="83">'x-711'!$B$17</definedName>
    <definedName name="TABLE_RELATED_1" localSheetId="84">'x-712'!$B$17</definedName>
    <definedName name="TABLE_RELATED_1" localSheetId="85">'x-713'!$B$17</definedName>
    <definedName name="TABLE_RELATED_1" localSheetId="86">'x-714'!$B$17</definedName>
    <definedName name="TABLE_RELATED_1" localSheetId="87">'x-715'!$B$17</definedName>
    <definedName name="TABLE_RELATED_1" localSheetId="88">'x-716'!$B$17</definedName>
    <definedName name="TABLE_RELATED_1" localSheetId="89">'x-717'!$B$17</definedName>
    <definedName name="TABLE_RELATED_1" localSheetId="90">'x-718'!$B$17</definedName>
    <definedName name="TABLE_RELATED_1" localSheetId="91">'x-719'!$B$17</definedName>
    <definedName name="TABLE_RELATED_1" localSheetId="92">'x-720'!$B$17</definedName>
    <definedName name="TABLE_RELATED_1" localSheetId="93">'x-801'!$B$17</definedName>
    <definedName name="TABLE_RELATED_1" localSheetId="94">'x-802'!$B$17</definedName>
    <definedName name="TABLE_RELATED_1" localSheetId="95">'x-803'!$B$17</definedName>
    <definedName name="TABLE_RELATED_1" localSheetId="96">'x-804'!$B$17</definedName>
    <definedName name="TABLE_RELATED_1" localSheetId="97">'x-805'!$B$17</definedName>
    <definedName name="TABLE_RELATED_1" localSheetId="98">'x-806'!$B$17</definedName>
    <definedName name="TABLE_RELATED_1" localSheetId="99">'x-807'!$B$17</definedName>
    <definedName name="TABLE_RELATED_1" localSheetId="100">'x-808'!$B$17</definedName>
    <definedName name="TABLE_RELATED_1" localSheetId="101">'x-809'!$B$17</definedName>
    <definedName name="TABLE_RELATED_1" localSheetId="102">'x-810'!$B$17</definedName>
    <definedName name="TABLE_RELATED_1" localSheetId="103">'x-811'!$B$17</definedName>
    <definedName name="TABLE_RELATED_1" localSheetId="104">'x-812'!$B$17</definedName>
    <definedName name="TABLE_RELATED_1" localSheetId="105">'x-813'!$B$17</definedName>
    <definedName name="TABLE_RELATED_1" localSheetId="106">'x-814'!$B$17</definedName>
    <definedName name="TABLE_RELATED_1" localSheetId="107">'x-815'!$B$17</definedName>
    <definedName name="TABLE_RELATED_1" localSheetId="108">'x-817'!$B$17</definedName>
    <definedName name="TABLE_RELATED_1" localSheetId="109">'x-818'!$B$17</definedName>
    <definedName name="TABLE_RELATED_1" localSheetId="110">'x-819'!$B$17</definedName>
    <definedName name="TABLE_RELATED_1" localSheetId="111">'x-820'!$B$17</definedName>
    <definedName name="TABLE_RELATED_1" localSheetId="112">'x-821'!$B$17</definedName>
    <definedName name="TABLE_RELATED_1" localSheetId="113">'x-822'!$B$17</definedName>
    <definedName name="TABLE_RELATED_1" localSheetId="114">'x-823'!$B$17</definedName>
    <definedName name="TABLE_RELATED_1" localSheetId="115">'x-824'!$B$17</definedName>
    <definedName name="TABLE_RELATED_1" localSheetId="116">'x-825'!$B$17</definedName>
    <definedName name="TABLE_RELATED_1" localSheetId="117">'x-826'!$B$17</definedName>
    <definedName name="TABLE_RELATED_1" localSheetId="118">'x-827'!$B$17</definedName>
    <definedName name="TABLE_RELATED_2" localSheetId="15">'x-204'!$I$17</definedName>
    <definedName name="TABLE_RELATED_2" localSheetId="37">'x-403'!$Q$17</definedName>
    <definedName name="TABLE_RELATED_2" localSheetId="38">'x-404'!$Q$17</definedName>
    <definedName name="TABLE_RELATED_2" localSheetId="43">'x-409'!$Q$17</definedName>
    <definedName name="TABLE_RELATED_2" localSheetId="44">'x-410'!$Q$17</definedName>
    <definedName name="TABLE_RELATED_2" localSheetId="49">'x-415'!$Q$17</definedName>
    <definedName name="TABLE_RELATED_2" localSheetId="102">'x-810'!$Q$17</definedName>
    <definedName name="TABLE_SECTION">'x-Series Number'!$B$8</definedName>
    <definedName name="table_section_1" localSheetId="8">'x-101'!$B$8</definedName>
    <definedName name="table_section_1" localSheetId="9">'x-102'!$B$8</definedName>
    <definedName name="table_section_1" localSheetId="10">'x-103'!$B$8</definedName>
    <definedName name="table_section_1" localSheetId="11">'x-104'!$B$8</definedName>
    <definedName name="TABLE_SECTION_1" localSheetId="12">'x-201'!$B$8</definedName>
    <definedName name="TABLE_SECTION_1" localSheetId="13">'x-202'!$B$8</definedName>
    <definedName name="TABLE_SECTION_1" localSheetId="14">'x-203'!$B$8</definedName>
    <definedName name="TABLE_SECTION_1" localSheetId="15">'x-204'!$B$8</definedName>
    <definedName name="TABLE_SECTION_1" localSheetId="16">'x-205'!$B$8</definedName>
    <definedName name="TABLE_SECTION_1" localSheetId="17">'x-206'!$B$8</definedName>
    <definedName name="TABLE_SECTION_1" localSheetId="18">'x-207'!$B$8</definedName>
    <definedName name="TABLE_SECTION_1" localSheetId="19">'x-208'!$B$8</definedName>
    <definedName name="TABLE_SECTION_1" localSheetId="20">'x-209'!$B$8</definedName>
    <definedName name="TABLE_SECTION_1" localSheetId="21">'x-214'!$B$8</definedName>
    <definedName name="TABLE_SECTION_1" localSheetId="22">'x-215'!$B$8</definedName>
    <definedName name="TABLE_SECTION_1" localSheetId="23">'x-216'!$B$8</definedName>
    <definedName name="TABLE_SECTION_1" localSheetId="24">'x-217'!$B$8</definedName>
    <definedName name="TABLE_SECTION_1" localSheetId="25">'x-218'!$B$8</definedName>
    <definedName name="TABLE_SECTION_1" localSheetId="26">'x-219'!$B$8</definedName>
    <definedName name="TABLE_SECTION_1" localSheetId="27">'x-301'!$B$8</definedName>
    <definedName name="TABLE_SECTION_1" localSheetId="28">'x-302'!$B$8</definedName>
    <definedName name="TABLE_SECTION_1" localSheetId="29">'x-303'!$B$8</definedName>
    <definedName name="TABLE_SECTION_1" localSheetId="30">'x-304'!$B$8</definedName>
    <definedName name="TABLE_SECTION_1" localSheetId="31">'x-305'!$B$8</definedName>
    <definedName name="TABLE_SECTION_1" localSheetId="32">'x-306'!$B$8</definedName>
    <definedName name="TABLE_SECTION_1" localSheetId="33">'x-307'!$B$8</definedName>
    <definedName name="TABLE_SECTION_1" localSheetId="34">'x-308'!$B$8</definedName>
    <definedName name="TABLE_SECTION_1" localSheetId="35">'x-401'!$B$8</definedName>
    <definedName name="TABLE_SECTION_1" localSheetId="36">'x-402'!$B$8</definedName>
    <definedName name="TABLE_SECTION_1" localSheetId="37">'x-403'!$B$8</definedName>
    <definedName name="TABLE_SECTION_1" localSheetId="38">'x-404'!$B$8</definedName>
    <definedName name="TABLE_SECTION_1" localSheetId="39">'x-405'!$B$8</definedName>
    <definedName name="TABLE_SECTION_1" localSheetId="40">'x-406'!$B$8</definedName>
    <definedName name="TABLE_SECTION_1" localSheetId="41">'x-407'!$B$8</definedName>
    <definedName name="TABLE_SECTION_1" localSheetId="42">'x-408'!$B$8</definedName>
    <definedName name="TABLE_SECTION_1" localSheetId="43">'x-409'!$B$8</definedName>
    <definedName name="TABLE_SECTION_1" localSheetId="44">'x-410'!$B$8</definedName>
    <definedName name="TABLE_SECTION_1" localSheetId="45">'x-411'!$B$8</definedName>
    <definedName name="TABLE_SECTION_1" localSheetId="46">'x-412'!$B$8</definedName>
    <definedName name="TABLE_SECTION_1" localSheetId="47">'x-413'!$B$8</definedName>
    <definedName name="TABLE_SECTION_1" localSheetId="48">'x-414'!$B$8</definedName>
    <definedName name="TABLE_SECTION_1" localSheetId="49">'x-415'!$B$8</definedName>
    <definedName name="TABLE_SECTION_1" localSheetId="50">'x-416'!$B$8</definedName>
    <definedName name="TABLE_SECTION_1" localSheetId="51">'x-417'!$B$8</definedName>
    <definedName name="TABLE_SECTION_1" localSheetId="52">'x-418'!$B$8</definedName>
    <definedName name="TABLE_SECTION_1" localSheetId="53">'x-419'!$B$8</definedName>
    <definedName name="TABLE_SECTION_1" localSheetId="54">'x-420'!$B$8</definedName>
    <definedName name="TABLE_SECTION_1" localSheetId="55">'x-421'!$B$8</definedName>
    <definedName name="TABLE_SECTION_1" localSheetId="56">'x-422'!$B$8</definedName>
    <definedName name="TABLE_SECTION_1" localSheetId="57">'x-423'!$B$8</definedName>
    <definedName name="TABLE_SECTION_1" localSheetId="58">'x-424'!$B$8</definedName>
    <definedName name="TABLE_SECTION_1" localSheetId="59">'x-501'!$B$8</definedName>
    <definedName name="TABLE_SECTION_1" localSheetId="60">'x-502'!$B$8</definedName>
    <definedName name="TABLE_SECTION_1" localSheetId="61">'x-503'!$B$8</definedName>
    <definedName name="TABLE_SECTION_1" localSheetId="62">'x-504'!$B$8</definedName>
    <definedName name="TABLE_SECTION_1" localSheetId="63">'x-505'!$B$8</definedName>
    <definedName name="TABLE_SECTION_1" localSheetId="64">'x-605'!$B$8</definedName>
    <definedName name="TABLE_SECTION_1" localSheetId="65">'x-606'!$B$8</definedName>
    <definedName name="TABLE_SECTION_1" localSheetId="66">'x-607'!$B$8</definedName>
    <definedName name="TABLE_SECTION_1" localSheetId="67">'x-608'!$B$8</definedName>
    <definedName name="TABLE_SECTION_1" localSheetId="68">'x-609'!$B$8</definedName>
    <definedName name="TABLE_SECTION_1" localSheetId="69">'x-610'!$B$8</definedName>
    <definedName name="TABLE_SECTION_1" localSheetId="70">'x-611'!$B$8</definedName>
    <definedName name="TABLE_SECTION_1" localSheetId="71">'x-612'!$B$8</definedName>
    <definedName name="TABLE_SECTION_1" localSheetId="72">'x-613'!$B$8</definedName>
    <definedName name="TABLE_SECTION_1" localSheetId="73">'x-614'!$B$8</definedName>
    <definedName name="TABLE_SECTION_1" localSheetId="74">'x-615'!$B$8</definedName>
    <definedName name="TABLE_SECTION_1" localSheetId="75">'x-703'!$B$8</definedName>
    <definedName name="TABLE_SECTION_1" localSheetId="76">'x-704'!$B$8</definedName>
    <definedName name="TABLE_SECTION_1" localSheetId="77">'x-705'!$B$8</definedName>
    <definedName name="TABLE_SECTION_1" localSheetId="78">'x-706'!$B$8</definedName>
    <definedName name="TABLE_SECTION_1" localSheetId="79">'x-707'!$B$8</definedName>
    <definedName name="TABLE_SECTION_1" localSheetId="80">'x-708'!$B$8</definedName>
    <definedName name="TABLE_SECTION_1" localSheetId="81">'x-709'!$B$8</definedName>
    <definedName name="TABLE_SECTION_1" localSheetId="82">'x-710'!$B$8</definedName>
    <definedName name="TABLE_SECTION_1" localSheetId="83">'x-711'!$B$8</definedName>
    <definedName name="TABLE_SECTION_1" localSheetId="84">'x-712'!$B$8</definedName>
    <definedName name="TABLE_SECTION_1" localSheetId="85">'x-713'!$B$8</definedName>
    <definedName name="TABLE_SECTION_1" localSheetId="86">'x-714'!$B$8</definedName>
    <definedName name="TABLE_SECTION_1" localSheetId="87">'x-715'!$B$8</definedName>
    <definedName name="TABLE_SECTION_1" localSheetId="88">'x-716'!$B$8</definedName>
    <definedName name="TABLE_SECTION_1" localSheetId="89">'x-717'!$B$8</definedName>
    <definedName name="TABLE_SECTION_1" localSheetId="90">'x-718'!$B$8</definedName>
    <definedName name="TABLE_SECTION_1" localSheetId="91">'x-719'!$B$8</definedName>
    <definedName name="TABLE_SECTION_1" localSheetId="92">'x-720'!$B$8</definedName>
    <definedName name="TABLE_SECTION_1" localSheetId="93">'x-801'!$B$8</definedName>
    <definedName name="TABLE_SECTION_1" localSheetId="94">'x-802'!$B$8</definedName>
    <definedName name="TABLE_SECTION_1" localSheetId="95">'x-803'!$B$8</definedName>
    <definedName name="TABLE_SECTION_1" localSheetId="96">'x-804'!$B$8</definedName>
    <definedName name="TABLE_SECTION_1" localSheetId="97">'x-805'!$B$8</definedName>
    <definedName name="TABLE_SECTION_1" localSheetId="98">'x-806'!$B$8</definedName>
    <definedName name="TABLE_SECTION_1" localSheetId="99">'x-807'!$B$8</definedName>
    <definedName name="TABLE_SECTION_1" localSheetId="100">'x-808'!$B$8</definedName>
    <definedName name="TABLE_SECTION_1" localSheetId="101">'x-809'!$B$8</definedName>
    <definedName name="TABLE_SECTION_1" localSheetId="102">'x-810'!$B$8</definedName>
    <definedName name="TABLE_SECTION_1" localSheetId="103">'x-811'!$B$8</definedName>
    <definedName name="TABLE_SECTION_1" localSheetId="104">'x-812'!$B$8</definedName>
    <definedName name="TABLE_SECTION_1" localSheetId="105">'x-813'!$B$8</definedName>
    <definedName name="TABLE_SECTION_1" localSheetId="106">'x-814'!$B$8</definedName>
    <definedName name="TABLE_SECTION_1" localSheetId="107">'x-815'!$B$8</definedName>
    <definedName name="TABLE_SECTION_1" localSheetId="108">'x-817'!$B$8</definedName>
    <definedName name="TABLE_SECTION_1" localSheetId="109">'x-818'!$B$8</definedName>
    <definedName name="TABLE_SECTION_1" localSheetId="110">'x-819'!$B$8</definedName>
    <definedName name="TABLE_SECTION_1" localSheetId="111">'x-820'!$B$8</definedName>
    <definedName name="TABLE_SECTION_1" localSheetId="112">'x-821'!$B$8</definedName>
    <definedName name="TABLE_SECTION_1" localSheetId="113">'x-822'!$B$8</definedName>
    <definedName name="TABLE_SECTION_1" localSheetId="114">'x-823'!$B$8</definedName>
    <definedName name="TABLE_SECTION_1" localSheetId="115">'x-824'!$B$8</definedName>
    <definedName name="TABLE_SECTION_1" localSheetId="116">'x-825'!$B$8</definedName>
    <definedName name="TABLE_SECTION_1" localSheetId="117">'x-826'!$B$8</definedName>
    <definedName name="TABLE_SECTION_1" localSheetId="118">'x-827'!$B$8</definedName>
    <definedName name="TABLE_SECTION_2" localSheetId="15">'x-204'!$I$8</definedName>
    <definedName name="TABLE_SECTION_2" localSheetId="37">'x-403'!$Q$8</definedName>
    <definedName name="TABLE_SECTION_2" localSheetId="38">'x-404'!$Q$8</definedName>
    <definedName name="TABLE_SECTION_2" localSheetId="43">'x-409'!$Q$8</definedName>
    <definedName name="TABLE_SECTION_2" localSheetId="44">'x-410'!$Q$8</definedName>
    <definedName name="TABLE_SECTION_2" localSheetId="49">'x-415'!$Q$8</definedName>
    <definedName name="TABLE_SECTION_2" localSheetId="102">'x-810'!$Q$8</definedName>
    <definedName name="TABLE_SECTION_NUMBER">'x-Series Number'!$B$13</definedName>
    <definedName name="table_Section_Number_1" localSheetId="8">'x-101'!$B$13</definedName>
    <definedName name="table_Section_Number_1" localSheetId="9">'x-102'!$B$13</definedName>
    <definedName name="table_Section_Number_1" localSheetId="10">'x-103'!$B$13</definedName>
    <definedName name="table_Section_Number_1" localSheetId="11">'x-104'!$B$13</definedName>
    <definedName name="TABLE_SECTION_NUMBER_1" localSheetId="12">'x-201'!$B$13</definedName>
    <definedName name="TABLE_SECTION_NUMBER_1" localSheetId="13">'x-202'!$B$13</definedName>
    <definedName name="TABLE_SECTION_NUMBER_1" localSheetId="14">'x-203'!$B$13</definedName>
    <definedName name="TABLE_SECTION_NUMBER_1" localSheetId="15">'x-204'!$B$13</definedName>
    <definedName name="TABLE_SECTION_NUMBER_1" localSheetId="16">'x-205'!$B$13</definedName>
    <definedName name="TABLE_SECTION_NUMBER_1" localSheetId="17">'x-206'!$B$13</definedName>
    <definedName name="TABLE_SECTION_NUMBER_1" localSheetId="18">'x-207'!$B$13</definedName>
    <definedName name="TABLE_SECTION_NUMBER_1" localSheetId="19">'x-208'!$B$13</definedName>
    <definedName name="TABLE_SECTION_NUMBER_1" localSheetId="20">'x-209'!$B$13</definedName>
    <definedName name="TABLE_SECTION_NUMBER_1" localSheetId="21">'x-214'!$B$13</definedName>
    <definedName name="TABLE_SECTION_NUMBER_1" localSheetId="22">'x-215'!$B$13</definedName>
    <definedName name="TABLE_SECTION_NUMBER_1" localSheetId="23">'x-216'!$B$13</definedName>
    <definedName name="TABLE_SECTION_NUMBER_1" localSheetId="24">'x-217'!$B$13</definedName>
    <definedName name="TABLE_SECTION_NUMBER_1" localSheetId="25">'x-218'!$B$13</definedName>
    <definedName name="TABLE_SECTION_NUMBER_1" localSheetId="26">'x-219'!$B$13</definedName>
    <definedName name="TABLE_SECTION_NUMBER_1" localSheetId="27">'x-301'!$B$13</definedName>
    <definedName name="TABLE_SECTION_NUMBER_1" localSheetId="28">'x-302'!$B$13</definedName>
    <definedName name="TABLE_SECTION_NUMBER_1" localSheetId="29">'x-303'!$B$13</definedName>
    <definedName name="TABLE_SECTION_NUMBER_1" localSheetId="30">'x-304'!$B$13</definedName>
    <definedName name="TABLE_SECTION_NUMBER_1" localSheetId="31">'x-305'!$B$13</definedName>
    <definedName name="TABLE_SECTION_NUMBER_1" localSheetId="32">'x-306'!$B$13</definedName>
    <definedName name="TABLE_SECTION_NUMBER_1" localSheetId="33">'x-307'!$B$13</definedName>
    <definedName name="TABLE_SECTION_NUMBER_1" localSheetId="34">'x-308'!$B$13</definedName>
    <definedName name="TABLE_SECTION_NUMBER_1" localSheetId="35">'x-401'!$B$13</definedName>
    <definedName name="TABLE_SECTION_NUMBER_1" localSheetId="36">'x-402'!$B$13</definedName>
    <definedName name="TABLE_SECTION_NUMBER_1" localSheetId="37">'x-403'!$B$13</definedName>
    <definedName name="TABLE_SECTION_NUMBER_1" localSheetId="38">'x-404'!$B$13</definedName>
    <definedName name="TABLE_SECTION_NUMBER_1" localSheetId="39">'x-405'!$B$13</definedName>
    <definedName name="TABLE_SECTION_NUMBER_1" localSheetId="40">'x-406'!$B$13</definedName>
    <definedName name="TABLE_SECTION_NUMBER_1" localSheetId="41">'x-407'!$B$13</definedName>
    <definedName name="TABLE_SECTION_NUMBER_1" localSheetId="42">'x-408'!$B$13</definedName>
    <definedName name="TABLE_SECTION_NUMBER_1" localSheetId="43">'x-409'!$B$13</definedName>
    <definedName name="TABLE_SECTION_NUMBER_1" localSheetId="44">'x-410'!$B$13</definedName>
    <definedName name="TABLE_SECTION_NUMBER_1" localSheetId="45">'x-411'!$B$13</definedName>
    <definedName name="TABLE_SECTION_NUMBER_1" localSheetId="46">'x-412'!$B$13</definedName>
    <definedName name="TABLE_SECTION_NUMBER_1" localSheetId="47">'x-413'!$B$13</definedName>
    <definedName name="TABLE_SECTION_NUMBER_1" localSheetId="48">'x-414'!$B$13</definedName>
    <definedName name="TABLE_SECTION_NUMBER_1" localSheetId="49">'x-415'!$B$13</definedName>
    <definedName name="TABLE_SECTION_NUMBER_1" localSheetId="50">'x-416'!$B$13</definedName>
    <definedName name="TABLE_SECTION_NUMBER_1" localSheetId="51">'x-417'!$B$13</definedName>
    <definedName name="TABLE_SECTION_NUMBER_1" localSheetId="52">'x-418'!$B$13</definedName>
    <definedName name="TABLE_SECTION_NUMBER_1" localSheetId="53">'x-419'!$B$13</definedName>
    <definedName name="TABLE_SECTION_NUMBER_1" localSheetId="54">'x-420'!$B$13</definedName>
    <definedName name="TABLE_SECTION_NUMBER_1" localSheetId="55">'x-421'!$B$13</definedName>
    <definedName name="TABLE_SECTION_NUMBER_1" localSheetId="56">'x-422'!$B$13</definedName>
    <definedName name="TABLE_SECTION_NUMBER_1" localSheetId="57">'x-423'!$B$13</definedName>
    <definedName name="TABLE_SECTION_NUMBER_1" localSheetId="58">'x-424'!$B$13</definedName>
    <definedName name="TABLE_SECTION_NUMBER_1" localSheetId="59">'x-501'!$B$13</definedName>
    <definedName name="TABLE_SECTION_NUMBER_1" localSheetId="60">'x-502'!$B$13</definedName>
    <definedName name="TABLE_SECTION_NUMBER_1" localSheetId="61">'x-503'!$B$13</definedName>
    <definedName name="TABLE_SECTION_NUMBER_1" localSheetId="62">'x-504'!$B$13</definedName>
    <definedName name="TABLE_SECTION_NUMBER_1" localSheetId="63">'x-505'!$B$13</definedName>
    <definedName name="TABLE_SECTION_NUMBER_1" localSheetId="64">'x-605'!$B$13</definedName>
    <definedName name="TABLE_SECTION_NUMBER_1" localSheetId="65">'x-606'!$B$13</definedName>
    <definedName name="TABLE_SECTION_NUMBER_1" localSheetId="66">'x-607'!$B$13</definedName>
    <definedName name="TABLE_SECTION_NUMBER_1" localSheetId="67">'x-608'!$B$13</definedName>
    <definedName name="TABLE_SECTION_NUMBER_1" localSheetId="68">'x-609'!$B$13</definedName>
    <definedName name="TABLE_SECTION_NUMBER_1" localSheetId="69">'x-610'!$B$13</definedName>
    <definedName name="TABLE_SECTION_NUMBER_1" localSheetId="70">'x-611'!$B$13</definedName>
    <definedName name="TABLE_SECTION_NUMBER_1" localSheetId="71">'x-612'!$B$13</definedName>
    <definedName name="TABLE_SECTION_NUMBER_1" localSheetId="72">'x-613'!$B$13</definedName>
    <definedName name="TABLE_SECTION_NUMBER_1" localSheetId="73">'x-614'!$B$13</definedName>
    <definedName name="TABLE_SECTION_NUMBER_1" localSheetId="74">'x-615'!$B$13</definedName>
    <definedName name="TABLE_SECTION_NUMBER_1" localSheetId="75">'x-703'!$B$13</definedName>
    <definedName name="TABLE_SECTION_NUMBER_1" localSheetId="76">'x-704'!$B$13</definedName>
    <definedName name="TABLE_SECTION_NUMBER_1" localSheetId="77">'x-705'!$B$13</definedName>
    <definedName name="TABLE_SECTION_NUMBER_1" localSheetId="78">'x-706'!$B$13</definedName>
    <definedName name="TABLE_SECTION_NUMBER_1" localSheetId="79">'x-707'!$B$13</definedName>
    <definedName name="TABLE_SECTION_NUMBER_1" localSheetId="80">'x-708'!$B$13</definedName>
    <definedName name="TABLE_SECTION_NUMBER_1" localSheetId="81">'x-709'!$B$13</definedName>
    <definedName name="TABLE_SECTION_NUMBER_1" localSheetId="82">'x-710'!$B$13</definedName>
    <definedName name="TABLE_SECTION_NUMBER_1" localSheetId="83">'x-711'!$B$13</definedName>
    <definedName name="TABLE_SECTION_NUMBER_1" localSheetId="84">'x-712'!$B$13</definedName>
    <definedName name="TABLE_SECTION_NUMBER_1" localSheetId="85">'x-713'!$B$13</definedName>
    <definedName name="TABLE_SECTION_NUMBER_1" localSheetId="86">'x-714'!$B$13</definedName>
    <definedName name="TABLE_SECTION_NUMBER_1" localSheetId="87">'x-715'!$B$13</definedName>
    <definedName name="TABLE_SECTION_NUMBER_1" localSheetId="88">'x-716'!$B$13</definedName>
    <definedName name="TABLE_SECTION_NUMBER_1" localSheetId="89">'x-717'!$B$13</definedName>
    <definedName name="TABLE_SECTION_NUMBER_1" localSheetId="90">'x-718'!$B$13</definedName>
    <definedName name="TABLE_SECTION_NUMBER_1" localSheetId="91">'x-719'!$B$13</definedName>
    <definedName name="TABLE_SECTION_NUMBER_1" localSheetId="92">'x-720'!$B$13</definedName>
    <definedName name="TABLE_SECTION_NUMBER_1" localSheetId="93">'x-801'!$B$13</definedName>
    <definedName name="TABLE_SECTION_NUMBER_1" localSheetId="94">'x-802'!$B$13</definedName>
    <definedName name="TABLE_SECTION_NUMBER_1" localSheetId="95">'x-803'!$B$13</definedName>
    <definedName name="TABLE_SECTION_NUMBER_1" localSheetId="96">'x-804'!$B$13</definedName>
    <definedName name="TABLE_SECTION_NUMBER_1" localSheetId="97">'x-805'!$B$13</definedName>
    <definedName name="TABLE_SECTION_NUMBER_1" localSheetId="98">'x-806'!$B$13</definedName>
    <definedName name="TABLE_SECTION_NUMBER_1" localSheetId="99">'x-807'!$B$13</definedName>
    <definedName name="TABLE_SECTION_NUMBER_1" localSheetId="100">'x-808'!$B$13</definedName>
    <definedName name="TABLE_SECTION_NUMBER_1" localSheetId="101">'x-809'!$B$13</definedName>
    <definedName name="TABLE_SECTION_NUMBER_1" localSheetId="102">'x-810'!$B$13</definedName>
    <definedName name="TABLE_SECTION_NUMBER_1" localSheetId="103">'x-811'!$B$13</definedName>
    <definedName name="TABLE_SECTION_NUMBER_1" localSheetId="104">'x-812'!$B$13</definedName>
    <definedName name="TABLE_SECTION_NUMBER_1" localSheetId="105">'x-813'!$B$13</definedName>
    <definedName name="TABLE_SECTION_NUMBER_1" localSheetId="106">'x-814'!$B$13</definedName>
    <definedName name="TABLE_SECTION_NUMBER_1" localSheetId="107">'x-815'!$B$13</definedName>
    <definedName name="TABLE_SECTION_NUMBER_1" localSheetId="108">'x-817'!$B$13</definedName>
    <definedName name="TABLE_SECTION_NUMBER_1" localSheetId="109">'x-818'!$B$13</definedName>
    <definedName name="TABLE_SECTION_NUMBER_1" localSheetId="110">'x-819'!$B$13</definedName>
    <definedName name="TABLE_SECTION_NUMBER_1" localSheetId="111">'x-820'!$B$13</definedName>
    <definedName name="TABLE_SECTION_NUMBER_1" localSheetId="112">'x-821'!$B$13</definedName>
    <definedName name="TABLE_SECTION_NUMBER_1" localSheetId="113">'x-822'!$B$13</definedName>
    <definedName name="TABLE_SECTION_NUMBER_1" localSheetId="114">'x-823'!$B$13</definedName>
    <definedName name="TABLE_SECTION_NUMBER_1" localSheetId="115">'x-824'!$B$13</definedName>
    <definedName name="TABLE_SECTION_NUMBER_1" localSheetId="116">'x-825'!$B$13</definedName>
    <definedName name="TABLE_SECTION_NUMBER_1" localSheetId="117">'x-826'!$B$13</definedName>
    <definedName name="TABLE_SECTION_NUMBER_1" localSheetId="118">'x-827'!$B$13</definedName>
    <definedName name="TABLE_SECTION_NUMBER_2" localSheetId="15">'x-204'!$I$13</definedName>
    <definedName name="TABLE_SECTION_NUMBER_2" localSheetId="37">'x-403'!$Q$13</definedName>
    <definedName name="TABLE_SECTION_NUMBER_2" localSheetId="38">'x-404'!$Q$13</definedName>
    <definedName name="TABLE_SECTION_NUMBER_2" localSheetId="43">'x-409'!$Q$13</definedName>
    <definedName name="TABLE_SECTION_NUMBER_2" localSheetId="44">'x-410'!$Q$13</definedName>
    <definedName name="TABLE_SECTION_NUMBER_2" localSheetId="49">'x-415'!$Q$13</definedName>
    <definedName name="TABLE_SECTION_NUMBER_2" localSheetId="102">'x-810'!$Q$13</definedName>
    <definedName name="TABLE_SERIES_NUMBER" localSheetId="7">'[1]x-Series Number'!$B$14</definedName>
    <definedName name="TABLE_SERIES_NUMBER">'x-Series Number'!$B$14</definedName>
    <definedName name="table_Series_Number_1" localSheetId="8">'x-101'!$B$14</definedName>
    <definedName name="table_Series_Number_1" localSheetId="9">'x-102'!$B$14</definedName>
    <definedName name="table_Series_Number_1" localSheetId="10">'x-103'!$B$14</definedName>
    <definedName name="table_Series_Number_1" localSheetId="11">'x-104'!$B$14</definedName>
    <definedName name="TABLE_SERIES_NUMBER_1" localSheetId="12">'x-201'!$B$14</definedName>
    <definedName name="TABLE_SERIES_NUMBER_1" localSheetId="13">'x-202'!$B$14</definedName>
    <definedName name="TABLE_SERIES_NUMBER_1" localSheetId="14">'x-203'!$B$14</definedName>
    <definedName name="TABLE_SERIES_NUMBER_1" localSheetId="15">'x-204'!$B$14</definedName>
    <definedName name="TABLE_SERIES_NUMBER_1" localSheetId="16">'x-205'!$B$14</definedName>
    <definedName name="TABLE_SERIES_NUMBER_1" localSheetId="17">'x-206'!$B$14</definedName>
    <definedName name="TABLE_SERIES_NUMBER_1" localSheetId="18">'x-207'!$B$14</definedName>
    <definedName name="TABLE_SERIES_NUMBER_1" localSheetId="19">'x-208'!$B$14</definedName>
    <definedName name="TABLE_SERIES_NUMBER_1" localSheetId="20">'x-209'!$B$14</definedName>
    <definedName name="TABLE_SERIES_NUMBER_1" localSheetId="21">'x-214'!$B$14</definedName>
    <definedName name="TABLE_SERIES_NUMBER_1" localSheetId="22">'x-215'!$B$14</definedName>
    <definedName name="TABLE_SERIES_NUMBER_1" localSheetId="23">'x-216'!$B$14</definedName>
    <definedName name="TABLE_SERIES_NUMBER_1" localSheetId="24">'x-217'!$B$14</definedName>
    <definedName name="TABLE_SERIES_NUMBER_1" localSheetId="25">'x-218'!$B$14</definedName>
    <definedName name="TABLE_SERIES_NUMBER_1" localSheetId="26">'x-219'!$B$14</definedName>
    <definedName name="TABLE_SERIES_NUMBER_1" localSheetId="27">'x-301'!$B$14</definedName>
    <definedName name="TABLE_SERIES_NUMBER_1" localSheetId="28">'x-302'!$B$14</definedName>
    <definedName name="TABLE_SERIES_NUMBER_1" localSheetId="29">'x-303'!$B$14</definedName>
    <definedName name="TABLE_SERIES_NUMBER_1" localSheetId="30">'x-304'!$B$14</definedName>
    <definedName name="TABLE_SERIES_NUMBER_1" localSheetId="31">'x-305'!$B$14</definedName>
    <definedName name="TABLE_SERIES_NUMBER_1" localSheetId="32">'x-306'!$B$14</definedName>
    <definedName name="TABLE_SERIES_NUMBER_1" localSheetId="33">'x-307'!$B$14</definedName>
    <definedName name="TABLE_SERIES_NUMBER_1" localSheetId="34">'x-308'!$B$14</definedName>
    <definedName name="TABLE_SERIES_NUMBER_1" localSheetId="35">'x-401'!$B$14</definedName>
    <definedName name="TABLE_SERIES_NUMBER_1" localSheetId="36">'x-402'!$B$14</definedName>
    <definedName name="TABLE_SERIES_NUMBER_1" localSheetId="37">'x-403'!$B$14</definedName>
    <definedName name="TABLE_SERIES_NUMBER_1" localSheetId="38">'x-404'!$B$14</definedName>
    <definedName name="TABLE_SERIES_NUMBER_1" localSheetId="39">'x-405'!$B$14</definedName>
    <definedName name="TABLE_SERIES_NUMBER_1" localSheetId="40">'x-406'!$B$14</definedName>
    <definedName name="TABLE_SERIES_NUMBER_1" localSheetId="41">'x-407'!$B$14</definedName>
    <definedName name="TABLE_SERIES_NUMBER_1" localSheetId="42">'x-408'!$B$14</definedName>
    <definedName name="TABLE_SERIES_NUMBER_1" localSheetId="43">'x-409'!$B$14</definedName>
    <definedName name="TABLE_SERIES_NUMBER_1" localSheetId="44">'x-410'!$B$14</definedName>
    <definedName name="TABLE_SERIES_NUMBER_1" localSheetId="45">'x-411'!$B$14</definedName>
    <definedName name="TABLE_SERIES_NUMBER_1" localSheetId="46">'x-412'!$B$14</definedName>
    <definedName name="TABLE_SERIES_NUMBER_1" localSheetId="47">'x-413'!$B$14</definedName>
    <definedName name="TABLE_SERIES_NUMBER_1" localSheetId="48">'x-414'!$B$14</definedName>
    <definedName name="TABLE_SERIES_NUMBER_1" localSheetId="49">'x-415'!$B$14</definedName>
    <definedName name="TABLE_SERIES_NUMBER_1" localSheetId="50">'x-416'!$B$14</definedName>
    <definedName name="TABLE_SERIES_NUMBER_1" localSheetId="51">'x-417'!$B$14</definedName>
    <definedName name="TABLE_SERIES_NUMBER_1" localSheetId="52">'x-418'!$B$14</definedName>
    <definedName name="TABLE_SERIES_NUMBER_1" localSheetId="53">'x-419'!$B$14</definedName>
    <definedName name="TABLE_SERIES_NUMBER_1" localSheetId="54">'x-420'!$B$14</definedName>
    <definedName name="TABLE_SERIES_NUMBER_1" localSheetId="55">'x-421'!$B$14</definedName>
    <definedName name="TABLE_SERIES_NUMBER_1" localSheetId="56">'x-422'!$B$14</definedName>
    <definedName name="TABLE_SERIES_NUMBER_1" localSheetId="57">'x-423'!$B$14</definedName>
    <definedName name="TABLE_SERIES_NUMBER_1" localSheetId="58">'x-424'!$B$14</definedName>
    <definedName name="TABLE_SERIES_NUMBER_1" localSheetId="59">'x-501'!$B$14</definedName>
    <definedName name="TABLE_SERIES_NUMBER_1" localSheetId="60">'x-502'!$B$14</definedName>
    <definedName name="TABLE_SERIES_NUMBER_1" localSheetId="61">'x-503'!$B$14</definedName>
    <definedName name="TABLE_SERIES_NUMBER_1" localSheetId="62">'x-504'!$B$14</definedName>
    <definedName name="TABLE_SERIES_NUMBER_1" localSheetId="63">'x-505'!$B$14</definedName>
    <definedName name="TABLE_SERIES_NUMBER_1" localSheetId="64">'x-605'!$B$14</definedName>
    <definedName name="TABLE_SERIES_NUMBER_1" localSheetId="65">'x-606'!$B$14</definedName>
    <definedName name="TABLE_SERIES_NUMBER_1" localSheetId="66">'x-607'!$B$14</definedName>
    <definedName name="TABLE_SERIES_NUMBER_1" localSheetId="67">'x-608'!$B$14</definedName>
    <definedName name="TABLE_SERIES_NUMBER_1" localSheetId="68">'x-609'!$B$14</definedName>
    <definedName name="TABLE_SERIES_NUMBER_1" localSheetId="69">'x-610'!$B$14</definedName>
    <definedName name="TABLE_SERIES_NUMBER_1" localSheetId="70">'x-611'!$B$14</definedName>
    <definedName name="TABLE_SERIES_NUMBER_1" localSheetId="71">'x-612'!$B$14</definedName>
    <definedName name="TABLE_SERIES_NUMBER_1" localSheetId="72">'x-613'!$B$14</definedName>
    <definedName name="TABLE_SERIES_NUMBER_1" localSheetId="73">'x-614'!$B$14</definedName>
    <definedName name="TABLE_SERIES_NUMBER_1" localSheetId="74">'x-615'!$B$14</definedName>
    <definedName name="TABLE_SERIES_NUMBER_1" localSheetId="75">'x-703'!$B$14</definedName>
    <definedName name="TABLE_SERIES_NUMBER_1" localSheetId="76">'x-704'!$B$14</definedName>
    <definedName name="TABLE_SERIES_NUMBER_1" localSheetId="77">'x-705'!$B$14</definedName>
    <definedName name="TABLE_SERIES_NUMBER_1" localSheetId="78">'x-706'!$B$14</definedName>
    <definedName name="TABLE_SERIES_NUMBER_1" localSheetId="79">'x-707'!$B$14</definedName>
    <definedName name="TABLE_SERIES_NUMBER_1" localSheetId="80">'x-708'!$B$14</definedName>
    <definedName name="TABLE_SERIES_NUMBER_1" localSheetId="81">'x-709'!$B$14</definedName>
    <definedName name="TABLE_SERIES_NUMBER_1" localSheetId="82">'x-710'!$B$14</definedName>
    <definedName name="TABLE_SERIES_NUMBER_1" localSheetId="83">'x-711'!$B$14</definedName>
    <definedName name="TABLE_SERIES_NUMBER_1" localSheetId="84">'x-712'!$B$14</definedName>
    <definedName name="TABLE_SERIES_NUMBER_1" localSheetId="85">'x-713'!$B$14</definedName>
    <definedName name="TABLE_SERIES_NUMBER_1" localSheetId="86">'x-714'!$B$14</definedName>
    <definedName name="TABLE_SERIES_NUMBER_1" localSheetId="87">'x-715'!$B$14</definedName>
    <definedName name="TABLE_SERIES_NUMBER_1" localSheetId="88">'x-716'!$B$14</definedName>
    <definedName name="TABLE_SERIES_NUMBER_1" localSheetId="89">'x-717'!$B$14</definedName>
    <definedName name="TABLE_SERIES_NUMBER_1" localSheetId="90">'x-718'!$B$14</definedName>
    <definedName name="TABLE_SERIES_NUMBER_1" localSheetId="91">'x-719'!$B$14</definedName>
    <definedName name="TABLE_SERIES_NUMBER_1" localSheetId="92">'x-720'!$B$14</definedName>
    <definedName name="TABLE_SERIES_NUMBER_1" localSheetId="93">'x-801'!$B$14</definedName>
    <definedName name="TABLE_SERIES_NUMBER_1" localSheetId="94">'x-802'!$B$14</definedName>
    <definedName name="TABLE_SERIES_NUMBER_1" localSheetId="95">'x-803'!$B$14</definedName>
    <definedName name="TABLE_SERIES_NUMBER_1" localSheetId="96">'x-804'!$B$14</definedName>
    <definedName name="TABLE_SERIES_NUMBER_1" localSheetId="97">'x-805'!$B$14</definedName>
    <definedName name="TABLE_SERIES_NUMBER_1" localSheetId="98">'x-806'!$B$14</definedName>
    <definedName name="TABLE_SERIES_NUMBER_1" localSheetId="99">'x-807'!$B$14</definedName>
    <definedName name="TABLE_SERIES_NUMBER_1" localSheetId="100">'x-808'!$B$14</definedName>
    <definedName name="TABLE_SERIES_NUMBER_1" localSheetId="101">'x-809'!$B$14</definedName>
    <definedName name="TABLE_SERIES_NUMBER_1" localSheetId="102">'x-810'!$B$14</definedName>
    <definedName name="TABLE_SERIES_NUMBER_1" localSheetId="103">'x-811'!$B$14</definedName>
    <definedName name="TABLE_SERIES_NUMBER_1" localSheetId="104">'x-812'!$B$14</definedName>
    <definedName name="TABLE_SERIES_NUMBER_1" localSheetId="105">'x-813'!$B$14</definedName>
    <definedName name="TABLE_SERIES_NUMBER_1" localSheetId="106">'x-814'!$B$14</definedName>
    <definedName name="TABLE_SERIES_NUMBER_1" localSheetId="107">'x-815'!$B$14</definedName>
    <definedName name="TABLE_SERIES_NUMBER_1" localSheetId="108">'x-817'!$B$14</definedName>
    <definedName name="TABLE_SERIES_NUMBER_1" localSheetId="109">'x-818'!$B$14</definedName>
    <definedName name="TABLE_SERIES_NUMBER_1" localSheetId="110">'x-819'!$B$14</definedName>
    <definedName name="TABLE_SERIES_NUMBER_1" localSheetId="111">'x-820'!$B$14</definedName>
    <definedName name="TABLE_SERIES_NUMBER_1" localSheetId="112">'x-821'!$B$14</definedName>
    <definedName name="TABLE_SERIES_NUMBER_1" localSheetId="113">'x-822'!$B$14</definedName>
    <definedName name="TABLE_SERIES_NUMBER_1" localSheetId="114">'x-823'!$B$14</definedName>
    <definedName name="TABLE_SERIES_NUMBER_1" localSheetId="115">'x-824'!$B$14</definedName>
    <definedName name="TABLE_SERIES_NUMBER_1" localSheetId="116">'x-825'!$B$14</definedName>
    <definedName name="TABLE_SERIES_NUMBER_1" localSheetId="117">'x-826'!$B$14</definedName>
    <definedName name="TABLE_SERIES_NUMBER_1" localSheetId="118">'x-827'!$B$14</definedName>
    <definedName name="TABLE_SERIES_NUMBER_2" localSheetId="15">'x-204'!$I$14</definedName>
    <definedName name="TABLE_SERIES_NUMBER_2" localSheetId="37">'x-403'!$Q$14</definedName>
    <definedName name="TABLE_SERIES_NUMBER_2" localSheetId="38">'x-404'!$Q$14</definedName>
    <definedName name="TABLE_SERIES_NUMBER_2" localSheetId="43">'x-409'!$Q$14</definedName>
    <definedName name="TABLE_SERIES_NUMBER_2" localSheetId="44">'x-410'!$Q$14</definedName>
    <definedName name="TABLE_SERIES_NUMBER_2" localSheetId="49">'x-415'!$Q$14</definedName>
    <definedName name="TABLE_SERIES_NUMBER_2" localSheetId="102">'x-810'!$Q$14</definedName>
    <definedName name="tit">Cover!$A$2</definedName>
    <definedName name="titl">Cover!$A$2</definedName>
    <definedName name="title" localSheetId="7">[1]Cover!$A$2</definedName>
    <definedName name="title" localSheetId="25">[2]Cover!$A$2</definedName>
    <definedName name="title" localSheetId="26">[2]Cover!$A$2</definedName>
    <definedName name="title" localSheetId="55">[3]Cover!$A$2</definedName>
    <definedName name="title" localSheetId="57">[3]Cover!$A$2</definedName>
    <definedName name="title" localSheetId="58">[2]Cover!$A$2</definedName>
    <definedName name="title" localSheetId="63">[2]Cover!$A$2</definedName>
    <definedName name="title" localSheetId="92">[4]Cover!$A$2</definedName>
    <definedName name="title" localSheetId="118">[5]Cover!$A$2</definedName>
    <definedName name="title">Cover!$A$2</definedName>
    <definedName name="title_new">[2]Cover!$A$2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46" l="1"/>
  <c r="A3" i="247"/>
  <c r="A3" i="248"/>
  <c r="A3" i="136"/>
  <c r="A3" i="137"/>
  <c r="A3" i="138"/>
  <c r="A3" i="139"/>
  <c r="A3" i="140"/>
  <c r="A3" i="141"/>
  <c r="A3" i="142"/>
  <c r="A3" i="143"/>
  <c r="A3" i="130"/>
  <c r="A3" i="249"/>
  <c r="A3" i="250"/>
  <c r="A3" i="251"/>
  <c r="A3" i="232"/>
  <c r="A3" i="273"/>
  <c r="A3" i="274"/>
  <c r="A3" i="146"/>
  <c r="A3" i="147"/>
  <c r="A3" i="148"/>
  <c r="A3" i="149"/>
  <c r="A3" i="150"/>
  <c r="A3" i="174"/>
  <c r="A3" i="175"/>
  <c r="A3" i="270"/>
  <c r="A3" i="151"/>
  <c r="A3" i="152"/>
  <c r="A3" i="153"/>
  <c r="A3" i="154"/>
  <c r="A3" i="155"/>
  <c r="A3" i="156"/>
  <c r="A3" i="157"/>
  <c r="A3" i="158"/>
  <c r="A3" i="159"/>
  <c r="A3" i="160"/>
  <c r="A3" i="161"/>
  <c r="A3" i="162"/>
  <c r="A3" i="163"/>
  <c r="A3" i="164"/>
  <c r="A3" i="165"/>
  <c r="A3" i="166"/>
  <c r="A3" i="167"/>
  <c r="A3" i="168"/>
  <c r="A3" i="169"/>
  <c r="A3" i="170"/>
  <c r="A3" i="173"/>
  <c r="A3" i="172"/>
  <c r="A3" i="244"/>
  <c r="A3" i="271"/>
  <c r="A3" i="176"/>
  <c r="A3" i="177"/>
  <c r="A3" i="178"/>
  <c r="A3" i="179"/>
  <c r="A3" i="272"/>
  <c r="A3" i="213"/>
  <c r="A3" i="214"/>
  <c r="A3" i="235"/>
  <c r="A3" i="236"/>
  <c r="A3" i="237"/>
  <c r="A3" i="238"/>
  <c r="A3" i="239"/>
  <c r="A3" i="240"/>
  <c r="A3" i="241"/>
  <c r="A3" i="242"/>
  <c r="A3" i="243"/>
  <c r="A3" i="252"/>
  <c r="A3" i="253"/>
  <c r="A3" i="254"/>
  <c r="A3" i="255"/>
  <c r="A3" i="256"/>
  <c r="A3" i="257"/>
  <c r="A3" i="258"/>
  <c r="A3" i="259"/>
  <c r="A3" i="260"/>
  <c r="A3" i="261"/>
  <c r="A3" i="262"/>
  <c r="A3" i="263"/>
  <c r="A3" i="264"/>
  <c r="A3" i="265"/>
  <c r="A3" i="266"/>
  <c r="A3" i="267"/>
  <c r="A3" i="268"/>
  <c r="A3" i="212"/>
  <c r="A3" i="180"/>
  <c r="A3" i="181"/>
  <c r="A3" i="182"/>
  <c r="A3" i="183"/>
  <c r="A3" i="184"/>
  <c r="A3" i="185"/>
  <c r="A3" i="186"/>
  <c r="A3" i="187"/>
  <c r="A3" i="188"/>
  <c r="A3" i="189"/>
  <c r="A3" i="190"/>
  <c r="A3" i="191"/>
  <c r="A3" i="192"/>
  <c r="A3" i="222"/>
  <c r="A3" i="223"/>
  <c r="A3" i="215"/>
  <c r="A3" i="216"/>
  <c r="A3" i="217"/>
  <c r="A3" i="218"/>
  <c r="A3" i="219"/>
  <c r="A3" i="220"/>
  <c r="A3" i="221"/>
  <c r="A3" i="224"/>
  <c r="A3" i="225"/>
  <c r="A3" i="226"/>
  <c r="A3" i="275"/>
  <c r="A3" i="245"/>
  <c r="A125" i="55"/>
  <c r="A124" i="55"/>
  <c r="A123" i="55"/>
  <c r="A122" i="55"/>
  <c r="A121" i="55"/>
  <c r="A120" i="55"/>
  <c r="A119" i="55"/>
  <c r="A118" i="55"/>
  <c r="A117" i="55"/>
  <c r="A116" i="55"/>
  <c r="A115" i="55"/>
  <c r="A114" i="55"/>
  <c r="A113" i="55"/>
  <c r="A112" i="55"/>
  <c r="A111" i="55"/>
  <c r="A110" i="55"/>
  <c r="A109" i="55"/>
  <c r="A108" i="55"/>
  <c r="A107" i="55"/>
  <c r="A106" i="55"/>
  <c r="A105" i="55"/>
  <c r="A104" i="55"/>
  <c r="A103" i="55"/>
  <c r="A102" i="55"/>
  <c r="A101" i="55"/>
  <c r="A100" i="55"/>
  <c r="A99" i="55"/>
  <c r="A98" i="55"/>
  <c r="A97" i="55"/>
  <c r="A96" i="55"/>
  <c r="A95" i="55"/>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B23" i="275" l="1"/>
  <c r="A2" i="275"/>
  <c r="A2" i="274"/>
  <c r="A2" i="273"/>
  <c r="B23" i="274"/>
  <c r="B23" i="273"/>
  <c r="B23" i="272"/>
  <c r="B23" i="271"/>
  <c r="B23" i="270"/>
  <c r="A2" i="271"/>
  <c r="A2" i="272"/>
  <c r="B18" i="270"/>
  <c r="A2" i="270"/>
  <c r="B23" i="268" l="1"/>
  <c r="B23" i="267"/>
  <c r="B23" i="266"/>
  <c r="B23" i="265"/>
  <c r="B23" i="264"/>
  <c r="B23" i="263"/>
  <c r="B23" i="262"/>
  <c r="B23" i="261"/>
  <c r="B23" i="260"/>
  <c r="B23" i="259"/>
  <c r="B23" i="258"/>
  <c r="B23" i="257"/>
  <c r="B23" i="256"/>
  <c r="B23" i="255"/>
  <c r="B23" i="254"/>
  <c r="B23" i="253"/>
  <c r="B23" i="252"/>
  <c r="A2" i="269"/>
  <c r="B188" i="224" l="1"/>
  <c r="C188" i="224"/>
  <c r="D188" i="224"/>
  <c r="E188" i="224"/>
  <c r="F188" i="224"/>
  <c r="G188" i="224"/>
  <c r="H188" i="224"/>
  <c r="I188" i="224"/>
  <c r="J188" i="224"/>
  <c r="K188" i="224"/>
  <c r="L188" i="224"/>
  <c r="M188" i="224"/>
  <c r="N188" i="224"/>
  <c r="O188" i="224"/>
  <c r="P188" i="224"/>
  <c r="Q188" i="224"/>
  <c r="R188" i="224"/>
  <c r="S188" i="224"/>
  <c r="T188" i="224"/>
  <c r="U188" i="224"/>
  <c r="V188" i="224"/>
  <c r="W188" i="224"/>
  <c r="X188" i="224"/>
  <c r="Y188" i="224"/>
  <c r="Z188" i="224"/>
  <c r="AA188" i="224"/>
  <c r="AB188" i="224"/>
  <c r="AC188" i="224"/>
  <c r="AD188" i="224"/>
  <c r="AE188" i="224"/>
  <c r="AF188" i="224"/>
  <c r="AG188" i="224"/>
  <c r="AH188" i="224"/>
  <c r="AI188" i="224"/>
  <c r="AJ188" i="224"/>
  <c r="AK188" i="224"/>
  <c r="AL188" i="224"/>
  <c r="AM188" i="224"/>
  <c r="AN188" i="224"/>
  <c r="AO188" i="224"/>
  <c r="AP188" i="224"/>
  <c r="AQ188" i="224"/>
  <c r="AR188" i="224"/>
  <c r="AS188" i="224"/>
  <c r="AT188" i="224"/>
  <c r="AU188" i="224"/>
  <c r="A188" i="224"/>
  <c r="V134" i="268"/>
  <c r="V135" i="268"/>
  <c r="V136" i="268"/>
  <c r="V137" i="268"/>
  <c r="V138" i="268"/>
  <c r="V139" i="268"/>
  <c r="V140" i="268"/>
  <c r="V141" i="268"/>
  <c r="V142" i="268"/>
  <c r="V143" i="268"/>
  <c r="V144" i="268"/>
  <c r="V145" i="268"/>
  <c r="V146" i="268"/>
  <c r="V147" i="268"/>
  <c r="V148" i="268"/>
  <c r="V149" i="268"/>
  <c r="V150" i="268"/>
  <c r="V151" i="268"/>
  <c r="V152" i="268"/>
  <c r="V153" i="268"/>
  <c r="V154" i="268"/>
  <c r="V155" i="268"/>
  <c r="V156" i="268"/>
  <c r="V157" i="268"/>
  <c r="V158" i="268"/>
  <c r="V159" i="268"/>
  <c r="V160" i="268"/>
  <c r="V161" i="268"/>
  <c r="V162" i="268"/>
  <c r="V163" i="268"/>
  <c r="V164" i="268"/>
  <c r="V165" i="268"/>
  <c r="V166" i="268"/>
  <c r="V167" i="268"/>
  <c r="V168" i="268"/>
  <c r="V169" i="268"/>
  <c r="V170" i="268"/>
  <c r="V171" i="268"/>
  <c r="V172" i="268"/>
  <c r="V173" i="268"/>
  <c r="V174" i="268"/>
  <c r="V175" i="268"/>
  <c r="V176" i="268"/>
  <c r="V177" i="268"/>
  <c r="V178" i="268"/>
  <c r="V179" i="268"/>
  <c r="V180" i="268"/>
  <c r="V181" i="268"/>
  <c r="V182" i="268"/>
  <c r="V183" i="268"/>
  <c r="V184" i="268"/>
  <c r="V133" i="268"/>
  <c r="V130" i="266"/>
  <c r="V131" i="266"/>
  <c r="V132" i="266"/>
  <c r="V133" i="266"/>
  <c r="V134" i="266"/>
  <c r="V135" i="266"/>
  <c r="V136" i="266"/>
  <c r="V137" i="266"/>
  <c r="V138" i="266"/>
  <c r="V139" i="266"/>
  <c r="V140" i="266"/>
  <c r="V141" i="266"/>
  <c r="V142" i="266"/>
  <c r="V143" i="266"/>
  <c r="V144" i="266"/>
  <c r="V145" i="266"/>
  <c r="V146" i="266"/>
  <c r="V147" i="266"/>
  <c r="V148" i="266"/>
  <c r="V149" i="266"/>
  <c r="V150" i="266"/>
  <c r="V151" i="266"/>
  <c r="V152" i="266"/>
  <c r="V153" i="266"/>
  <c r="V154" i="266"/>
  <c r="V155" i="266"/>
  <c r="V156" i="266"/>
  <c r="V157" i="266"/>
  <c r="V158" i="266"/>
  <c r="V159" i="266"/>
  <c r="V160" i="266"/>
  <c r="V161" i="266"/>
  <c r="V162" i="266"/>
  <c r="V163" i="266"/>
  <c r="V164" i="266"/>
  <c r="V165" i="266"/>
  <c r="V166" i="266"/>
  <c r="V167" i="266"/>
  <c r="V168" i="266"/>
  <c r="V169" i="266"/>
  <c r="V170" i="266"/>
  <c r="V171" i="266"/>
  <c r="V172" i="266"/>
  <c r="V173" i="266"/>
  <c r="V174" i="266"/>
  <c r="V175" i="266"/>
  <c r="V176" i="266"/>
  <c r="V177" i="266"/>
  <c r="V178" i="266"/>
  <c r="V129" i="266"/>
  <c r="V130" i="262"/>
  <c r="V131" i="262"/>
  <c r="V132" i="262"/>
  <c r="V133" i="262"/>
  <c r="V134" i="262"/>
  <c r="V135" i="262"/>
  <c r="V136" i="262"/>
  <c r="V137" i="262"/>
  <c r="V138" i="262"/>
  <c r="V139" i="262"/>
  <c r="V140" i="262"/>
  <c r="V141" i="262"/>
  <c r="V142" i="262"/>
  <c r="V143" i="262"/>
  <c r="V144" i="262"/>
  <c r="V145" i="262"/>
  <c r="V146" i="262"/>
  <c r="V147" i="262"/>
  <c r="V148" i="262"/>
  <c r="V149" i="262"/>
  <c r="V150" i="262"/>
  <c r="V151" i="262"/>
  <c r="V152" i="262"/>
  <c r="V153" i="262"/>
  <c r="V154" i="262"/>
  <c r="V155" i="262"/>
  <c r="V156" i="262"/>
  <c r="V157" i="262"/>
  <c r="V158" i="262"/>
  <c r="V159" i="262"/>
  <c r="V160" i="262"/>
  <c r="V161" i="262"/>
  <c r="V162" i="262"/>
  <c r="V163" i="262"/>
  <c r="V164" i="262"/>
  <c r="V165" i="262"/>
  <c r="V166" i="262"/>
  <c r="V167" i="262"/>
  <c r="V168" i="262"/>
  <c r="V169" i="262"/>
  <c r="V170" i="262"/>
  <c r="V171" i="262"/>
  <c r="V172" i="262"/>
  <c r="V173" i="262"/>
  <c r="V174" i="262"/>
  <c r="V175" i="262"/>
  <c r="V176" i="262"/>
  <c r="V177" i="262"/>
  <c r="V178" i="262"/>
  <c r="V129" i="262"/>
  <c r="V127" i="259"/>
  <c r="V128" i="259"/>
  <c r="V129" i="259"/>
  <c r="V130" i="259"/>
  <c r="V131" i="259"/>
  <c r="V132" i="259"/>
  <c r="V133" i="259"/>
  <c r="V134" i="259"/>
  <c r="V135" i="259"/>
  <c r="V136" i="259"/>
  <c r="V137" i="259"/>
  <c r="V138" i="259"/>
  <c r="V139" i="259"/>
  <c r="V140" i="259"/>
  <c r="V141" i="259"/>
  <c r="V142" i="259"/>
  <c r="V143" i="259"/>
  <c r="V144" i="259"/>
  <c r="V145" i="259"/>
  <c r="V146" i="259"/>
  <c r="V147" i="259"/>
  <c r="V148" i="259"/>
  <c r="V149" i="259"/>
  <c r="V150" i="259"/>
  <c r="V151" i="259"/>
  <c r="V152" i="259"/>
  <c r="V153" i="259"/>
  <c r="V154" i="259"/>
  <c r="V155" i="259"/>
  <c r="V156" i="259"/>
  <c r="V157" i="259"/>
  <c r="V158" i="259"/>
  <c r="V159" i="259"/>
  <c r="V160" i="259"/>
  <c r="V161" i="259"/>
  <c r="V162" i="259"/>
  <c r="V163" i="259"/>
  <c r="V164" i="259"/>
  <c r="V165" i="259"/>
  <c r="V166" i="259"/>
  <c r="V167" i="259"/>
  <c r="V168" i="259"/>
  <c r="V169" i="259"/>
  <c r="V170" i="259"/>
  <c r="V171" i="259"/>
  <c r="V172" i="259"/>
  <c r="V173" i="259"/>
  <c r="V126" i="259"/>
  <c r="V116" i="257"/>
  <c r="V117" i="257"/>
  <c r="V118" i="257"/>
  <c r="V119" i="257"/>
  <c r="V120" i="257"/>
  <c r="V121" i="257"/>
  <c r="V122" i="257"/>
  <c r="V123" i="257"/>
  <c r="V124" i="257"/>
  <c r="V125" i="257"/>
  <c r="V126" i="257"/>
  <c r="V127" i="257"/>
  <c r="V128" i="257"/>
  <c r="V129" i="257"/>
  <c r="V130" i="257"/>
  <c r="V131" i="257"/>
  <c r="V132" i="257"/>
  <c r="V133" i="257"/>
  <c r="V134" i="257"/>
  <c r="V135" i="257"/>
  <c r="V136" i="257"/>
  <c r="V137" i="257"/>
  <c r="V138" i="257"/>
  <c r="V139" i="257"/>
  <c r="V140" i="257"/>
  <c r="V141" i="257"/>
  <c r="V142" i="257"/>
  <c r="V143" i="257"/>
  <c r="V144" i="257"/>
  <c r="V145" i="257"/>
  <c r="V146" i="257"/>
  <c r="V147" i="257"/>
  <c r="V148" i="257"/>
  <c r="V149" i="257"/>
  <c r="V150" i="257"/>
  <c r="V151" i="257"/>
  <c r="V152" i="257"/>
  <c r="V153" i="257"/>
  <c r="V154" i="257"/>
  <c r="V155" i="257"/>
  <c r="V156" i="257"/>
  <c r="V157" i="257"/>
  <c r="V115" i="257"/>
  <c r="A2" i="268" l="1"/>
  <c r="A2" i="267"/>
  <c r="A2" i="266"/>
  <c r="A2" i="265"/>
  <c r="A2" i="264"/>
  <c r="A2" i="263"/>
  <c r="A2" i="262"/>
  <c r="A2" i="261"/>
  <c r="A2" i="260"/>
  <c r="A2" i="259"/>
  <c r="A2" i="258"/>
  <c r="A2" i="257"/>
  <c r="A2" i="256"/>
  <c r="A2" i="255"/>
  <c r="A2" i="254"/>
  <c r="A2" i="253"/>
  <c r="A2" i="252"/>
  <c r="B23" i="226" l="1"/>
  <c r="B23" i="225"/>
  <c r="B23" i="224"/>
  <c r="B23" i="221"/>
  <c r="B23" i="220"/>
  <c r="B23" i="219"/>
  <c r="B23" i="218"/>
  <c r="B23" i="217"/>
  <c r="B23" i="216"/>
  <c r="B23" i="215"/>
  <c r="B23" i="223"/>
  <c r="B23" i="222"/>
  <c r="B23" i="192"/>
  <c r="B23" i="191"/>
  <c r="B23" i="190"/>
  <c r="B23" i="189"/>
  <c r="B23" i="188"/>
  <c r="B23" i="187"/>
  <c r="B23" i="186"/>
  <c r="B23" i="185"/>
  <c r="B23" i="184"/>
  <c r="B23" i="183"/>
  <c r="B23" i="182"/>
  <c r="B23" i="181"/>
  <c r="B23" i="180"/>
  <c r="B23" i="212"/>
  <c r="B23" i="243"/>
  <c r="B23" i="242"/>
  <c r="B23" i="241"/>
  <c r="B23" i="240"/>
  <c r="B23" i="239"/>
  <c r="B23" i="238"/>
  <c r="B23" i="237"/>
  <c r="B23" i="236"/>
  <c r="B23" i="235"/>
  <c r="B23" i="214"/>
  <c r="B23" i="213"/>
  <c r="B23" i="179"/>
  <c r="B23" i="178"/>
  <c r="B23" i="177"/>
  <c r="B23" i="176"/>
  <c r="B23" i="244"/>
  <c r="B23" i="172"/>
  <c r="B23" i="173"/>
  <c r="B23" i="170"/>
  <c r="B23" i="169"/>
  <c r="B23" i="168"/>
  <c r="B23" i="167"/>
  <c r="B23" i="166"/>
  <c r="B23" i="165"/>
  <c r="B23" i="164"/>
  <c r="B23" i="163"/>
  <c r="B23" i="162"/>
  <c r="B23" i="161"/>
  <c r="B23" i="160"/>
  <c r="B23" i="159"/>
  <c r="B23" i="158"/>
  <c r="B23" i="157"/>
  <c r="B23" i="156"/>
  <c r="B23" i="155"/>
  <c r="B23" i="154"/>
  <c r="B23" i="153"/>
  <c r="B23" i="152"/>
  <c r="B23" i="151"/>
  <c r="B23" i="175"/>
  <c r="B23" i="174"/>
  <c r="B23" i="150"/>
  <c r="B23" i="149"/>
  <c r="B23" i="148"/>
  <c r="B23" i="147"/>
  <c r="B23" i="146"/>
  <c r="B23" i="232"/>
  <c r="B23" i="251"/>
  <c r="B23" i="250"/>
  <c r="B23" i="249"/>
  <c r="B23" i="130"/>
  <c r="B23" i="143"/>
  <c r="B23" i="142"/>
  <c r="B23" i="141"/>
  <c r="B23" i="140"/>
  <c r="B23" i="139"/>
  <c r="B23" i="138"/>
  <c r="B23" i="137"/>
  <c r="B23" i="136"/>
  <c r="B23" i="248"/>
  <c r="B23" i="247"/>
  <c r="B23" i="246"/>
  <c r="B23" i="245"/>
  <c r="B22" i="102"/>
  <c r="A2" i="251" l="1"/>
  <c r="A2" i="250"/>
  <c r="A2" i="249"/>
  <c r="B18" i="174" l="1"/>
  <c r="B18" i="150"/>
  <c r="B18" i="149"/>
  <c r="B18" i="148"/>
  <c r="B18" i="147"/>
  <c r="B18" i="175"/>
  <c r="B18" i="146"/>
  <c r="A28" i="248" l="1"/>
  <c r="A29" i="248" s="1"/>
  <c r="A30" i="248" s="1"/>
  <c r="A31" i="248" s="1"/>
  <c r="A32" i="248" s="1"/>
  <c r="A33" i="248" s="1"/>
  <c r="A34" i="248" s="1"/>
  <c r="A35" i="248" s="1"/>
  <c r="A36" i="248" s="1"/>
  <c r="A37" i="248" s="1"/>
  <c r="A38" i="248" s="1"/>
  <c r="A39" i="248" s="1"/>
  <c r="A40" i="248" s="1"/>
  <c r="A41" i="248" s="1"/>
  <c r="A42" i="248" s="1"/>
  <c r="A43" i="248" s="1"/>
  <c r="A44" i="248" s="1"/>
  <c r="A45" i="248" s="1"/>
  <c r="A46" i="248" s="1"/>
  <c r="A47" i="248" s="1"/>
  <c r="A48" i="248" s="1"/>
  <c r="A49" i="248" s="1"/>
  <c r="A50" i="248" s="1"/>
  <c r="A51" i="248" s="1"/>
  <c r="A52" i="248" s="1"/>
  <c r="A53" i="248" s="1"/>
  <c r="A54" i="248" s="1"/>
  <c r="A55" i="248" s="1"/>
  <c r="A56" i="248" s="1"/>
  <c r="A57" i="248" s="1"/>
  <c r="A58" i="248" s="1"/>
  <c r="A59" i="248" s="1"/>
  <c r="A60" i="248" s="1"/>
  <c r="A61" i="248" s="1"/>
  <c r="A62" i="248" s="1"/>
  <c r="A63" i="248" s="1"/>
  <c r="A64" i="248" s="1"/>
  <c r="A65" i="248" s="1"/>
  <c r="A66" i="248" s="1"/>
  <c r="A67" i="248" s="1"/>
  <c r="A68" i="248" s="1"/>
  <c r="A69" i="248" s="1"/>
  <c r="A70" i="248" s="1"/>
  <c r="A71" i="248" s="1"/>
  <c r="A72" i="248" s="1"/>
  <c r="A73" i="248" s="1"/>
  <c r="A74" i="248" s="1"/>
  <c r="A75" i="248" s="1"/>
  <c r="A76" i="248" s="1"/>
  <c r="A77" i="248" s="1"/>
  <c r="A78" i="248" s="1"/>
  <c r="A2" i="248"/>
  <c r="A28" i="247"/>
  <c r="A29" i="247" s="1"/>
  <c r="A30" i="247" s="1"/>
  <c r="A31" i="247" s="1"/>
  <c r="A32" i="247" s="1"/>
  <c r="A33" i="247" s="1"/>
  <c r="A34" i="247" s="1"/>
  <c r="A35" i="247" s="1"/>
  <c r="A36" i="247" s="1"/>
  <c r="A37" i="247" s="1"/>
  <c r="A38" i="247" s="1"/>
  <c r="A39" i="247" s="1"/>
  <c r="A40" i="247" s="1"/>
  <c r="A41" i="247" s="1"/>
  <c r="A42" i="247" s="1"/>
  <c r="A43" i="247" s="1"/>
  <c r="A44" i="247" s="1"/>
  <c r="A45" i="247" s="1"/>
  <c r="A46" i="247" s="1"/>
  <c r="A47" i="247" s="1"/>
  <c r="A48" i="247" s="1"/>
  <c r="A49" i="247" s="1"/>
  <c r="A50" i="247" s="1"/>
  <c r="A51" i="247" s="1"/>
  <c r="A52" i="247" s="1"/>
  <c r="A53" i="247" s="1"/>
  <c r="A54" i="247" s="1"/>
  <c r="A55" i="247" s="1"/>
  <c r="A56" i="247" s="1"/>
  <c r="A57" i="247" s="1"/>
  <c r="A58" i="247" s="1"/>
  <c r="A59" i="247" s="1"/>
  <c r="A60" i="247" s="1"/>
  <c r="A61" i="247" s="1"/>
  <c r="A62" i="247" s="1"/>
  <c r="A63" i="247" s="1"/>
  <c r="A64" i="247" s="1"/>
  <c r="A65" i="247" s="1"/>
  <c r="A66" i="247" s="1"/>
  <c r="A67" i="247" s="1"/>
  <c r="A68" i="247" s="1"/>
  <c r="A69" i="247" s="1"/>
  <c r="A70" i="247" s="1"/>
  <c r="A71" i="247" s="1"/>
  <c r="A72" i="247" s="1"/>
  <c r="A73" i="247" s="1"/>
  <c r="A74" i="247" s="1"/>
  <c r="A75" i="247" s="1"/>
  <c r="A76" i="247" s="1"/>
  <c r="A77" i="247" s="1"/>
  <c r="A78" i="247" s="1"/>
  <c r="A2" i="247"/>
  <c r="A28" i="246"/>
  <c r="A29" i="246" s="1"/>
  <c r="A30" i="246" s="1"/>
  <c r="A31" i="246" s="1"/>
  <c r="A32" i="246" s="1"/>
  <c r="A33" i="246" s="1"/>
  <c r="A34" i="246" s="1"/>
  <c r="A35" i="246" s="1"/>
  <c r="A36" i="246" s="1"/>
  <c r="A37" i="246" s="1"/>
  <c r="A38" i="246" s="1"/>
  <c r="A39" i="246" s="1"/>
  <c r="A40" i="246" s="1"/>
  <c r="A41" i="246" s="1"/>
  <c r="A42" i="246" s="1"/>
  <c r="A43" i="246" s="1"/>
  <c r="A44" i="246" s="1"/>
  <c r="A45" i="246" s="1"/>
  <c r="A46" i="246" s="1"/>
  <c r="A47" i="246" s="1"/>
  <c r="A48" i="246" s="1"/>
  <c r="A49" i="246" s="1"/>
  <c r="A50" i="246" s="1"/>
  <c r="A51" i="246" s="1"/>
  <c r="A52" i="246" s="1"/>
  <c r="A53" i="246" s="1"/>
  <c r="A54" i="246" s="1"/>
  <c r="A55" i="246" s="1"/>
  <c r="A56" i="246" s="1"/>
  <c r="A57" i="246" s="1"/>
  <c r="A58" i="246" s="1"/>
  <c r="A59" i="246" s="1"/>
  <c r="A60" i="246" s="1"/>
  <c r="A61" i="246" s="1"/>
  <c r="A62" i="246" s="1"/>
  <c r="A63" i="246" s="1"/>
  <c r="A64" i="246" s="1"/>
  <c r="A65" i="246" s="1"/>
  <c r="A66" i="246" s="1"/>
  <c r="A67" i="246" s="1"/>
  <c r="A68" i="246" s="1"/>
  <c r="A69" i="246" s="1"/>
  <c r="A70" i="246" s="1"/>
  <c r="A71" i="246" s="1"/>
  <c r="A72" i="246" s="1"/>
  <c r="A73" i="246" s="1"/>
  <c r="A74" i="246" s="1"/>
  <c r="A75" i="246" s="1"/>
  <c r="A76" i="246" s="1"/>
  <c r="A77" i="246" s="1"/>
  <c r="A78" i="246" s="1"/>
  <c r="A2" i="246"/>
  <c r="A28" i="245"/>
  <c r="A29" i="245" s="1"/>
  <c r="A30" i="245" s="1"/>
  <c r="A31" i="245" s="1"/>
  <c r="A32" i="245" s="1"/>
  <c r="A33" i="245" s="1"/>
  <c r="A34" i="245" s="1"/>
  <c r="A35" i="245" s="1"/>
  <c r="A36" i="245" s="1"/>
  <c r="A37" i="245" s="1"/>
  <c r="A38" i="245" s="1"/>
  <c r="A39" i="245" s="1"/>
  <c r="A40" i="245" s="1"/>
  <c r="A41" i="245" s="1"/>
  <c r="A42" i="245" s="1"/>
  <c r="A43" i="245" s="1"/>
  <c r="A44" i="245" s="1"/>
  <c r="A45" i="245" s="1"/>
  <c r="A46" i="245" s="1"/>
  <c r="A47" i="245" s="1"/>
  <c r="A48" i="245" s="1"/>
  <c r="A49" i="245" s="1"/>
  <c r="A50" i="245" s="1"/>
  <c r="A51" i="245" s="1"/>
  <c r="A52" i="245" s="1"/>
  <c r="A53" i="245" s="1"/>
  <c r="A54" i="245" s="1"/>
  <c r="A55" i="245" s="1"/>
  <c r="A56" i="245" s="1"/>
  <c r="A57" i="245" s="1"/>
  <c r="A58" i="245" s="1"/>
  <c r="A59" i="245" s="1"/>
  <c r="A60" i="245" s="1"/>
  <c r="A61" i="245" s="1"/>
  <c r="A62" i="245" s="1"/>
  <c r="A63" i="245" s="1"/>
  <c r="A64" i="245" s="1"/>
  <c r="A65" i="245" s="1"/>
  <c r="A66" i="245" s="1"/>
  <c r="A67" i="245" s="1"/>
  <c r="A68" i="245" s="1"/>
  <c r="A69" i="245" s="1"/>
  <c r="A70" i="245" s="1"/>
  <c r="A71" i="245" s="1"/>
  <c r="A72" i="245" s="1"/>
  <c r="A73" i="245" s="1"/>
  <c r="A74" i="245" s="1"/>
  <c r="A75" i="245" s="1"/>
  <c r="A76" i="245" s="1"/>
  <c r="A77" i="245" s="1"/>
  <c r="A78" i="245" s="1"/>
  <c r="A2" i="245"/>
  <c r="A2" i="244" l="1"/>
  <c r="A2" i="243" l="1"/>
  <c r="A2" i="242"/>
  <c r="A2" i="241"/>
  <c r="A2" i="240"/>
  <c r="A2" i="239"/>
  <c r="A2" i="238"/>
  <c r="A2" i="237"/>
  <c r="A2" i="236"/>
  <c r="A2" i="235"/>
  <c r="A2" i="232" l="1"/>
  <c r="A2" i="226" l="1"/>
  <c r="A2" i="225"/>
  <c r="A2" i="224"/>
  <c r="A2" i="223" l="1"/>
  <c r="A2" i="222"/>
  <c r="A2" i="221" l="1"/>
  <c r="A2" i="220"/>
  <c r="A2" i="219"/>
  <c r="A2" i="218"/>
  <c r="A2" i="217"/>
  <c r="A2" i="216"/>
  <c r="A2" i="215"/>
  <c r="A2" i="214" l="1"/>
  <c r="A2" i="213"/>
  <c r="A2" i="212" l="1"/>
  <c r="A2" i="192" l="1"/>
  <c r="A2" i="191"/>
  <c r="A2" i="190"/>
  <c r="A2" i="189"/>
  <c r="A2" i="188"/>
  <c r="A2" i="187"/>
  <c r="A2" i="186"/>
  <c r="A2" i="185"/>
  <c r="A2" i="184"/>
  <c r="A2" i="183"/>
  <c r="A2" i="182"/>
  <c r="A2" i="181"/>
  <c r="A2" i="180"/>
  <c r="A2" i="179" l="1"/>
  <c r="A2" i="178"/>
  <c r="A2" i="177"/>
  <c r="A2" i="176"/>
  <c r="A2" i="175" l="1"/>
  <c r="A2" i="174"/>
  <c r="A2" i="173" l="1"/>
  <c r="A2" i="172" l="1"/>
  <c r="A2" i="170"/>
  <c r="A2" i="169"/>
  <c r="A2" i="168"/>
  <c r="A2" i="167"/>
  <c r="A2" i="166"/>
  <c r="A2" i="165"/>
  <c r="A2" i="164"/>
  <c r="A2" i="163"/>
  <c r="A2" i="162"/>
  <c r="A2" i="161"/>
  <c r="A2" i="160"/>
  <c r="A2" i="159"/>
  <c r="A2" i="158"/>
  <c r="A2" i="157"/>
  <c r="A2" i="156"/>
  <c r="A2" i="155"/>
  <c r="A2" i="154"/>
  <c r="A2" i="153"/>
  <c r="A2" i="152"/>
  <c r="A2" i="151"/>
  <c r="A2" i="150" l="1"/>
  <c r="A2" i="149"/>
  <c r="A2" i="148"/>
  <c r="A2" i="147"/>
  <c r="A2" i="146"/>
  <c r="A2" i="143"/>
  <c r="A2" i="142"/>
  <c r="A2" i="141"/>
  <c r="A2" i="140"/>
  <c r="A2" i="139"/>
  <c r="A2" i="138"/>
  <c r="A2" i="137"/>
  <c r="A2" i="136"/>
  <c r="A2" i="130" l="1"/>
  <c r="A3" i="102" l="1"/>
  <c r="A4" i="102" l="1"/>
  <c r="A2" i="102"/>
  <c r="A4" i="83" l="1"/>
  <c r="A2" i="83"/>
  <c r="A2" i="78"/>
  <c r="A4" i="77"/>
  <c r="A2" i="77"/>
  <c r="A2" i="55" l="1"/>
  <c r="A4" i="1" l="1"/>
</calcChain>
</file>

<file path=xl/sharedStrings.xml><?xml version="1.0" encoding="utf-8"?>
<sst xmlns="http://schemas.openxmlformats.org/spreadsheetml/2006/main" count="5788" uniqueCount="845">
  <si>
    <t>Government Actuary's Department</t>
  </si>
  <si>
    <t>NHSPS_S - Consolidated Factor Spreadsheet</t>
  </si>
  <si>
    <t>Cover</t>
  </si>
  <si>
    <t>Specification</t>
  </si>
  <si>
    <t>This spreadsheet contains the full suite of factors that are in force for the NHSPS_S.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</si>
  <si>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</si>
  <si>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</si>
  <si>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</si>
  <si>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</si>
  <si>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</si>
  <si>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</si>
  <si>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</si>
  <si>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</si>
  <si>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</si>
  <si>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</si>
  <si>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</si>
  <si>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t>
  </si>
  <si>
    <t>x-201 and onwards</t>
  </si>
  <si>
    <t xml:space="preserve">The 200 series factors contain the non club transfer factors. Each different type of non club transfer factor is set out on a separate sheet starting with sheet x-201, where x relates to the scheme section (if applicable). </t>
  </si>
  <si>
    <t>x-301 and onwards</t>
  </si>
  <si>
    <t xml:space="preserve">The 300 series factors contain the pension sharing on divorce factors. Each different type of pension sharing on divorce factor is set out on a separate sheet starting with sheet x-301, where x relates to the scheme section (if applicable). </t>
  </si>
  <si>
    <t>x-401 and onwards</t>
  </si>
  <si>
    <t xml:space="preserve">The 400 series factors contain the early of late retirement factors. Each different type of early or late retirement factor is set out on a separate sheet starting with sheet x-401, where x relates to the scheme section (if applicable). </t>
  </si>
  <si>
    <t>x-501 and onwards</t>
  </si>
  <si>
    <t xml:space="preserve">The 500 series factors contain the commutation factors. Each different type of commutation factor is set out on a separate sheet starting with sheet x-501, where x relates to the scheme section (if applicable). </t>
  </si>
  <si>
    <t>x-601 and onwards</t>
  </si>
  <si>
    <t xml:space="preserve">The 600 series factors contain the scheme pays factors. Each different type of scheme pays factor is set out on a separate sheet starting with sheet x-601, where x relates to the scheme section (if applicable). </t>
  </si>
  <si>
    <t>x-701 and onwards</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</si>
  <si>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</si>
  <si>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x-801 and onwards</t>
  </si>
  <si>
    <t xml:space="preserve">The 800 series factors contain the other scheme specific factors. Each different type of other scheme specific factor is set out on a separate sheet starting with sheet x-801, where x relates to the scheme section (if applicable). </t>
  </si>
  <si>
    <t>Purpose of Spreadsheet</t>
  </si>
  <si>
    <t>Purpose of the SPPA Consolidated Factor Workbook</t>
  </si>
  <si>
    <t xml:space="preserve">This workbook is provided by GAD at the request of SPPA.  Its purpose is to set out in one place for convenience the actuarial factors provided by GAD to SPPA from time to time in respect of NHS Pension Scheme Scotland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workbook is password protected. 
</t>
  </si>
  <si>
    <t>Version Control</t>
  </si>
  <si>
    <t>Version control</t>
  </si>
  <si>
    <t xml:space="preserve">This sheet is intended to assist SPPA in understanding which factors have changed and when. </t>
  </si>
  <si>
    <t>Version control on this sheet commences with the 2018 2.4% SCAPE rate change factor review (version 2018-1)</t>
  </si>
  <si>
    <t>Version 20200526</t>
  </si>
  <si>
    <t>Provides the following new factor tables:</t>
  </si>
  <si>
    <t>None</t>
  </si>
  <si>
    <t>Provides the following revised factors:</t>
  </si>
  <si>
    <t>101-104 (Club transfers) 201-211 (CETV), 212-219 (Transer-in), 301-307 (Divorce), 401-423 (ERF &amp; LRF), 501-504 (Commutation), 605-615 (Scheme pays), 701-719 (Added Pension), 720 (ERRBO), 801-813 (Redundancy), 814-815 (FPC) and 817-823 (Abatement)</t>
  </si>
  <si>
    <t>Confirms that the following factor table is no longer required by SPPA</t>
  </si>
  <si>
    <t>Factors still to follow:</t>
  </si>
  <si>
    <t>Methodology changes:</t>
  </si>
  <si>
    <t>Date modified:</t>
  </si>
  <si>
    <t>Version 2023-01</t>
  </si>
  <si>
    <t>Provides the following updated factor tables:</t>
  </si>
  <si>
    <t>x-201 to x-209, x-301 to x-307</t>
  </si>
  <si>
    <t>Withdrawn factor tables:</t>
  </si>
  <si>
    <t>x-210 to x-211 removed (GMP factor tables)</t>
  </si>
  <si>
    <t>Date Modified:</t>
  </si>
  <si>
    <t>Version 2023-02</t>
  </si>
  <si>
    <t>x-217,
x-401 to x-423</t>
  </si>
  <si>
    <t xml:space="preserve">Withdrawn factor tables: </t>
  </si>
  <si>
    <t xml:space="preserve">x-218 to x-219 removed (tv in GMP Tables)
x-212 to x-216 removed (final salary tv ins) </t>
  </si>
  <si>
    <t>Version 2023-03</t>
  </si>
  <si>
    <t>x-214 to x-216 (reinstated)</t>
  </si>
  <si>
    <t>x-501 to x-504, 
x-605 to x-615,
x-801 to x-815, 
x-817 to x-823</t>
  </si>
  <si>
    <t>Version 2023-04</t>
  </si>
  <si>
    <t>x-101 to x-104, x-703 to x-720, x-824 to x-826</t>
  </si>
  <si>
    <t>x-701 to x-702 (1995/2008 scheme added pension lump sum contributions)</t>
  </si>
  <si>
    <t>Version 2025-01</t>
  </si>
  <si>
    <t>x-308, x-424, x-505, x-218, x-219, x-823</t>
  </si>
  <si>
    <t>Other changes:</t>
  </si>
  <si>
    <t>The key assumptions underlying the factors have been added on a separate tab called "Assumptions".</t>
  </si>
  <si>
    <t>x-605, x-606</t>
  </si>
  <si>
    <t>Removed LTA tables and set to withdrawn on the factor list</t>
  </si>
  <si>
    <t xml:space="preserve">Summary of Factors </t>
  </si>
  <si>
    <t>x=0</t>
  </si>
  <si>
    <t>x=1</t>
  </si>
  <si>
    <t>NHSPS_S</t>
  </si>
  <si>
    <t>NHSSS 2015</t>
  </si>
  <si>
    <t>NHSSS</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</si>
  <si>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</si>
  <si>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</si>
  <si>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</si>
  <si>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</si>
  <si>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</si>
  <si>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</si>
  <si>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</si>
  <si>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</si>
  <si>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</si>
  <si>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</si>
  <si>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</si>
  <si>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</si>
  <si>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</si>
  <si>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</si>
  <si>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</si>
  <si>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</si>
  <si>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</si>
  <si>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</si>
  <si>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</si>
  <si>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</si>
  <si>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</si>
  <si>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</si>
  <si>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</si>
  <si>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</si>
  <si>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</si>
  <si>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</si>
  <si>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</si>
  <si>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</si>
  <si>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</si>
  <si>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</si>
  <si>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</si>
  <si>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</si>
  <si>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</si>
  <si>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</si>
  <si>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</si>
  <si>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</si>
  <si>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</si>
  <si>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</si>
  <si>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</si>
  <si>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</si>
  <si>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</si>
  <si>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</si>
  <si>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</si>
  <si>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</si>
  <si>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</si>
  <si>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</si>
  <si>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</si>
  <si>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</si>
  <si>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</si>
  <si>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</si>
  <si>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</si>
  <si>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</si>
  <si>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</si>
  <si>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</si>
  <si>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</si>
  <si>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</si>
  <si>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</si>
  <si>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</si>
  <si>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</si>
  <si>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</si>
  <si>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</si>
  <si>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</si>
  <si>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</si>
  <si>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</si>
  <si>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</si>
  <si>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</si>
  <si>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</si>
  <si>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</si>
  <si>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</si>
  <si>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</si>
  <si>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</si>
  <si>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</si>
  <si>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</si>
  <si>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</si>
  <si>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</si>
  <si>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</si>
  <si>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</si>
  <si>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</si>
  <si>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</si>
  <si>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</si>
  <si>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</si>
  <si>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</si>
  <si>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</si>
  <si>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</si>
  <si>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</si>
  <si>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</si>
  <si>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</si>
  <si>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</si>
  <si>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</si>
  <si>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</si>
  <si>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</si>
  <si>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</si>
  <si>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</si>
  <si>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</si>
  <si>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</si>
  <si>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</si>
  <si>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</si>
  <si>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</si>
  <si>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</si>
  <si>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</si>
  <si>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</si>
  <si>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</si>
  <si>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</si>
  <si>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</si>
  <si>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</si>
  <si>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</si>
  <si>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</si>
  <si>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</si>
  <si>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</si>
  <si>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</si>
  <si>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</si>
  <si>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</si>
  <si>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</si>
  <si>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</si>
  <si>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</si>
  <si>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</si>
  <si>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</si>
  <si>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</si>
  <si>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</si>
  <si>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</si>
  <si>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</si>
  <si>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</si>
  <si>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</si>
  <si>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</si>
  <si>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</si>
  <si>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</si>
  <si>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</si>
  <si>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</si>
  <si>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</si>
  <si>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</si>
  <si>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</si>
  <si>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</si>
  <si>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</si>
  <si>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</si>
  <si>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</si>
  <si>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</si>
  <si>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</si>
  <si>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</si>
  <si>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</si>
  <si>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</si>
  <si>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</si>
  <si>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</si>
  <si>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</si>
  <si>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</si>
  <si>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</si>
  <si>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</si>
  <si>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</si>
  <si>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</si>
  <si>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</si>
  <si>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</si>
  <si>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</si>
  <si>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</si>
  <si>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</si>
  <si>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</si>
  <si>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</si>
  <si>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</si>
  <si>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</si>
  <si>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</si>
  <si>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</si>
  <si>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</si>
  <si>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</si>
  <si>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</si>
  <si>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</si>
  <si>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</si>
  <si>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</si>
  <si>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</si>
  <si>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</si>
  <si>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</si>
  <si>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</si>
  <si>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</si>
  <si>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</si>
  <si>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</si>
  <si>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</si>
  <si>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</si>
  <si>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</si>
  <si>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</si>
  <si>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</si>
  <si>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</si>
  <si>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</si>
  <si>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</si>
  <si>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</si>
  <si>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</si>
  <si>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</si>
  <si>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</si>
  <si>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</si>
  <si>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</si>
  <si>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</si>
  <si>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</si>
  <si>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</si>
  <si>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</si>
  <si>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</si>
  <si>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</si>
  <si>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</si>
  <si>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</si>
  <si>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</si>
  <si>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</si>
  <si>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</si>
  <si>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</si>
  <si>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</si>
  <si>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Data Item</t>
  </si>
  <si>
    <t>Factor Table Information</t>
  </si>
  <si>
    <t>Client</t>
  </si>
  <si>
    <t>Enter the client name eg NHSPS_EW</t>
  </si>
  <si>
    <t>Section</t>
  </si>
  <si>
    <t>Enter the section name eg NHSPS 2015</t>
  </si>
  <si>
    <t>Factor Type</t>
  </si>
  <si>
    <t>Enter the factor type (which should be consistent with the series header types found on the summary sheet (eg early or late retirement)</t>
  </si>
  <si>
    <t>Enter a description of the factor (eg use description from factor table in guidance)</t>
  </si>
  <si>
    <t>Gender</t>
  </si>
  <si>
    <t>Enter either "unisex" or "m and f"</t>
  </si>
  <si>
    <t>Factor Age/Period Definition</t>
  </si>
  <si>
    <t>Enter in age definition</t>
  </si>
  <si>
    <t>Section Number</t>
  </si>
  <si>
    <t>Enter section number (this relates to the number used to identify the scheme section - see top of summary tab for section number)</t>
  </si>
  <si>
    <t>Series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</si>
  <si>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</si>
  <si>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</si>
  <si>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</si>
  <si>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Table Reference in Guidance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</si>
  <si>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</si>
  <si>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</si>
  <si>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</si>
  <si>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Date Factors Issued to Client</t>
  </si>
  <si>
    <t>Enter the date the factors are issued to the client</t>
  </si>
  <si>
    <t>Date Factors Implemented (if known)</t>
  </si>
  <si>
    <t xml:space="preserve">Enter the date the factors are implemented </t>
  </si>
  <si>
    <t>Factor Status</t>
  </si>
  <si>
    <t>Enter whether table is inforce, withdrawn, refer to gad etc</t>
  </si>
  <si>
    <t>Copy the relevant factor table and foot notes here. Unisex or male factor table in this grey box.</t>
  </si>
  <si>
    <t>Table Location</t>
  </si>
  <si>
    <t>Section Number (x)</t>
  </si>
  <si>
    <t>Table Reference (Section-Series Number)</t>
  </si>
  <si>
    <t>Assumption Set</t>
  </si>
  <si>
    <t xml:space="preserve">Club - CARE Benefit Adjustment Factors </t>
  </si>
  <si>
    <t>Sending scheme: TPS 2015 or PCSPS 2015</t>
  </si>
  <si>
    <t>Male / female factors</t>
  </si>
  <si>
    <t>Age last birthday at guarantee date</t>
  </si>
  <si>
    <t>0-101</t>
  </si>
  <si>
    <t>Table A1</t>
  </si>
  <si>
    <t>Issued</t>
  </si>
  <si>
    <t>2023 factor review set</t>
  </si>
  <si>
    <t>Sending scheme: LGPS 2014</t>
  </si>
  <si>
    <t>0-102</t>
  </si>
  <si>
    <t>Table A2</t>
  </si>
  <si>
    <t>Sending scheme: AFPS 15</t>
  </si>
  <si>
    <t>0-103</t>
  </si>
  <si>
    <t>Table A3</t>
  </si>
  <si>
    <t>Sending scheme: PPS 2015 or FPS 2015</t>
  </si>
  <si>
    <t>0-104</t>
  </si>
  <si>
    <t>Table A4</t>
  </si>
  <si>
    <t>CETV</t>
  </si>
  <si>
    <t>Non-club CETV out Males (normal pension age 60) - 1995 section</t>
  </si>
  <si>
    <t>Male</t>
  </si>
  <si>
    <t>1-201</t>
  </si>
  <si>
    <t>TV1</t>
  </si>
  <si>
    <t>Non-club CETV out Females (normal pension age 60) - 1995 section</t>
  </si>
  <si>
    <t>Female</t>
  </si>
  <si>
    <t>1-202</t>
  </si>
  <si>
    <t>TV2</t>
  </si>
  <si>
    <t>Non-club CETV out Males (normal pension age 65) - 2008 section</t>
  </si>
  <si>
    <t>2-203</t>
  </si>
  <si>
    <t>TV3</t>
  </si>
  <si>
    <t>Females Normal Pension Age 65 (up to age 59) - 2008 section</t>
  </si>
  <si>
    <t>2-204A</t>
  </si>
  <si>
    <t>TV4</t>
  </si>
  <si>
    <t>Females Normal Pension Age 65 (age 60 and above) - 2008 section</t>
  </si>
  <si>
    <t>2-204B</t>
  </si>
  <si>
    <t>Males Normal Pension Age 55 -1995 section</t>
  </si>
  <si>
    <t>1-205</t>
  </si>
  <si>
    <t>TV5</t>
  </si>
  <si>
    <t>Females Normal Pension Age 55 -1995 section</t>
  </si>
  <si>
    <t>1-206</t>
  </si>
  <si>
    <t>TV6</t>
  </si>
  <si>
    <t>Males Normal Pension Age 60 -1995 section (Reserved rights factors)</t>
  </si>
  <si>
    <t>1-207</t>
  </si>
  <si>
    <t>TV7</t>
  </si>
  <si>
    <t>Females Normal Pension Age 60 -1995 section (Reserved rights factors)</t>
  </si>
  <si>
    <t>1-208</t>
  </si>
  <si>
    <t>TV8</t>
  </si>
  <si>
    <t>Member and Dependant CETV factors</t>
  </si>
  <si>
    <t>Unisex</t>
  </si>
  <si>
    <t>Years to PNPA (rounded up)</t>
  </si>
  <si>
    <t>0-209</t>
  </si>
  <si>
    <t>Table TV1</t>
  </si>
  <si>
    <t>TV in (non club)</t>
  </si>
  <si>
    <t>Factors to calculate service credits for male officer members or earnings credits for male practitioner members with an NPA 65</t>
  </si>
  <si>
    <t>Age last birthday at relevant date</t>
  </si>
  <si>
    <t>2-214</t>
  </si>
  <si>
    <t>Table TVIN3</t>
  </si>
  <si>
    <t>Factors to calculate service credits for female officer members or earnings credits for female practitioner members with an NPA 65 under age 60</t>
  </si>
  <si>
    <t>2-215</t>
  </si>
  <si>
    <t>Table TVIN4</t>
  </si>
  <si>
    <t>Factors to calculate service credits for female officer members or earnings credits for female practitioner members with an NPA 65 over age 60</t>
  </si>
  <si>
    <t>2-216</t>
  </si>
  <si>
    <t>Table TVIN5</t>
  </si>
  <si>
    <t>Factors to calculate credits for non-Club incoming transfers</t>
  </si>
  <si>
    <t>Age last birthday</t>
  </si>
  <si>
    <t>0-217</t>
  </si>
  <si>
    <t>Table TVINA</t>
  </si>
  <si>
    <t>30/06/2023 (extended factor table including 66-68 factors issued on 03/10/2023)</t>
  </si>
  <si>
    <t>NHSPS 2015</t>
  </si>
  <si>
    <t>TV In (non-club)</t>
  </si>
  <si>
    <t>2015 GMP coverage test table</t>
  </si>
  <si>
    <t>0-218</t>
  </si>
  <si>
    <t>x-218</t>
  </si>
  <si>
    <t>NHSPS 1995_2008</t>
  </si>
  <si>
    <t>1995_ 2008 GMP coverage test table</t>
  </si>
  <si>
    <t>x-219</t>
  </si>
  <si>
    <t>PenCE</t>
  </si>
  <si>
    <t>Factors to calculate pensioner cash equivalent on divorce - retirement not on grounds of ill health</t>
  </si>
  <si>
    <t>Member's age last birthday at relevant date</t>
  </si>
  <si>
    <t>1-301</t>
  </si>
  <si>
    <t>Table DIV1</t>
  </si>
  <si>
    <t>Factors to calculate pensioner cash equivalent on divorce - retirement on grounds of ill health</t>
  </si>
  <si>
    <t>1-302</t>
  </si>
  <si>
    <t>Table DIV2</t>
  </si>
  <si>
    <t>Factor to adjust for supplementary lump sum due at age 55 where pensioners retired from deferred status and are under age 55 at the date of calculation</t>
  </si>
  <si>
    <t>1-303</t>
  </si>
  <si>
    <t>Table DIV4 and DIV5
Adjustment A</t>
  </si>
  <si>
    <t>0-304</t>
  </si>
  <si>
    <t>0-305</t>
  </si>
  <si>
    <t>Pension Credit</t>
  </si>
  <si>
    <t>Factors to calculate pension credit for ex-spouse where NPA attained</t>
  </si>
  <si>
    <t xml:space="preserve">Ex-spouse’s age last birthday at relevant date </t>
  </si>
  <si>
    <t>1-306</t>
  </si>
  <si>
    <t>Table DIV3</t>
  </si>
  <si>
    <t xml:space="preserve">Factors to calculate pension credit for ex-spouse </t>
  </si>
  <si>
    <t>0-307</t>
  </si>
  <si>
    <t>1-308</t>
  </si>
  <si>
    <t>ERF60ADJ</t>
  </si>
  <si>
    <t>ERF</t>
  </si>
  <si>
    <t>Voluntary early retirement - members of 1995 section (relative to NPA 60) - pension factors</t>
  </si>
  <si>
    <t>Age (complete years &amp; months)</t>
  </si>
  <si>
    <t>1-401</t>
  </si>
  <si>
    <t>ERF1</t>
  </si>
  <si>
    <t>Voluntary early retirement - members of 1995 or 2008 section (relative to NPA 65) - pension factors</t>
  </si>
  <si>
    <t>1-402</t>
  </si>
  <si>
    <t>ERF2</t>
  </si>
  <si>
    <t>Voluntary early retirement - former members of 1995 section with preserved benefits (relative to NPA 60) - pension factors</t>
  </si>
  <si>
    <t>1-403A</t>
  </si>
  <si>
    <t>ERF3(A)</t>
  </si>
  <si>
    <t>Voluntary early retirement - former members of 1995 section with preserved benefits (relative to NPA 60) - adjustment factors</t>
  </si>
  <si>
    <t>Age</t>
  </si>
  <si>
    <t>1-403B</t>
  </si>
  <si>
    <t>ERF3(B)</t>
  </si>
  <si>
    <t>Voluntary early retirement - former members of 1995 section with preserved added years benefits (relative to NPA 65) - pension factors</t>
  </si>
  <si>
    <t>1-404A</t>
  </si>
  <si>
    <t>ERF4(A)</t>
  </si>
  <si>
    <t>Voluntary early retirement - former members of 1995 section with preserved added years benefits (relative to NPA 65) - adjustment factors</t>
  </si>
  <si>
    <t>1-404B</t>
  </si>
  <si>
    <t>ERF4(B)</t>
  </si>
  <si>
    <t xml:space="preserve">2023 factor review set </t>
  </si>
  <si>
    <t>Voluntary early retirement - members of 1995 section - NPA 60 additional pension contracts exercised before 1 April 2011 - pension factors</t>
  </si>
  <si>
    <t>1-405</t>
  </si>
  <si>
    <t>ERF5</t>
  </si>
  <si>
    <t>Voluntary early retirement - members of 1995 or 2008 section - NPA 65 additional pension contracts exercised before 1 April 2011 - pension factors</t>
  </si>
  <si>
    <t>1-406</t>
  </si>
  <si>
    <t>ERF6</t>
  </si>
  <si>
    <t>Voluntary early retirement - members of 1995 section (relative to NPA 60) - lump sum factors</t>
  </si>
  <si>
    <t>1-407</t>
  </si>
  <si>
    <t>ERF7</t>
  </si>
  <si>
    <t>Voluntary early retirement - members of 1995 section with NPA 65 added year's benefits (relative to NPA 65) - lump sum factors</t>
  </si>
  <si>
    <t>1-408</t>
  </si>
  <si>
    <t>ERF8</t>
  </si>
  <si>
    <t>Voluntary early retirement - former members of 1995 section with preserved benefits (relative to NPA 60) - lump sum factors A</t>
  </si>
  <si>
    <t>1-409A</t>
  </si>
  <si>
    <t>ERF9(A)</t>
  </si>
  <si>
    <t>Voluntary early retirement - former members of 1995 section with preserved benefits (relative to NPA 60) - lump sum factors B</t>
  </si>
  <si>
    <t>1-409B</t>
  </si>
  <si>
    <t>ERF9(B)</t>
  </si>
  <si>
    <t>Voluntary early retirement - former members of 1995 section with preserved added years benefits (relative to NPA 65) - lump sum factors C</t>
  </si>
  <si>
    <t>1-410C</t>
  </si>
  <si>
    <t>ERF10(C)</t>
  </si>
  <si>
    <t>Voluntary early retirement - former members of 1995 section with preserved added years benefits (relative to NPA 65) - lump sum factors D</t>
  </si>
  <si>
    <t>1-410D</t>
  </si>
  <si>
    <t>ERF10(D)</t>
  </si>
  <si>
    <t>Voluntary early retirement - members of 2008 section with a mandatory lump sum (relative to NPA 65) - adjustment factors</t>
  </si>
  <si>
    <t>2-411</t>
  </si>
  <si>
    <t>ERF11</t>
  </si>
  <si>
    <t>Voluntary early retirement - members of 1995 section with NPA 55 added years benefits (relative to NPA 55) - pension factors</t>
  </si>
  <si>
    <t>1-412</t>
  </si>
  <si>
    <t>ERF12</t>
  </si>
  <si>
    <t>Voluntary early retirement - members of 1995 section with NPA 55 added years benefits (relative to NPA 55) - lump sum factors</t>
  </si>
  <si>
    <t>1-413</t>
  </si>
  <si>
    <t>ERF13</t>
  </si>
  <si>
    <t>Voluntary early retirement - former members of 1995 section with preserved added years benefits (relative to NPA 55) - pension factors</t>
  </si>
  <si>
    <t>1-414</t>
  </si>
  <si>
    <t>ERF14</t>
  </si>
  <si>
    <t>Voluntary early retirement - former members of 1995 section with preserved benefits (relative to NPA 55) - lump sum factors E</t>
  </si>
  <si>
    <t>1-415E</t>
  </si>
  <si>
    <t>ERF15(E)</t>
  </si>
  <si>
    <t>Voluntary early retirement - former members of 1995 section with preserved benefits (relative to NPA 55) - lump sum factors F</t>
  </si>
  <si>
    <t>1-415F</t>
  </si>
  <si>
    <t>ERF15(F)</t>
  </si>
  <si>
    <t>Late retirement - members of 2008 section (relative to NPA 65) - pension factors</t>
  </si>
  <si>
    <t>Time to NPA</t>
  </si>
  <si>
    <t>0-416</t>
  </si>
  <si>
    <t>ERF1_NHSPSS_2015</t>
  </si>
  <si>
    <t>LRF</t>
  </si>
  <si>
    <t>Late retirement - members of 2008 section - purchansed NPA 65 additional pension contracts exercised before 1 April 2011 - pension factors</t>
  </si>
  <si>
    <t>2-417</t>
  </si>
  <si>
    <t>Table LRF1</t>
  </si>
  <si>
    <t>Late retirement - members of 2008 section - purchansed NPA 65 additional pension contracts exercised after 1 April 2011 - pension factors</t>
  </si>
  <si>
    <t>2-418</t>
  </si>
  <si>
    <t>Table LRF2</t>
  </si>
  <si>
    <t>Late retirement - members of 2008 section with a mandatory lump sum (relative to NPA 65) - adjustment factors</t>
  </si>
  <si>
    <t>2-419</t>
  </si>
  <si>
    <t>Table LRF3</t>
  </si>
  <si>
    <t>Benefits payable to member on late retirement - members of 2008 section with a mandatory lump sum (NPA 65)</t>
  </si>
  <si>
    <t>2-420</t>
  </si>
  <si>
    <t>Table LRF4</t>
  </si>
  <si>
    <t>Late retirement - main scheme pension for members retiring from active status - pension factors</t>
  </si>
  <si>
    <t>Time after NPA</t>
  </si>
  <si>
    <t>0-421</t>
  </si>
  <si>
    <t>Table LRF1_NHSPSS_2015</t>
  </si>
  <si>
    <t>Late retirement - additional pension and pension debits for members retiring from active status - pension factors</t>
  </si>
  <si>
    <t>0-422</t>
  </si>
  <si>
    <t>Table LRF2_NHSPSS_2015</t>
  </si>
  <si>
    <t>Late retirement factors - Final Salary, NPA 60 members, Annual Allowance Pension and Lump Sum debits</t>
  </si>
  <si>
    <t>Age/Completed months</t>
  </si>
  <si>
    <t>0-423</t>
  </si>
  <si>
    <t>LRF5</t>
  </si>
  <si>
    <t>Eligibility for actuarially reduced early retirement – factor for applying to the revalued annual GMP at retirement, which is for use in the GMP test, where GMP data is held.</t>
  </si>
  <si>
    <t>1-424</t>
  </si>
  <si>
    <t>ERF16</t>
  </si>
  <si>
    <t>Triv Comm</t>
  </si>
  <si>
    <t xml:space="preserve">Trivial commutation factors </t>
  </si>
  <si>
    <t>1-501</t>
  </si>
  <si>
    <t>TRIV1_NHSPSS_1995 Section</t>
  </si>
  <si>
    <t>2-502</t>
  </si>
  <si>
    <t>TRIV2_NHSPSS_2008 Section</t>
  </si>
  <si>
    <t>Trivial Commutation factors</t>
  </si>
  <si>
    <t>0-503</t>
  </si>
  <si>
    <t>Appendix B</t>
  </si>
  <si>
    <t>Inverse Comm</t>
  </si>
  <si>
    <t>Inverse Commutation Factors</t>
  </si>
  <si>
    <t>1-504</t>
  </si>
  <si>
    <t>INVCOMM1_NHSPSS</t>
  </si>
  <si>
    <t>1-505</t>
  </si>
  <si>
    <t>ADD</t>
  </si>
  <si>
    <t>Scheme Pays LTA</t>
  </si>
  <si>
    <t>Factors to calculate reduction to pension for LTA charges</t>
  </si>
  <si>
    <t>1-605</t>
  </si>
  <si>
    <t>Table SP1</t>
  </si>
  <si>
    <t>Withdrawn</t>
  </si>
  <si>
    <t>0-606</t>
  </si>
  <si>
    <t>Scheme pays AA</t>
  </si>
  <si>
    <t>Factors for calculating annual allowance debit - NPA 60</t>
  </si>
  <si>
    <t>1-607</t>
  </si>
  <si>
    <t>Table SP60</t>
  </si>
  <si>
    <t>Factors for calculating annual allowance debit - NPA 65</t>
  </si>
  <si>
    <t>2-608</t>
  </si>
  <si>
    <t>Table SP65</t>
  </si>
  <si>
    <t>Timing adjustment on ill health retirements - NPA 60</t>
  </si>
  <si>
    <t>Age (years/months)</t>
  </si>
  <si>
    <t>1-609</t>
  </si>
  <si>
    <t>Table TA60</t>
  </si>
  <si>
    <t>Timing adjustment on ill health retirements - NPA 65</t>
  </si>
  <si>
    <t>2-610</t>
  </si>
  <si>
    <t>Table TA65</t>
  </si>
  <si>
    <t>0-611</t>
  </si>
  <si>
    <t>Factors for calculating annual allowance debit - NPA 66</t>
  </si>
  <si>
    <t>0-612</t>
  </si>
  <si>
    <t>Table SP66</t>
  </si>
  <si>
    <t>Factors for calculating annual allowance debit - NPA 67</t>
  </si>
  <si>
    <t>0-613</t>
  </si>
  <si>
    <t>Table SP67</t>
  </si>
  <si>
    <t>Factors for calculating annual allowance debit - NPA 68</t>
  </si>
  <si>
    <t>0-614</t>
  </si>
  <si>
    <t>Table SP68</t>
  </si>
  <si>
    <t>Timing adjustments on ill health retirements - All NPAs</t>
  </si>
  <si>
    <t>Period to NPA (years/months)</t>
  </si>
  <si>
    <t>0-615</t>
  </si>
  <si>
    <t>Table TA1</t>
  </si>
  <si>
    <t>Added pension</t>
  </si>
  <si>
    <t>2015 scheme - Lump sum election, personal and personal and dependant's (single premium £ per £250 AP at date of election)</t>
  </si>
  <si>
    <t>Age when notice of election given</t>
  </si>
  <si>
    <t>0-703</t>
  </si>
  <si>
    <t>Table S</t>
  </si>
  <si>
    <t>1995 / 2008 Scheme - Additional pension - regular contributions elections made after 31.03.2011, personal benefits, NRA 60 (monthly contribution per £250 AP at date of election)</t>
  </si>
  <si>
    <t>Payment period (in years)/Age when notice of election given</t>
  </si>
  <si>
    <t>1-704</t>
  </si>
  <si>
    <t>Table PC60</t>
  </si>
  <si>
    <t>1995 / 2008 Scheme - Additional pension - regular contributions- elections made after 31.3.11, personal and dependant's benefits NRA 60 (monthly contribution per £250 AP at date of election)</t>
  </si>
  <si>
    <t>1-705</t>
  </si>
  <si>
    <t>Table DC60</t>
  </si>
  <si>
    <t>1995 / 2008 Scheme - Additional pension - regular contributions elections made after 31.03.2011, personal benefits, NRA 65 (monthly contribution per £250 AP at date of election)</t>
  </si>
  <si>
    <t>2-706</t>
  </si>
  <si>
    <t>Table PC65</t>
  </si>
  <si>
    <t>1995 / 2008 Scheme - Additional pension - regular contributions- elections made after 31.3.11, personal and dependant's benefits NRA 65 (monthly contribution per £250 AP at date of election)</t>
  </si>
  <si>
    <t>2-707</t>
  </si>
  <si>
    <t>Table DC65</t>
  </si>
  <si>
    <t>1995 / 2008 Scheme - Additional pension - regular contributions elections made on or before 31.03.2011, personal benefits, NRA 60 (monthly contribution per £250 AP at date of election)</t>
  </si>
  <si>
    <t>1-708</t>
  </si>
  <si>
    <t>Table PR60</t>
  </si>
  <si>
    <t>1995 / 2008 Scheme - Additional pension - regular contributions elections made on or before 31.03.2011, personal and dependant's benefits, NRA 60 (monthly contribution per £250 AP at date of election)</t>
  </si>
  <si>
    <t>1-709</t>
  </si>
  <si>
    <t>Table DR60</t>
  </si>
  <si>
    <t>1995 / 2008 Scheme - Additional pension - regular contributions elections made on or before 31.03.2011, personal benefits, NRA 65 (monthly contribution per £250 AP at date of election)</t>
  </si>
  <si>
    <t>2-710</t>
  </si>
  <si>
    <t>Table PR65</t>
  </si>
  <si>
    <t>1995 / 2008 Scheme - Additional pension - regular contributions elections made on or before 31.03.2011, personal and dependant's benefits, NRA 65 (monthly contribution per £250 AP at date of election)</t>
  </si>
  <si>
    <t>2-711</t>
  </si>
  <si>
    <t>Table DR65</t>
  </si>
  <si>
    <t>Regular contribution elections - personal benefits NRA 65 - Monthly contribution (per £250 AP at date of election)</t>
  </si>
  <si>
    <t>0-712</t>
  </si>
  <si>
    <t>Table P65</t>
  </si>
  <si>
    <t>Regular contribution elections - personal benefits NRA 66 - Monthly contribution (per £250 AP at date of election)</t>
  </si>
  <si>
    <t>0-713</t>
  </si>
  <si>
    <t>Table P66</t>
  </si>
  <si>
    <t>Regular contribution elections - personal benefits NRA 67 - Monthly contribution (per £250 AP at date of election)</t>
  </si>
  <si>
    <t>0-714</t>
  </si>
  <si>
    <t>Table P67</t>
  </si>
  <si>
    <t>Regular contribution elections - personal benefits NRA 68 - Monthly contribution (per £250 AP at date of election)</t>
  </si>
  <si>
    <t>0-715</t>
  </si>
  <si>
    <t>Table P68</t>
  </si>
  <si>
    <t>Regular contribution elections - personal  and dependant's  benefits NRA 65 - Monthly contribution (per £250 AP at date of election)</t>
  </si>
  <si>
    <t>0-716</t>
  </si>
  <si>
    <t>Table D65</t>
  </si>
  <si>
    <t>Regular contribution elections - personal  and dependant's  benefits NRA 66 - Monthly contribution (per £250 AP at date of election)</t>
  </si>
  <si>
    <t>0-717</t>
  </si>
  <si>
    <t>Table D66</t>
  </si>
  <si>
    <t>Regular contribution elections - personal  and dependant's  benefits NRA 67 - Monthly contribution (per £250 AP at date of election)</t>
  </si>
  <si>
    <t>0-718</t>
  </si>
  <si>
    <t>Table D67</t>
  </si>
  <si>
    <t>Regular contribution elections - personal  and dependant's  benefits NRA 68 - Monthly contribution (per £250 AP at date of election)</t>
  </si>
  <si>
    <t>0-719</t>
  </si>
  <si>
    <t>Table D68</t>
  </si>
  <si>
    <t>Early retirement reduction buy out</t>
  </si>
  <si>
    <t>Factors for determining ERRBO contributions</t>
  </si>
  <si>
    <t>Complete years at previous 31 March</t>
  </si>
  <si>
    <t>0-720</t>
  </si>
  <si>
    <t>Table in Appendix B</t>
  </si>
  <si>
    <t>Employer cost for a member with NPA 55 leaving on compulsory early retirement for pension payments up to age 55</t>
  </si>
  <si>
    <t>Age in complete years and months</t>
  </si>
  <si>
    <t>1-801</t>
  </si>
  <si>
    <t>Table CER1</t>
  </si>
  <si>
    <t>Employer cost for a member with NPA 55 leaving on compulsory early retirement for enhancement payments after age 55</t>
  </si>
  <si>
    <t>1-802</t>
  </si>
  <si>
    <t>Table CER2</t>
  </si>
  <si>
    <t>Employer cost for a member with NPA 55 leaving on compulsory early retirement for early payment of lump sum</t>
  </si>
  <si>
    <t>Period to NPA in years and complete months</t>
  </si>
  <si>
    <t>1-803</t>
  </si>
  <si>
    <t>Table CER3</t>
  </si>
  <si>
    <t>Employer cost for a member with NPA 60 leaving on compulsory early retirement for pension payments up to age 60</t>
  </si>
  <si>
    <t>1-804</t>
  </si>
  <si>
    <t>Table CER4</t>
  </si>
  <si>
    <t>Employer cost for a member with NPA 60 leaving on compulsory early retirement for enhancement payments after age 60</t>
  </si>
  <si>
    <t>1-805</t>
  </si>
  <si>
    <t>Table CER5</t>
  </si>
  <si>
    <t>Employer cost for a member with NPA 60 leaving on compulsory early retirement for early payment of lump sum</t>
  </si>
  <si>
    <t>1-806</t>
  </si>
  <si>
    <t>Table CER6</t>
  </si>
  <si>
    <t>Employer cost for a member with NPA 65 leaving on compulsory early retirement for pension payments up to age 65</t>
  </si>
  <si>
    <t>2-807</t>
  </si>
  <si>
    <t>Table CER7</t>
  </si>
  <si>
    <t>Employer cost for a member with NPA 65 leaving on compulsory early retirement for early payment of mandatory lump sum</t>
  </si>
  <si>
    <t>2-808</t>
  </si>
  <si>
    <t>Table CER8</t>
  </si>
  <si>
    <t>Employer cost for a member with NPA 55 leaving on compulsory early retirement for members with deferred PI</t>
  </si>
  <si>
    <t>1-809</t>
  </si>
  <si>
    <t>Table CER9</t>
  </si>
  <si>
    <t>Employer cost for a member with NPA 60 leaving on compulsory early retirement for members retiring before age 55 with deferred PI - Pension Factors</t>
  </si>
  <si>
    <t>1-810A</t>
  </si>
  <si>
    <t>Table CER10</t>
  </si>
  <si>
    <t>Employer cost for a member with NPA 60 leaving on compulsory early retirement for members retiring before age 55 with deferred PI - Lump Sum Factors</t>
  </si>
  <si>
    <t>1-810B</t>
  </si>
  <si>
    <t>Employer cost for a member with NPA 55 leaving on compulsory early retirement for members retiring before age 55 with at least one dependant child</t>
  </si>
  <si>
    <t>1-811</t>
  </si>
  <si>
    <t>Table CER11</t>
  </si>
  <si>
    <t>Employer cost for a member with NPA 60 leaving on compulsory early retirement for members retiring before age 55 with at least one dependant child</t>
  </si>
  <si>
    <t>1-812</t>
  </si>
  <si>
    <t>Table CER12</t>
  </si>
  <si>
    <t>Cost for a member leaving on compulsory early retirement - main scheme pension</t>
  </si>
  <si>
    <t>0-813</t>
  </si>
  <si>
    <t>Final Pay</t>
  </si>
  <si>
    <t>Final Pay control factors applicable to members retiring with an immediate pension</t>
  </si>
  <si>
    <t>1-814</t>
  </si>
  <si>
    <t>Table B1</t>
  </si>
  <si>
    <t>Final Pay control factors applicable to members entitled to a deferred pension</t>
  </si>
  <si>
    <t>1-815</t>
  </si>
  <si>
    <t>Table B2</t>
  </si>
  <si>
    <t>Abatement</t>
  </si>
  <si>
    <t>Abatement factors - members of the 1995 section (relative to pension age of 60)</t>
  </si>
  <si>
    <t>Age (completed years &amp; months)</t>
  </si>
  <si>
    <t>1-817</t>
  </si>
  <si>
    <t>Table AB1</t>
  </si>
  <si>
    <t>Abatement factors - members of the 2008 section (relative to pension age of 65)</t>
  </si>
  <si>
    <t>2-818</t>
  </si>
  <si>
    <t>Table AB2</t>
  </si>
  <si>
    <t>Abatement factors - members of the 1995 section - NPA 60 additional pension contracts exercised before 1 April 2011(relative to pension age of 60)</t>
  </si>
  <si>
    <t>1-819</t>
  </si>
  <si>
    <t>Table AB3</t>
  </si>
  <si>
    <t>Abatement factors - members of the 1995 or 2008 section - NPA 65 additional pension contracts exercised before 1 April 2011(relative to pension age of 60)</t>
  </si>
  <si>
    <t>1-820</t>
  </si>
  <si>
    <t>Table AB4</t>
  </si>
  <si>
    <t>Abatement factors - members of the 1995 section with NPA 55 added years benefits</t>
  </si>
  <si>
    <t>1-821</t>
  </si>
  <si>
    <t>Table AB5</t>
  </si>
  <si>
    <t>Abatement factors - members of the 2008 section with mandatory lump sum (relative to pension age of 65)</t>
  </si>
  <si>
    <t>2-822</t>
  </si>
  <si>
    <t>Table AB6</t>
  </si>
  <si>
    <t>Abatement factors - 2015 section</t>
  </si>
  <si>
    <t>0-823</t>
  </si>
  <si>
    <t>Allocation</t>
  </si>
  <si>
    <t>Additional Benefits Payable to the Dependant per £1 Pension Allocated by the Member</t>
  </si>
  <si>
    <t>Age: Member/Dependant</t>
  </si>
  <si>
    <t>0-824</t>
  </si>
  <si>
    <t>1-825</t>
  </si>
  <si>
    <t>Table A</t>
  </si>
  <si>
    <t>1-826</t>
  </si>
  <si>
    <t>Table B</t>
  </si>
  <si>
    <t>NHSPS</t>
  </si>
  <si>
    <t>1995 / 2008 Scheme - NHS Pension Scheme (S): Actuarial Factors - Factors for use in abatement cases - calculation of earned pension</t>
  </si>
  <si>
    <t>1-827</t>
  </si>
  <si>
    <t>NHS95 AY</t>
  </si>
  <si>
    <t>Assumptions underlying factors (Note 1 &amp; 2)</t>
  </si>
  <si>
    <t>Financial assumptions</t>
  </si>
  <si>
    <t>Nominal discount rate p.a.</t>
  </si>
  <si>
    <t>Consumer Price Indexation (CPI) p.a.</t>
  </si>
  <si>
    <t>Retail Price Indexation (RPI) - pre 2030 p.a. (Note 3)</t>
  </si>
  <si>
    <t>Retail Price Indexation (RPI) - post 2030 p.a. (Note 3)</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</si>
  <si>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</si>
  <si>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</si>
  <si>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</si>
  <si>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</si>
  <si>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</si>
  <si>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</si>
  <si>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</si>
  <si>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</si>
  <si>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</si>
  <si>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</si>
  <si>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</si>
  <si>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102% of S3NMA</t>
  </si>
  <si>
    <t>Normal health pensioner - female</t>
  </si>
  <si>
    <t xml:space="preserve">116% of S3NFA </t>
  </si>
  <si>
    <t>Ill health pensioner - male</t>
  </si>
  <si>
    <t>151% of S3IMA</t>
  </si>
  <si>
    <t>Ill health pensioner - female</t>
  </si>
  <si>
    <t xml:space="preserve">151% of S3IFA </t>
  </si>
  <si>
    <t>Dependant - male</t>
  </si>
  <si>
    <t xml:space="preserve">92% of S3DMA </t>
  </si>
  <si>
    <t>Dependant - female</t>
  </si>
  <si>
    <t xml:space="preserve">100% of S3DFA </t>
  </si>
  <si>
    <t>Future mortality improvement tables</t>
  </si>
  <si>
    <t>ONS 2020 principal UK population projections.</t>
  </si>
  <si>
    <t>Year of use</t>
  </si>
  <si>
    <t>2024 for most factors.
For factors intended to set a member contribution rate that is payable for the duration of a contract, we select a year of use that reflects the cohort of members we could use those factors.</t>
  </si>
  <si>
    <t>Age adjustments</t>
  </si>
  <si>
    <t>-5 year age rating applied to beneficiaries for allocation factors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</si>
  <si>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</si>
  <si>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</si>
  <si>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</si>
  <si>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</si>
  <si>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</si>
  <si>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</si>
  <si>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</si>
  <si>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</si>
  <si>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4).
100% for options where the member can purchase additional dependant benefits.</t>
  </si>
  <si>
    <t>Allowance for commutation</t>
  </si>
  <si>
    <t>Nil, except for mandatory lump sums.</t>
  </si>
  <si>
    <t>Expense loading</t>
  </si>
  <si>
    <t>Allowance for short-term dependants pension</t>
  </si>
  <si>
    <t>Normal pension age in the 2015 scheme</t>
  </si>
  <si>
    <t>In line with HMT valuation directions.</t>
  </si>
  <si>
    <t>Rates of ill health retirement</t>
  </si>
  <si>
    <t>In line with proposed 2020 valuation assumptions (Note 4).</t>
  </si>
  <si>
    <t>Ill health benefit enhancements</t>
  </si>
  <si>
    <t>Mortality before retirement</t>
  </si>
  <si>
    <t>Rates of leaving service</t>
  </si>
  <si>
    <t>Retirement ages</t>
  </si>
  <si>
    <t>All retirements take place at normal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</si>
  <si>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</si>
  <si>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</si>
  <si>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</si>
  <si>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</si>
  <si>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</si>
  <si>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</si>
  <si>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SPPA dated 31 March 2023.</t>
  </si>
  <si>
    <t xml:space="preserve">2. Assumption summary </t>
  </si>
  <si>
    <t>The above assumptions were provided in the note dated 3 October 2023.</t>
  </si>
  <si>
    <t>3. CPI/RPI assumption</t>
  </si>
  <si>
    <t>The RPI assumption is only applicable for those factors that have increases/revaluation based on RPI.</t>
  </si>
  <si>
    <t>4. 2020 valuation assumptions</t>
  </si>
  <si>
    <t>The 2020 valuation assumption report dated 20 October 2023.</t>
  </si>
  <si>
    <t>Related Factor Table Guidance</t>
  </si>
  <si>
    <t>Male / female factor</t>
  </si>
  <si>
    <t>26 May 2023</t>
  </si>
  <si>
    <t>Pension Factor (Factor A)</t>
  </si>
  <si>
    <t>Lump Sum Factor (Factor B)</t>
  </si>
  <si>
    <t>Surviving Partner's Pension Factor (Factor C)</t>
  </si>
  <si>
    <t>Deduction for NI Modification (Factor E)</t>
  </si>
  <si>
    <t>Deduction for NI Modification (Factor F)</t>
  </si>
  <si>
    <t>Lump Sum Factor (Choice Optants only) (Factor B)</t>
  </si>
  <si>
    <t>Surviving Partner's Pension (Factor C)</t>
  </si>
  <si>
    <t>Deduction for NI modification (Factor E)</t>
  </si>
  <si>
    <t>Deduction for NI Modification (Factor †F)</t>
  </si>
  <si>
    <t>Deduction for NI Modification (Factor B)</t>
  </si>
  <si>
    <t>Lump Sum Factor (Factor C)</t>
  </si>
  <si>
    <t>Widow's Pension (Factor D)</t>
  </si>
  <si>
    <t>Under 20</t>
  </si>
  <si>
    <t>Lump sum factor (Factor C)</t>
  </si>
  <si>
    <t>Years Early</t>
  </si>
  <si>
    <t>Surviving Partner's Pension Factor (Factor B)</t>
  </si>
  <si>
    <t>Gross Pension of £1 pa</t>
  </si>
  <si>
    <t>Surviving Partner's Pension of £1 pa</t>
  </si>
  <si>
    <t>Accrued TV factor, factor A</t>
  </si>
  <si>
    <t>TVINA factor</t>
  </si>
  <si>
    <t>Member's age next birthday at calculation date (complete years)</t>
  </si>
  <si>
    <t>Appropriate factor</t>
  </si>
  <si>
    <t>29 or under</t>
  </si>
  <si>
    <t>30-39</t>
  </si>
  <si>
    <t>40-49</t>
  </si>
  <si>
    <t>50s or over</t>
  </si>
  <si>
    <t>Gross Pension of £1pa (Factor A)</t>
  </si>
  <si>
    <t>Surviving Partner's Pension of £1pa (Factor B)</t>
  </si>
  <si>
    <t>Deduction for GMP of £1pa - Males (Factor C)</t>
  </si>
  <si>
    <t>Deduction for GMP of £1pa - Females (Factor C)</t>
  </si>
  <si>
    <t>Deduction for NI Modification of £1pa Female Factor (Factor D)</t>
  </si>
  <si>
    <t>Deduction for NI Modification of £1pa Male Factor (Factor D)</t>
  </si>
  <si>
    <t>DIV4: Adjustment A factor for lump sum supplement at age 55</t>
  </si>
  <si>
    <t xml:space="preserve">DIV5: Adjustment B factor </t>
  </si>
  <si>
    <t>Factor A - 1995 Section - Gross pension of £1 pa</t>
  </si>
  <si>
    <t>Factor B - 1995 Section - Lump Sum of £1</t>
  </si>
  <si>
    <t>Factor C - 2008 Section - Gross Pension of £1 pa</t>
  </si>
  <si>
    <t>The ERF60ADJ is the NPA 60 adjustment factor for 1995 Section members.</t>
  </si>
  <si>
    <t>Factor</t>
  </si>
  <si>
    <t>Value</t>
  </si>
  <si>
    <t>Age/Months</t>
  </si>
  <si>
    <t>Pension</t>
  </si>
  <si>
    <t>Years/Months Early</t>
  </si>
  <si>
    <t>Years/Months Late</t>
  </si>
  <si>
    <t>ERF16 is the percentage adjustment that is applied to the annual revalued GMP at retirement, from the date of retirement for each complete year to GMP payment age</t>
  </si>
  <si>
    <t>Former contributing member</t>
  </si>
  <si>
    <t>Dependant</t>
  </si>
  <si>
    <t>Addition is the percentage adjustment that is applied to the annual revalued GMP at retirement, from the date of retirement for each complete year to GMP payment age</t>
  </si>
  <si>
    <t>Addition</t>
  </si>
  <si>
    <t>Annual allowance debit factor per £1 of pension pa</t>
  </si>
  <si>
    <t>Annual allowance debit factor per £1 of lump sum</t>
  </si>
  <si>
    <t>Personal</t>
  </si>
  <si>
    <t>Personal and dependant's</t>
  </si>
  <si>
    <t>Payment period 1 year</t>
  </si>
  <si>
    <t>Payment period 2 years</t>
  </si>
  <si>
    <t>Payment period 3 years</t>
  </si>
  <si>
    <t>Payment period 4 years</t>
  </si>
  <si>
    <t>Payment period 5 years</t>
  </si>
  <si>
    <t>Payment period 6 years</t>
  </si>
  <si>
    <t>Payment period 7 years</t>
  </si>
  <si>
    <t>Payment period 8 years</t>
  </si>
  <si>
    <t>Payment period 9 years</t>
  </si>
  <si>
    <t>Payment period 10 years</t>
  </si>
  <si>
    <t>Payment period 11 years</t>
  </si>
  <si>
    <t>Payment period 12 years</t>
  </si>
  <si>
    <t>Payment period 13 years</t>
  </si>
  <si>
    <t>Payment period 14 years</t>
  </si>
  <si>
    <t>Payment period 15 years</t>
  </si>
  <si>
    <t>Payment period 16 years</t>
  </si>
  <si>
    <t>Payment period 17 years</t>
  </si>
  <si>
    <t>Payment period 18 years</t>
  </si>
  <si>
    <t>Payment period 19 years</t>
  </si>
  <si>
    <t>Payment period 20 years</t>
  </si>
  <si>
    <t>Contribution rate (% of pay) to secure RRA for service after commencement of ERRBO contributions equal to - NPA-1</t>
  </si>
  <si>
    <t>Contribution rate (% of pay) to secure RRA for service after commencement of ERRBO contributions equal to - NPA-2</t>
  </si>
  <si>
    <t>Contribution rate (% of pay) to secure RRA for service after commencement of ERRBO contributions equal to - NPA-3</t>
  </si>
  <si>
    <t>Pension Factor</t>
  </si>
  <si>
    <t>Lump Sum Factor</t>
  </si>
  <si>
    <t>99+</t>
  </si>
  <si>
    <t>90+</t>
  </si>
  <si>
    <t>NPA</t>
  </si>
  <si>
    <t>PC checks v0.1.xlsx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</si>
</sst>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F800]dddd\,\ mmmm\ dd\,\ yyyy"/>
    <numFmt numFmtId="166" formatCode="0.000%"/>
  </numFmts>
  <fonts count="25"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2"/>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16" fillId="0" borderId="0" applyNumberFormat="0" applyFill="0" applyBorder="0" applyAlignment="0" applyProtection="0"/>
    <xf numFmtId="9" fontId="2" fillId="0" borderId="0" applyFont="0" applyFill="0" applyBorder="0" applyAlignment="0" applyProtection="0"/>
  </cellStyleXfs>
  <cellXfs count="179">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0" fillId="0" borderId="0" xfId="0" applyAlignment="1">
      <alignment wrapText="1"/>
    </xf>
    <xf numFmtId="0" fontId="2" fillId="0" borderId="0" xfId="2"/>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0" fillId="4" borderId="6" xfId="2" applyFont="1" applyFill="1" applyBorder="1" applyAlignment="1">
      <alignment vertical="top" wrapText="1"/>
    </xf>
    <xf numFmtId="0" fontId="10" fillId="4" borderId="6" xfId="2" applyFont="1" applyFill="1" applyBorder="1" applyAlignment="1">
      <alignment horizontal="left" vertical="top" wrapText="1"/>
    </xf>
    <xf numFmtId="0" fontId="10" fillId="4" borderId="15" xfId="2" applyFont="1" applyFill="1" applyBorder="1" applyAlignment="1">
      <alignment vertical="top" wrapText="1"/>
    </xf>
    <xf numFmtId="0" fontId="2" fillId="4" borderId="4" xfId="2" applyFill="1" applyBorder="1" applyAlignment="1">
      <alignment horizontal="left" vertical="top"/>
    </xf>
    <xf numFmtId="0" fontId="10"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0" fillId="4" borderId="15" xfId="2" applyNumberFormat="1" applyFont="1" applyFill="1" applyBorder="1" applyAlignment="1">
      <alignment horizontal="left" vertical="top" wrapText="1"/>
    </xf>
    <xf numFmtId="0" fontId="11" fillId="4" borderId="8" xfId="2" applyFont="1" applyFill="1" applyBorder="1"/>
    <xf numFmtId="0" fontId="11" fillId="4" borderId="10" xfId="2" applyFont="1" applyFill="1" applyBorder="1"/>
    <xf numFmtId="0" fontId="11" fillId="4" borderId="11" xfId="2" applyFont="1" applyFill="1" applyBorder="1"/>
    <xf numFmtId="0" fontId="11" fillId="4" borderId="12" xfId="2" applyFont="1" applyFill="1" applyBorder="1"/>
    <xf numFmtId="0" fontId="11" fillId="4" borderId="11" xfId="2" applyFont="1" applyFill="1" applyBorder="1" applyAlignment="1">
      <alignment horizontal="left"/>
    </xf>
    <xf numFmtId="0" fontId="11" fillId="4" borderId="12" xfId="2" applyFont="1" applyFill="1" applyBorder="1" applyAlignment="1">
      <alignment horizontal="left"/>
    </xf>
    <xf numFmtId="0" fontId="10" fillId="4" borderId="11" xfId="2" applyFont="1" applyFill="1" applyBorder="1"/>
    <xf numFmtId="0" fontId="10" fillId="4" borderId="12" xfId="2" applyFont="1" applyFill="1" applyBorder="1"/>
    <xf numFmtId="164" fontId="12" fillId="4" borderId="11" xfId="2" applyNumberFormat="1" applyFont="1" applyFill="1" applyBorder="1" applyAlignment="1">
      <alignment horizontal="right"/>
    </xf>
    <xf numFmtId="164" fontId="12" fillId="4" borderId="12" xfId="2" applyNumberFormat="1" applyFont="1" applyFill="1" applyBorder="1" applyAlignment="1">
      <alignment horizontal="right"/>
    </xf>
    <xf numFmtId="1" fontId="10" fillId="4" borderId="11" xfId="2" applyNumberFormat="1" applyFont="1" applyFill="1" applyBorder="1" applyAlignment="1">
      <alignment horizontal="right"/>
    </xf>
    <xf numFmtId="1" fontId="10" fillId="4" borderId="12" xfId="2" applyNumberFormat="1" applyFont="1" applyFill="1" applyBorder="1" applyAlignment="1">
      <alignment horizontal="right"/>
    </xf>
    <xf numFmtId="0" fontId="10" fillId="4" borderId="11" xfId="2" applyFont="1" applyFill="1" applyBorder="1" applyAlignment="1">
      <alignment vertical="top"/>
    </xf>
    <xf numFmtId="0" fontId="10" fillId="4" borderId="12" xfId="2" applyFont="1" applyFill="1" applyBorder="1" applyAlignment="1">
      <alignment vertical="top"/>
    </xf>
    <xf numFmtId="0" fontId="10" fillId="4" borderId="16" xfId="2" applyFont="1" applyFill="1" applyBorder="1"/>
    <xf numFmtId="0" fontId="10" fillId="4" borderId="13" xfId="2" applyFont="1" applyFill="1" applyBorder="1"/>
    <xf numFmtId="1" fontId="14" fillId="0" borderId="0" xfId="0" applyNumberFormat="1" applyFont="1" applyAlignment="1">
      <alignment vertical="top" wrapText="1"/>
    </xf>
    <xf numFmtId="0" fontId="13" fillId="0" borderId="0" xfId="0" applyFont="1"/>
    <xf numFmtId="2" fontId="13" fillId="0" borderId="0" xfId="0" applyNumberFormat="1" applyFont="1"/>
    <xf numFmtId="0" fontId="14" fillId="0" borderId="0" xfId="0" applyFont="1" applyAlignment="1">
      <alignment horizontal="left" wrapText="1"/>
    </xf>
    <xf numFmtId="0" fontId="13" fillId="0" borderId="0" xfId="0" applyFont="1" applyAlignment="1">
      <alignment horizontal="left" wrapText="1"/>
    </xf>
    <xf numFmtId="0" fontId="14" fillId="0" borderId="0" xfId="2" applyFont="1" applyAlignment="1">
      <alignment horizontal="left" wrapText="1"/>
    </xf>
    <xf numFmtId="0" fontId="14" fillId="0" borderId="0" xfId="2" applyFont="1" applyAlignment="1">
      <alignment horizontal="centerContinuous" wrapText="1"/>
    </xf>
    <xf numFmtId="0" fontId="13" fillId="0" borderId="0" xfId="2" applyFont="1" applyAlignment="1">
      <alignment horizontal="left" wrapText="1"/>
    </xf>
    <xf numFmtId="0" fontId="13" fillId="0" borderId="0" xfId="2" applyFont="1" applyAlignment="1">
      <alignment horizontal="centerContinuous" wrapText="1"/>
    </xf>
    <xf numFmtId="1" fontId="14" fillId="0" borderId="0" xfId="2" applyNumberFormat="1" applyFont="1" applyAlignment="1">
      <alignment vertical="top" wrapText="1"/>
    </xf>
    <xf numFmtId="0" fontId="13" fillId="0" borderId="0" xfId="2" applyFont="1"/>
    <xf numFmtId="164" fontId="13" fillId="0" borderId="0" xfId="2" applyNumberFormat="1" applyFont="1"/>
    <xf numFmtId="10" fontId="13" fillId="0" borderId="0" xfId="2" applyNumberFormat="1" applyFont="1"/>
    <xf numFmtId="0" fontId="13" fillId="0" borderId="0" xfId="0" applyFont="1" applyAlignment="1">
      <alignment horizontal="right"/>
    </xf>
    <xf numFmtId="0" fontId="13" fillId="0" borderId="0" xfId="0" applyFont="1" applyAlignment="1">
      <alignment horizontal="right" wrapText="1"/>
    </xf>
    <xf numFmtId="165" fontId="13" fillId="0" borderId="0" xfId="2" applyNumberFormat="1" applyFont="1" applyAlignment="1">
      <alignment horizontal="centerContinuous" wrapText="1"/>
    </xf>
    <xf numFmtId="0" fontId="13" fillId="0" borderId="0" xfId="0" applyFont="1" applyAlignment="1">
      <alignment horizontal="left" vertical="center" wrapText="1"/>
    </xf>
    <xf numFmtId="0" fontId="13" fillId="0" borderId="0" xfId="0" applyFont="1" applyAlignment="1">
      <alignment horizontal="left" vertical="center"/>
    </xf>
    <xf numFmtId="0" fontId="6" fillId="3" borderId="0" xfId="2" applyFont="1" applyFill="1"/>
    <xf numFmtId="0" fontId="15"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vertical="center" wrapText="1"/>
    </xf>
    <xf numFmtId="0" fontId="0" fillId="5" borderId="0" xfId="0" applyFill="1" applyAlignment="1">
      <alignment vertical="center"/>
    </xf>
    <xf numFmtId="0" fontId="2" fillId="0" borderId="0" xfId="0" applyFont="1" applyAlignment="1">
      <alignment vertical="center" wrapText="1"/>
    </xf>
    <xf numFmtId="0" fontId="0" fillId="6" borderId="0" xfId="0" applyFill="1" applyAlignment="1">
      <alignment vertical="center"/>
    </xf>
    <xf numFmtId="0" fontId="2" fillId="7" borderId="0" xfId="0" applyFont="1" applyFill="1" applyAlignment="1">
      <alignment vertical="center"/>
    </xf>
    <xf numFmtId="0" fontId="13" fillId="0" borderId="0" xfId="0" applyFont="1" applyAlignment="1">
      <alignment vertical="center" wrapText="1"/>
    </xf>
    <xf numFmtId="1" fontId="14" fillId="0" borderId="0" xfId="0" applyNumberFormat="1"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6" fillId="0" borderId="0" xfId="3"/>
    <xf numFmtId="14" fontId="0" fillId="2" borderId="1" xfId="0" applyNumberFormat="1" applyFill="1" applyBorder="1"/>
    <xf numFmtId="14" fontId="0" fillId="3" borderId="0" xfId="0" applyNumberFormat="1" applyFill="1"/>
    <xf numFmtId="164" fontId="13" fillId="0" borderId="0" xfId="0" applyNumberFormat="1" applyFont="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Continuous" vertical="center" wrapText="1"/>
    </xf>
    <xf numFmtId="0" fontId="19" fillId="0" borderId="0" xfId="0" applyFont="1" applyAlignment="1">
      <alignment horizontal="left" vertical="center" wrapText="1"/>
    </xf>
    <xf numFmtId="165" fontId="19" fillId="0" borderId="0" xfId="0" applyNumberFormat="1" applyFont="1" applyAlignment="1">
      <alignment horizontal="left" vertical="center" wrapText="1"/>
    </xf>
    <xf numFmtId="0" fontId="17" fillId="0" borderId="0" xfId="0" applyFont="1"/>
    <xf numFmtId="0" fontId="18" fillId="0" borderId="0" xfId="0" applyFont="1" applyAlignment="1">
      <alignment vertical="top" wrapText="1"/>
    </xf>
    <xf numFmtId="0" fontId="18" fillId="0" borderId="0" xfId="0" applyFont="1" applyAlignment="1">
      <alignment wrapText="1"/>
    </xf>
    <xf numFmtId="0" fontId="18" fillId="0" borderId="0" xfId="0" applyFont="1"/>
    <xf numFmtId="14" fontId="18" fillId="0" borderId="0" xfId="0" applyNumberFormat="1" applyFont="1"/>
    <xf numFmtId="0" fontId="13" fillId="0" borderId="0" xfId="0" applyFont="1" applyAlignment="1">
      <alignment horizontal="left"/>
    </xf>
    <xf numFmtId="1" fontId="13" fillId="0" borderId="0" xfId="2" applyNumberFormat="1" applyFont="1"/>
    <xf numFmtId="2" fontId="13" fillId="0" borderId="0" xfId="2" applyNumberFormat="1" applyFont="1"/>
    <xf numFmtId="0" fontId="2" fillId="8" borderId="0" xfId="0" applyFont="1" applyFill="1" applyAlignment="1">
      <alignment vertical="center"/>
    </xf>
    <xf numFmtId="0" fontId="13" fillId="9" borderId="0" xfId="0" applyFont="1" applyFill="1" applyAlignment="1">
      <alignment vertical="center" wrapText="1"/>
    </xf>
    <xf numFmtId="0" fontId="20" fillId="0" borderId="0" xfId="0" applyFont="1"/>
    <xf numFmtId="0" fontId="21" fillId="0" borderId="0" xfId="0" applyFont="1"/>
    <xf numFmtId="0" fontId="21" fillId="0" borderId="0" xfId="0" applyFont="1" applyAlignment="1">
      <alignment wrapText="1"/>
    </xf>
    <xf numFmtId="14" fontId="21" fillId="0" borderId="0" xfId="0" applyNumberFormat="1" applyFont="1" applyAlignment="1">
      <alignment horizontal="right"/>
    </xf>
    <xf numFmtId="0" fontId="4" fillId="10" borderId="0" xfId="0" applyFont="1" applyFill="1"/>
    <xf numFmtId="0" fontId="2" fillId="12" borderId="0" xfId="0" applyFont="1" applyFill="1"/>
    <xf numFmtId="0" fontId="2" fillId="10" borderId="0" xfId="0" applyFont="1" applyFill="1"/>
    <xf numFmtId="0" fontId="2" fillId="9" borderId="0" xfId="0" applyFont="1" applyFill="1" applyAlignment="1">
      <alignment wrapText="1"/>
    </xf>
    <xf numFmtId="14" fontId="2" fillId="11" borderId="0" xfId="0" applyNumberFormat="1" applyFont="1" applyFill="1"/>
    <xf numFmtId="0" fontId="2" fillId="0" borderId="0" xfId="2" applyAlignment="1">
      <alignment horizontal="center"/>
    </xf>
    <xf numFmtId="0" fontId="22" fillId="0" borderId="0" xfId="2" applyFont="1" applyAlignment="1">
      <alignment vertical="center"/>
    </xf>
    <xf numFmtId="0" fontId="15" fillId="11" borderId="0" xfId="2" applyFont="1" applyFill="1" applyAlignment="1">
      <alignment wrapText="1"/>
    </xf>
    <xf numFmtId="0" fontId="15" fillId="11" borderId="0" xfId="2" applyFont="1" applyFill="1" applyAlignment="1">
      <alignment horizontal="left" wrapText="1"/>
    </xf>
    <xf numFmtId="0" fontId="15" fillId="9" borderId="0" xfId="2" applyFont="1" applyFill="1" applyAlignment="1">
      <alignment wrapText="1"/>
    </xf>
    <xf numFmtId="0" fontId="15" fillId="9" borderId="0" xfId="2" applyFont="1" applyFill="1" applyAlignment="1">
      <alignment horizontal="left" wrapText="1"/>
    </xf>
    <xf numFmtId="0" fontId="23" fillId="11" borderId="0" xfId="2" applyFont="1" applyFill="1" applyAlignment="1">
      <alignment horizontal="left" wrapText="1"/>
    </xf>
    <xf numFmtId="0" fontId="23" fillId="9" borderId="0" xfId="2" applyFont="1" applyFill="1" applyAlignment="1">
      <alignment horizontal="left" wrapText="1"/>
    </xf>
    <xf numFmtId="10" fontId="23" fillId="9" borderId="0" xfId="2" applyNumberFormat="1" applyFont="1" applyFill="1" applyAlignment="1">
      <alignment horizontal="left" wrapText="1"/>
    </xf>
    <xf numFmtId="10" fontId="23" fillId="11" borderId="0" xfId="2" applyNumberFormat="1" applyFont="1" applyFill="1" applyAlignment="1">
      <alignment horizontal="left" wrapText="1"/>
    </xf>
    <xf numFmtId="0" fontId="23" fillId="9" borderId="0" xfId="2" applyFont="1" applyFill="1" applyAlignment="1">
      <alignment horizontal="left"/>
    </xf>
    <xf numFmtId="0" fontId="24" fillId="9" borderId="0" xfId="2" applyFont="1" applyFill="1" applyAlignment="1">
      <alignment horizontal="left" wrapText="1"/>
    </xf>
    <xf numFmtId="0" fontId="24" fillId="11" borderId="0" xfId="2" applyFont="1" applyFill="1" applyAlignment="1">
      <alignment horizontal="left" wrapText="1"/>
    </xf>
    <xf numFmtId="9" fontId="24" fillId="9" borderId="0" xfId="2" applyNumberFormat="1" applyFont="1" applyFill="1" applyAlignment="1">
      <alignment horizontal="left" wrapText="1"/>
    </xf>
    <xf numFmtId="9" fontId="23" fillId="11" borderId="0" xfId="2" applyNumberFormat="1" applyFont="1" applyFill="1" applyAlignment="1">
      <alignment horizontal="left" wrapText="1"/>
    </xf>
    <xf numFmtId="166" fontId="23" fillId="9" borderId="0" xfId="2" applyNumberFormat="1" applyFont="1" applyFill="1" applyAlignment="1">
      <alignment horizontal="left" wrapText="1"/>
    </xf>
    <xf numFmtId="0" fontId="4" fillId="0" borderId="0" xfId="2" applyFont="1"/>
    <xf numFmtId="0" fontId="0" fillId="0" borderId="0" xfId="2" applyFont="1"/>
    <xf numFmtId="1" fontId="14" fillId="0" borderId="0" xfId="0" applyNumberFormat="1" applyFont="1" applyAlignment="1">
      <alignment horizontal="left" vertical="center" wrapText="1"/>
    </xf>
    <xf numFmtId="10" fontId="14" fillId="0" borderId="0" xfId="4" applyNumberFormat="1" applyFont="1" applyAlignment="1">
      <alignment horizontal="left" vertical="center" wrapText="1"/>
    </xf>
    <xf numFmtId="1" fontId="13" fillId="0" borderId="0" xfId="0" applyNumberFormat="1" applyFont="1" applyAlignment="1">
      <alignment horizontal="left" vertical="center" wrapText="1"/>
    </xf>
    <xf numFmtId="10" fontId="13" fillId="0" borderId="0" xfId="4" applyNumberFormat="1" applyFont="1" applyAlignment="1">
      <alignment horizontal="right" vertical="center" wrapText="1"/>
    </xf>
    <xf numFmtId="1" fontId="14" fillId="0" borderId="0" xfId="2" applyNumberFormat="1" applyFont="1" applyAlignment="1">
      <alignment horizontal="center" vertical="center" wrapText="1"/>
    </xf>
    <xf numFmtId="0" fontId="13" fillId="0" borderId="0" xfId="2" applyFont="1" applyAlignment="1">
      <alignment horizontal="center" vertical="center"/>
    </xf>
    <xf numFmtId="1" fontId="13" fillId="0" borderId="0" xfId="2" applyNumberFormat="1" applyFont="1" applyAlignment="1">
      <alignment horizontal="center" vertical="center"/>
    </xf>
    <xf numFmtId="164" fontId="13" fillId="0" borderId="0" xfId="2" applyNumberFormat="1" applyFont="1" applyAlignment="1">
      <alignment horizontal="center" vertical="center"/>
    </xf>
    <xf numFmtId="0" fontId="2" fillId="11" borderId="0" xfId="0" applyFont="1" applyFill="1"/>
    <xf numFmtId="0" fontId="2" fillId="9" borderId="0" xfId="0" applyFont="1" applyFill="1"/>
    <xf numFmtId="0" fontId="14" fillId="11" borderId="0" xfId="0" applyFont="1" applyFill="1" applyAlignment="1">
      <alignment vertical="top" wrapText="1"/>
    </xf>
    <xf numFmtId="0" fontId="21" fillId="0" borderId="0" xfId="0" applyFont="1" applyAlignment="1">
      <alignment horizontal="left" vertical="top" wrapText="1"/>
    </xf>
    <xf numFmtId="14" fontId="21" fillId="0" borderId="0" xfId="0" applyNumberFormat="1" applyFont="1" applyAlignment="1">
      <alignment horizontal="left" wrapText="1"/>
    </xf>
    <xf numFmtId="0" fontId="4" fillId="0" borderId="0" xfId="0" applyFont="1" applyAlignment="1">
      <alignment wrapText="1"/>
    </xf>
    <xf numFmtId="0" fontId="14" fillId="0" borderId="0" xfId="2" applyFont="1" applyAlignment="1">
      <alignment horizontal="left"/>
    </xf>
    <xf numFmtId="0" fontId="13" fillId="0" borderId="0" xfId="2" applyFont="1" applyAlignment="1">
      <alignment horizontal="left"/>
    </xf>
    <xf numFmtId="14" fontId="13" fillId="0" borderId="0" xfId="0" applyNumberFormat="1" applyFont="1" applyAlignment="1">
      <alignment horizontal="left"/>
    </xf>
    <xf numFmtId="14" fontId="13" fillId="0" borderId="0" xfId="2" applyNumberFormat="1" applyFont="1" applyAlignment="1">
      <alignment horizontal="left"/>
    </xf>
    <xf numFmtId="0" fontId="16" fillId="0" borderId="0" xfId="3" applyFill="1" applyAlignment="1">
      <alignment horizontal="left" vertical="center" wrapText="1"/>
    </xf>
    <xf numFmtId="0" fontId="13" fillId="0" borderId="0" xfId="0" applyFont="1" applyAlignment="1">
      <alignment wrapText="1"/>
    </xf>
    <xf numFmtId="165" fontId="13" fillId="0" borderId="0" xfId="0" applyNumberFormat="1" applyFont="1" applyAlignment="1">
      <alignment horizontal="left" vertical="center" wrapText="1"/>
    </xf>
    <xf numFmtId="0" fontId="8" fillId="0" borderId="8" xfId="0" applyFont="1" applyBorder="1" applyAlignment="1">
      <alignment wrapText="1"/>
    </xf>
    <xf numFmtId="0" fontId="8" fillId="0" borderId="9" xfId="0" applyFont="1" applyBorder="1" applyAlignment="1">
      <alignment wrapText="1"/>
    </xf>
    <xf numFmtId="0" fontId="8" fillId="0" borderId="10" xfId="0" applyFont="1" applyBorder="1" applyAlignment="1">
      <alignment wrapText="1"/>
    </xf>
    <xf numFmtId="0" fontId="9"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2" fillId="11" borderId="0" xfId="0" applyFont="1" applyFill="1"/>
    <xf numFmtId="0" fontId="2" fillId="9" borderId="0" xfId="0" applyFont="1" applyFill="1"/>
  </cellXfs>
  <cellStyles count="5">
    <cellStyle name="Hyperlink" xfId="3" builtinId="8"/>
    <cellStyle name="Normal" xfId="0" builtinId="0"/>
    <cellStyle name="Normal 2" xfId="1" xr:uid="{00000000-0005-0000-0000-000001000000}"/>
    <cellStyle name="Normal 2 2" xfId="2" xr:uid="{00000000-0005-0000-0000-000002000000}"/>
    <cellStyle name="Per cent 2" xfId="4" xr:uid="{3F84BACD-712E-42C3-8725-7902F95AE9F3}"/>
  </cellStyles>
  <dxfs count="1274">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00FFFF"/>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4.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externalLink" Target="externalLinks/externalLink5.xml"/><Relationship Id="rId129" Type="http://schemas.openxmlformats.org/officeDocument/2006/relationships/customXml" Target="../customXml/item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1.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ustomXml" Target="../customXml/item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lient%20Work/CS%20GB/Factors%20&amp;%20Guidance/2024%20Guidance%20Review/0.%20Consolidated%20factor%20workbook%20for%20website/CS%20GB%20Consolidated%20Factors%202025-01.xlsm" TargetMode="External"/><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NHS%20EW/Factors%20&amp;%20Guidance/2024%20Guidance%20Review/3.%20Guidance%20updates/0.%20Consolidated%20factor%20workbook%20for%20website/NHS%20EW%20Consolidated%20Factors%202025-01.xlsm" TargetMode="External"/><Relationship Id="rId2" Type="http://schemas.microsoft.com/office/2019/04/relationships/externalLinkLongPath" Target="/sites/gad_wrkgrp_actuarial/pspsactuarialwork/Client%20Work/NHS%20EW/Factors%20&amp;%20Guidance/2024%20Guidance%20Review/3.%20Guidance%20updates/0.%20Consolidated%20factor%20workbook%20for%20website/NHS%20EW%20Consolidated%20Factors%202025-01.xlsm?5756BBC2" TargetMode="External"/><Relationship Id="rId1" Type="http://schemas.openxmlformats.org/officeDocument/2006/relationships/externalLinkPath" Target="file:///\\5756BBC2\NHS%20EW%20Consolidated%20Factors%202025-01.xlsm" TargetMode="External"/><Relationship Id="rId4" Type="http://schemas.openxmlformats.org/officeDocument/2006/relationships/externalLinkPath" Target="../../../../../../../../../Client%20Work/NHS%20EW/Factors%20&amp;%20Guidance/2024%20Guidance%20Review/3.%20Guidance%20updates/0.%20Consolidated%20factor%20workbook%20for%20website/NHS%20EW%20Consolidated%20Factors%202025-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17\NHS_S\Factors%20reporting%202.4\ERFs%20&amp;%20LRFs\Factors%20Documentation%20NHSPS_S%20ERF%20&amp;%20LRF%202.4%2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ast\ast\Factors\2017\NHS_S\Factors%20reporting%202.4\AP\Factors%20Documentation%20NHSPS_S%20Added%20Pension%202.4%2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PSPS%20Bespoke\Factors%20Documentation%20NHSPS_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NHSPS_EW"/>
      <sheetName val="AnnGenHiddenLists"/>
      <sheetName val="x-Series Number"/>
      <sheetName val="Factor List"/>
      <sheetName val="Assumptions"/>
      <sheetName val="x-101"/>
      <sheetName val="x-102"/>
      <sheetName val="x-103"/>
      <sheetName val="x-104"/>
      <sheetName val="x-105"/>
      <sheetName val="x-201"/>
      <sheetName val="x-202"/>
      <sheetName val="x-203"/>
      <sheetName val="x-204"/>
      <sheetName val="x-205"/>
      <sheetName val="x-206"/>
      <sheetName val="x-207"/>
      <sheetName val="x-208"/>
      <sheetName val="x-209"/>
      <sheetName val="x-213"/>
      <sheetName val="x-214"/>
      <sheetName val="x-215"/>
      <sheetName val="x-216"/>
      <sheetName val="x-217"/>
      <sheetName val="x-301"/>
      <sheetName val="x-302"/>
      <sheetName val="x-303"/>
      <sheetName val="x-304"/>
      <sheetName val="x-401"/>
      <sheetName val="x-305"/>
      <sheetName val="x-306"/>
      <sheetName val="x-307"/>
      <sheetName val="x-308"/>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 val="x-423"/>
      <sheetName val="x-501"/>
      <sheetName val="x-502"/>
      <sheetName val="x-503"/>
      <sheetName val="x-504"/>
      <sheetName val="x-505"/>
      <sheetName val="x-601"/>
      <sheetName val="x-602"/>
      <sheetName val="x-603"/>
      <sheetName val="x-604"/>
      <sheetName val="x-605"/>
      <sheetName val="x-606"/>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4"/>
      <sheetName val="x-801"/>
      <sheetName val="x-802"/>
      <sheetName val="x-803"/>
      <sheetName val="x-804"/>
      <sheetName val="x-805"/>
      <sheetName val="x-806"/>
      <sheetName val="x-807"/>
      <sheetName val="x-808"/>
      <sheetName val="x-809"/>
      <sheetName val="x-810"/>
      <sheetName val="x-811"/>
      <sheetName val="x-812"/>
      <sheetName val="x-813"/>
      <sheetName val="x-814"/>
      <sheetName val="x-815"/>
      <sheetName val="x-81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S"/>
      <sheetName val="AnnGenHiddenLists"/>
      <sheetName val="Factor List"/>
      <sheetName val="x-Series Number"/>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 val="x-423"/>
    </sheetNames>
    <sheetDataSet>
      <sheetData sheetId="0">
        <row r="2">
          <cell r="A2" t="str">
            <v>NHSPS_S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S"/>
      <sheetName val="AnnGenHiddenLists"/>
      <sheetName val="Factor List"/>
      <sheetName val="x-Series Number"/>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s>
    <sheetDataSet>
      <sheetData sheetId="0">
        <row r="2">
          <cell r="A2" t="str">
            <v>NHSPS_S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801"/>
      <sheetName val="x-802"/>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80F9977-11E0-40D1-9EAA-0F656C8945B1}">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x:/r/sites/gad_wrkgrp_actuarial/saactuarialwork/Clients/Funded%20Pension%20Schemes/AWE/2026/Benefit%20Audit/Start%20Year/Checks/PC%20checks%20v0.1.xlsx?d=w1096a62db8f34ac4a3fc6d76c473b6ff&amp;csf=1&amp;web=1&amp;e=sZLRUV" TargetMode="Externa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A3" sqref="A3"/>
    </sheetView>
  </sheetViews>
  <sheetFormatPr defaultRowHeight="12.5" x14ac:dyDescent="0.25"/>
  <cols>
    <col min="1" max="1" width="20" customWidth="1"/>
    <col min="2" max="2" width="130.54296875" style="2" customWidth="1"/>
    <col min="4" max="4" width="10.36328125" bestFit="1" customWidth="1"/>
    <col min="8" max="8" width="10.36328125" customWidth="1"/>
    <col min="9" max="9" width="11.453125" customWidth="1"/>
    <col min="12" max="12" width="15.453125" bestFit="1" customWidth="1"/>
    <col min="13" max="13" width="21" bestFit="1" customWidth="1"/>
    <col min="14" max="14" width="9.453125" customWidth="1"/>
    <col min="15" max="15" width="9.54296875" customWidth="1"/>
    <col min="16" max="20" width="13.36328125" customWidth="1"/>
    <col min="27" max="27" width="11.453125" customWidth="1"/>
    <col min="28" max="28" width="10.36328125" customWidth="1"/>
    <col min="31" max="31" width="15.453125" bestFit="1" customWidth="1"/>
    <col min="32" max="32" width="21" bestFit="1" customWidth="1"/>
    <col min="33" max="34" width="9.54296875" bestFit="1" customWidth="1"/>
    <col min="35" max="35" width="9.54296875" customWidth="1"/>
    <col min="39" max="39" width="12.453125" bestFit="1" customWidth="1"/>
  </cols>
  <sheetData>
    <row r="1" spans="1:4" ht="20" x14ac:dyDescent="0.4">
      <c r="A1" s="4" t="s">
        <v>0</v>
      </c>
      <c r="B1" s="4"/>
    </row>
    <row r="2" spans="1:4" ht="15.5" x14ac:dyDescent="0.35">
      <c r="A2" s="5" t="s">
        <v>1</v>
      </c>
      <c r="B2" s="5"/>
    </row>
    <row r="3" spans="1:4" ht="15.5" x14ac:dyDescent="0.35">
      <c r="A3" s="6" t="s">
        <v>2</v>
      </c>
      <c r="B3" s="6"/>
    </row>
    <row r="4" spans="1:4" x14ac:dyDescent="0.25">
      <c r="A4" s="7" t="str">
        <f ca="1">CELL("filename",A1)</f>
        <v>https://tris42.sharepoint.com/sites/gad_wrkgrp_actuarial/pspsactuarialwork/Central/Factors &amp; Guidance/2024 Guidance Review/4. Online portal/3. Import data/3. Factor tables/0_client_friendly/Ready to be uploaded/2025-03/[NHS S Consolidated Factors 2025-02.xlsx]Cover</v>
      </c>
    </row>
    <row r="5" spans="1:4" x14ac:dyDescent="0.25">
      <c r="D5" s="8"/>
    </row>
    <row r="6" spans="1:4" ht="13" x14ac:dyDescent="0.3">
      <c r="A6" s="1"/>
    </row>
    <row r="7" spans="1:4" ht="15.5" x14ac:dyDescent="0.25">
      <c r="A7" s="89" t="s">
        <v>3</v>
      </c>
      <c r="B7" s="90" t="s">
        <v>4</v>
      </c>
    </row>
    <row r="11" spans="1:4" ht="15.5" x14ac:dyDescent="0.25">
      <c r="A11" s="91" t="s">
        <v>5</v>
      </c>
      <c r="B11" s="91" t="s">
        <v>6</v>
      </c>
    </row>
    <row r="12" spans="1:4" ht="39" customHeight="1" x14ac:dyDescent="0.25">
      <c r="A12" s="92" t="s">
        <v>7</v>
      </c>
      <c r="B12" s="93" t="s">
        <v>8</v>
      </c>
    </row>
    <row r="13" spans="1:4" ht="39" customHeight="1" x14ac:dyDescent="0.25">
      <c r="A13" s="94" t="s">
        <v>9</v>
      </c>
      <c r="B13" s="93" t="s">
        <v>10</v>
      </c>
    </row>
    <row r="14" spans="1:4" ht="39" customHeight="1" x14ac:dyDescent="0.25">
      <c r="A14" s="95" t="s">
        <v>11</v>
      </c>
      <c r="B14" s="93" t="s">
        <v>12</v>
      </c>
    </row>
    <row r="15" spans="1:4" ht="39" customHeight="1" x14ac:dyDescent="0.25">
      <c r="A15" s="117" t="s">
        <v>13</v>
      </c>
      <c r="B15" s="118" t="s">
        <v>14</v>
      </c>
    </row>
    <row r="16" spans="1:4" ht="39" customHeight="1" x14ac:dyDescent="0.25">
      <c r="A16" s="93" t="s">
        <v>15</v>
      </c>
      <c r="B16" s="93" t="s">
        <v>16</v>
      </c>
    </row>
    <row r="17" spans="1:2" ht="39" customHeight="1" x14ac:dyDescent="0.25">
      <c r="A17" s="96" t="s">
        <v>17</v>
      </c>
      <c r="B17" s="93" t="s">
        <v>18</v>
      </c>
    </row>
    <row r="18" spans="1:2" ht="39" customHeight="1" x14ac:dyDescent="0.25">
      <c r="A18" s="96" t="s">
        <v>19</v>
      </c>
      <c r="B18" s="93" t="s">
        <v>20</v>
      </c>
    </row>
    <row r="19" spans="1:2" ht="39" customHeight="1" x14ac:dyDescent="0.25">
      <c r="A19" s="93" t="s">
        <v>21</v>
      </c>
      <c r="B19" s="93" t="s">
        <v>22</v>
      </c>
    </row>
    <row r="20" spans="1:2" ht="39" customHeight="1" x14ac:dyDescent="0.25">
      <c r="A20" s="93" t="s">
        <v>23</v>
      </c>
      <c r="B20" s="93" t="s">
        <v>24</v>
      </c>
    </row>
    <row r="21" spans="1:2" ht="39" customHeight="1" x14ac:dyDescent="0.25">
      <c r="A21" s="93" t="s">
        <v>25</v>
      </c>
      <c r="B21" s="93" t="s">
        <v>26</v>
      </c>
    </row>
    <row r="22" spans="1:2" ht="39" customHeight="1" x14ac:dyDescent="0.25">
      <c r="A22" s="93" t="s">
        <v>27</v>
      </c>
      <c r="B22" s="93" t="s">
        <v>28</v>
      </c>
    </row>
    <row r="23" spans="1:2" ht="39" customHeight="1" x14ac:dyDescent="0.25">
      <c r="A23" s="93" t="s">
        <v>29</v>
      </c>
      <c r="B23" s="93" t="s">
        <v>30</v>
      </c>
    </row>
    <row r="24" spans="1:2" x14ac:dyDescent="0.25">
      <c r="A24" s="3"/>
    </row>
    <row r="25" spans="1:2" x14ac:dyDescent="0.25">
      <c r="A25" s="3"/>
    </row>
  </sheetData>
  <sheetProtection algorithmName="SHA-512" hashValue="PGwOI3MBQ3YwfY4N3fmxZsklB7M4Ze5FMHCj6ZZTOBfaLEe5CUiYCzvsmihSdhkJ5HMUHhsShuukEkyDnpsNcQ==" saltValue="n07bGW0PEcoWEkf0V8qENg==" spinCount="100000" sheet="1" objects="1" scenarios="1"/>
  <phoneticPr fontId="3" type="noConversion"/>
  <conditionalFormatting sqref="A7">
    <cfRule type="expression" dxfId="1273" priority="1" stopIfTrue="1">
      <formula>MOD(ROW(),2)=0</formula>
    </cfRule>
    <cfRule type="expression" dxfId="1272" priority="2" stopIfTrue="1">
      <formula>MOD(ROW(),2)&lt;&gt;0</formula>
    </cfRule>
  </conditionalFormatting>
  <conditionalFormatting sqref="A11">
    <cfRule type="expression" dxfId="1271" priority="15" stopIfTrue="1">
      <formula>MOD(ROW(),2)=0</formula>
    </cfRule>
    <cfRule type="expression" dxfId="1270" priority="16" stopIfTrue="1">
      <formula>MOD(ROW(),2)&lt;&gt;0</formula>
    </cfRule>
  </conditionalFormatting>
  <conditionalFormatting sqref="A16:A23">
    <cfRule type="expression" dxfId="1269" priority="11" stopIfTrue="1">
      <formula>MOD(ROW(),2)=0</formula>
    </cfRule>
    <cfRule type="expression" dxfId="1268" priority="12" stopIfTrue="1">
      <formula>MOD(ROW(),2)&lt;&gt;0</formula>
    </cfRule>
  </conditionalFormatting>
  <conditionalFormatting sqref="B7">
    <cfRule type="expression" dxfId="1267" priority="3" stopIfTrue="1">
      <formula>MOD(ROW(),2)=0</formula>
    </cfRule>
    <cfRule type="expression" dxfId="1266" priority="4" stopIfTrue="1">
      <formula>MOD(ROW(),2)&lt;&gt;0</formula>
    </cfRule>
  </conditionalFormatting>
  <conditionalFormatting sqref="B11:B14">
    <cfRule type="expression" dxfId="1265" priority="7" stopIfTrue="1">
      <formula>MOD(ROW(),2)=0</formula>
    </cfRule>
    <cfRule type="expression" dxfId="1264" priority="8" stopIfTrue="1">
      <formula>MOD(ROW(),2)&lt;&gt;0</formula>
    </cfRule>
  </conditionalFormatting>
  <conditionalFormatting sqref="B16:B18">
    <cfRule type="expression" dxfId="1263" priority="5" stopIfTrue="1">
      <formula>MOD(ROW(),2)=0</formula>
    </cfRule>
    <cfRule type="expression" dxfId="1262" priority="6" stopIfTrue="1">
      <formula>MOD(ROW(),2)&lt;&gt;0</formula>
    </cfRule>
  </conditionalFormatting>
  <conditionalFormatting sqref="B18:B23">
    <cfRule type="expression" dxfId="1261" priority="13" stopIfTrue="1">
      <formula>MOD(ROW(),2)=0</formula>
    </cfRule>
    <cfRule type="expression" dxfId="1260" priority="14" stopIfTrue="1">
      <formula>MOD(ROW(),2)&lt;&gt;0</formula>
    </cfRule>
  </conditionalFormatting>
  <pageMargins left="0.75" right="0.75" top="1" bottom="1" header="0.5" footer="0.5"/>
  <pageSetup paperSize="9" scale="80"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A008-BAAA-4856-A843-844799C4F726}">
  <sheetPr codeName="Sheet5"/>
  <dimension ref="A1:I78"/>
  <sheetViews>
    <sheetView showGridLines="0" zoomScale="85" zoomScaleNormal="85" workbookViewId="0"/>
  </sheetViews>
  <sheetFormatPr defaultColWidth="8.6328125" defaultRowHeight="12.5" x14ac:dyDescent="0.25"/>
  <cols>
    <col min="1" max="1" width="33.54296875" style="26" customWidth="1"/>
    <col min="2" max="2" width="25.54296875" style="26" customWidth="1"/>
    <col min="3" max="16384" width="8.6328125" style="26"/>
  </cols>
  <sheetData>
    <row r="1" spans="1:9" ht="20" x14ac:dyDescent="0.4">
      <c r="A1" s="37" t="s">
        <v>0</v>
      </c>
      <c r="B1" s="38"/>
      <c r="C1" s="38"/>
      <c r="D1" s="38"/>
      <c r="E1" s="38"/>
      <c r="F1" s="38"/>
      <c r="G1" s="38"/>
      <c r="H1" s="38"/>
      <c r="I1" s="38"/>
    </row>
    <row r="2" spans="1:9" ht="15.5" x14ac:dyDescent="0.35">
      <c r="A2" s="88"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Club - CARE Benefit Adjustment Factors  - x-102</v>
      </c>
      <c r="B3" s="40"/>
      <c r="C3" s="40"/>
      <c r="D3" s="40"/>
      <c r="E3" s="40"/>
      <c r="F3" s="40"/>
      <c r="G3" s="40"/>
      <c r="H3" s="40"/>
      <c r="I3" s="40"/>
    </row>
    <row r="4" spans="1:9" x14ac:dyDescent="0.25">
      <c r="A4" s="42"/>
    </row>
    <row r="6" spans="1:9" ht="13" x14ac:dyDescent="0.3">
      <c r="A6" s="75" t="s">
        <v>274</v>
      </c>
      <c r="B6" s="114" t="s">
        <v>275</v>
      </c>
      <c r="C6" s="76"/>
      <c r="D6" s="76"/>
      <c r="E6" s="76"/>
      <c r="F6" s="76"/>
    </row>
    <row r="7" spans="1:9" ht="14.15" customHeight="1" x14ac:dyDescent="0.25">
      <c r="A7" s="77" t="s">
        <v>276</v>
      </c>
      <c r="B7" s="114" t="s">
        <v>72</v>
      </c>
      <c r="C7" s="78"/>
      <c r="D7" s="78"/>
      <c r="E7" s="78"/>
      <c r="F7" s="78"/>
    </row>
    <row r="8" spans="1:9" ht="14.15" customHeight="1" x14ac:dyDescent="0.25">
      <c r="A8" s="77" t="s">
        <v>278</v>
      </c>
      <c r="B8" s="114" t="s">
        <v>73</v>
      </c>
      <c r="C8" s="78"/>
      <c r="D8" s="78"/>
      <c r="E8" s="78"/>
      <c r="F8" s="78"/>
    </row>
    <row r="9" spans="1:9" ht="14.15" customHeight="1" x14ac:dyDescent="0.25">
      <c r="A9" s="77" t="s">
        <v>280</v>
      </c>
      <c r="B9" s="114" t="s">
        <v>308</v>
      </c>
      <c r="C9" s="78"/>
      <c r="D9" s="78"/>
      <c r="E9" s="78"/>
      <c r="F9" s="78"/>
    </row>
    <row r="10" spans="1:9" ht="14.15" customHeight="1" x14ac:dyDescent="0.25">
      <c r="A10" s="77" t="s">
        <v>6</v>
      </c>
      <c r="B10" s="114" t="s">
        <v>316</v>
      </c>
      <c r="C10" s="78"/>
      <c r="D10" s="78"/>
      <c r="E10" s="78"/>
      <c r="F10" s="78"/>
    </row>
    <row r="11" spans="1:9" ht="14.15" customHeight="1" x14ac:dyDescent="0.25">
      <c r="A11" s="77" t="s">
        <v>283</v>
      </c>
      <c r="B11" s="114" t="s">
        <v>310</v>
      </c>
      <c r="C11" s="78"/>
      <c r="D11" s="78"/>
      <c r="E11" s="78"/>
      <c r="F11" s="78"/>
    </row>
    <row r="12" spans="1:9" ht="14.15" customHeight="1" x14ac:dyDescent="0.25">
      <c r="A12" s="77" t="s">
        <v>285</v>
      </c>
      <c r="B12" s="114" t="s">
        <v>311</v>
      </c>
      <c r="C12" s="78"/>
      <c r="D12" s="78"/>
      <c r="E12" s="78"/>
      <c r="F12" s="78"/>
    </row>
    <row r="13" spans="1:9" ht="14.15" customHeight="1" x14ac:dyDescent="0.25">
      <c r="A13" s="77" t="s">
        <v>287</v>
      </c>
      <c r="B13" s="114">
        <v>0</v>
      </c>
      <c r="C13" s="78"/>
      <c r="D13" s="78"/>
      <c r="E13" s="78"/>
      <c r="F13" s="78"/>
    </row>
    <row r="14" spans="1:9" ht="14.15" customHeight="1" x14ac:dyDescent="0.25">
      <c r="A14" s="77" t="s">
        <v>289</v>
      </c>
      <c r="B14" s="114">
        <v>102</v>
      </c>
      <c r="C14" s="78"/>
      <c r="D14" s="78"/>
      <c r="E14" s="78"/>
      <c r="F14" s="78"/>
    </row>
    <row r="15" spans="1:9" ht="14.15" customHeight="1" x14ac:dyDescent="0.25">
      <c r="A15" s="77" t="s">
        <v>291</v>
      </c>
      <c r="B15" s="114" t="s">
        <v>317</v>
      </c>
      <c r="C15" s="78"/>
      <c r="D15" s="78"/>
      <c r="E15" s="78"/>
      <c r="F15" s="78"/>
    </row>
    <row r="16" spans="1:9" ht="14.15" customHeight="1" x14ac:dyDescent="0.25">
      <c r="A16" s="77" t="s">
        <v>293</v>
      </c>
      <c r="B16" s="114" t="s">
        <v>318</v>
      </c>
      <c r="C16" s="78"/>
      <c r="D16" s="78"/>
      <c r="E16" s="78"/>
      <c r="F16" s="78"/>
    </row>
    <row r="17" spans="1:6" ht="25.4" customHeight="1" x14ac:dyDescent="0.25">
      <c r="A17" s="74" t="s">
        <v>760</v>
      </c>
      <c r="B17" s="114"/>
      <c r="C17" s="78"/>
      <c r="D17" s="78"/>
      <c r="E17" s="78"/>
      <c r="F17" s="78"/>
    </row>
    <row r="18" spans="1:6" ht="14.15" customHeight="1" x14ac:dyDescent="0.25">
      <c r="A18" s="77" t="s">
        <v>297</v>
      </c>
      <c r="B18" s="162">
        <v>45202</v>
      </c>
      <c r="C18" s="85"/>
      <c r="D18" s="85"/>
      <c r="E18" s="85"/>
      <c r="F18" s="85"/>
    </row>
    <row r="19" spans="1:6" ht="14.15" customHeight="1" x14ac:dyDescent="0.25">
      <c r="A19" s="77" t="s">
        <v>299</v>
      </c>
      <c r="B19" s="162">
        <v>45200</v>
      </c>
      <c r="C19" s="85"/>
      <c r="D19" s="85"/>
      <c r="E19" s="85"/>
      <c r="F19" s="85"/>
    </row>
    <row r="20" spans="1:6" ht="14.15" customHeight="1" x14ac:dyDescent="0.25">
      <c r="A20" s="77" t="s">
        <v>301</v>
      </c>
      <c r="B20" s="114" t="s">
        <v>314</v>
      </c>
      <c r="C20" s="78"/>
      <c r="D20" s="78"/>
      <c r="E20" s="78"/>
      <c r="F20" s="78"/>
    </row>
    <row r="21" spans="1:6" x14ac:dyDescent="0.25">
      <c r="A21" s="77" t="s">
        <v>307</v>
      </c>
      <c r="B21" s="114" t="s">
        <v>315</v>
      </c>
      <c r="C21" s="78"/>
      <c r="D21" s="78"/>
      <c r="E21" s="78"/>
      <c r="F21" s="78"/>
    </row>
    <row r="23" spans="1:6" x14ac:dyDescent="0.25">
      <c r="B23" s="100" t="str">
        <f>HYPERLINK("#'Factor List'!A1","Back to Factor List")</f>
        <v>Back to Factor List</v>
      </c>
    </row>
    <row r="24" spans="1:6" x14ac:dyDescent="0.25">
      <c r="B24" s="100" t="s">
        <v>13</v>
      </c>
    </row>
    <row r="26" spans="1:6" ht="13" x14ac:dyDescent="0.25">
      <c r="A26" s="79" t="s">
        <v>371</v>
      </c>
      <c r="B26" s="79" t="s">
        <v>761</v>
      </c>
    </row>
    <row r="27" spans="1:6" x14ac:dyDescent="0.25">
      <c r="A27" s="80">
        <v>16</v>
      </c>
      <c r="B27" s="81">
        <v>0.995</v>
      </c>
    </row>
    <row r="28" spans="1:6" x14ac:dyDescent="0.25">
      <c r="A28" s="80">
        <f>A27+1</f>
        <v>17</v>
      </c>
      <c r="B28" s="81">
        <v>0.995</v>
      </c>
    </row>
    <row r="29" spans="1:6" x14ac:dyDescent="0.25">
      <c r="A29" s="80">
        <f t="shared" ref="A29:A78" si="0">A28+1</f>
        <v>18</v>
      </c>
      <c r="B29" s="81">
        <v>0.995</v>
      </c>
    </row>
    <row r="30" spans="1:6" x14ac:dyDescent="0.25">
      <c r="A30" s="80">
        <f t="shared" si="0"/>
        <v>19</v>
      </c>
      <c r="B30" s="81">
        <v>0.995</v>
      </c>
    </row>
    <row r="31" spans="1:6" x14ac:dyDescent="0.25">
      <c r="A31" s="80">
        <f t="shared" si="0"/>
        <v>20</v>
      </c>
      <c r="B31" s="81">
        <v>0.995</v>
      </c>
    </row>
    <row r="32" spans="1:6" x14ac:dyDescent="0.25">
      <c r="A32" s="80">
        <f t="shared" si="0"/>
        <v>21</v>
      </c>
      <c r="B32" s="81">
        <v>0.995</v>
      </c>
    </row>
    <row r="33" spans="1:2" x14ac:dyDescent="0.25">
      <c r="A33" s="80">
        <f t="shared" si="0"/>
        <v>22</v>
      </c>
      <c r="B33" s="81">
        <v>0.995</v>
      </c>
    </row>
    <row r="34" spans="1:2" x14ac:dyDescent="0.25">
      <c r="A34" s="80">
        <f t="shared" si="0"/>
        <v>23</v>
      </c>
      <c r="B34" s="81">
        <v>0.995</v>
      </c>
    </row>
    <row r="35" spans="1:2" x14ac:dyDescent="0.25">
      <c r="A35" s="80">
        <f t="shared" si="0"/>
        <v>24</v>
      </c>
      <c r="B35" s="81">
        <v>0.995</v>
      </c>
    </row>
    <row r="36" spans="1:2" x14ac:dyDescent="0.25">
      <c r="A36" s="80">
        <f>A35+1</f>
        <v>25</v>
      </c>
      <c r="B36" s="81">
        <v>0.995</v>
      </c>
    </row>
    <row r="37" spans="1:2" x14ac:dyDescent="0.25">
      <c r="A37" s="80">
        <f t="shared" si="0"/>
        <v>26</v>
      </c>
      <c r="B37" s="81">
        <v>0.995</v>
      </c>
    </row>
    <row r="38" spans="1:2" x14ac:dyDescent="0.25">
      <c r="A38" s="80">
        <f t="shared" si="0"/>
        <v>27</v>
      </c>
      <c r="B38" s="81">
        <v>0.995</v>
      </c>
    </row>
    <row r="39" spans="1:2" x14ac:dyDescent="0.25">
      <c r="A39" s="80">
        <f t="shared" si="0"/>
        <v>28</v>
      </c>
      <c r="B39" s="81">
        <v>0.995</v>
      </c>
    </row>
    <row r="40" spans="1:2" x14ac:dyDescent="0.25">
      <c r="A40" s="80">
        <f>A39+1</f>
        <v>29</v>
      </c>
      <c r="B40" s="81">
        <v>0.995</v>
      </c>
    </row>
    <row r="41" spans="1:2" x14ac:dyDescent="0.25">
      <c r="A41" s="80">
        <f t="shared" si="0"/>
        <v>30</v>
      </c>
      <c r="B41" s="81">
        <v>0.995</v>
      </c>
    </row>
    <row r="42" spans="1:2" x14ac:dyDescent="0.25">
      <c r="A42" s="80">
        <f t="shared" si="0"/>
        <v>31</v>
      </c>
      <c r="B42" s="81">
        <v>0.995</v>
      </c>
    </row>
    <row r="43" spans="1:2" x14ac:dyDescent="0.25">
      <c r="A43" s="80">
        <f t="shared" si="0"/>
        <v>32</v>
      </c>
      <c r="B43" s="81">
        <v>0.995</v>
      </c>
    </row>
    <row r="44" spans="1:2" x14ac:dyDescent="0.25">
      <c r="A44" s="80">
        <f t="shared" si="0"/>
        <v>33</v>
      </c>
      <c r="B44" s="81">
        <v>0.995</v>
      </c>
    </row>
    <row r="45" spans="1:2" x14ac:dyDescent="0.25">
      <c r="A45" s="80">
        <f t="shared" si="0"/>
        <v>34</v>
      </c>
      <c r="B45" s="81">
        <v>0.995</v>
      </c>
    </row>
    <row r="46" spans="1:2" x14ac:dyDescent="0.25">
      <c r="A46" s="80">
        <f t="shared" si="0"/>
        <v>35</v>
      </c>
      <c r="B46" s="81">
        <v>0.995</v>
      </c>
    </row>
    <row r="47" spans="1:2" x14ac:dyDescent="0.25">
      <c r="A47" s="80">
        <f t="shared" si="0"/>
        <v>36</v>
      </c>
      <c r="B47" s="81">
        <v>0.995</v>
      </c>
    </row>
    <row r="48" spans="1:2" x14ac:dyDescent="0.25">
      <c r="A48" s="80">
        <f t="shared" si="0"/>
        <v>37</v>
      </c>
      <c r="B48" s="81">
        <v>0.995</v>
      </c>
    </row>
    <row r="49" spans="1:2" x14ac:dyDescent="0.25">
      <c r="A49" s="80">
        <f t="shared" si="0"/>
        <v>38</v>
      </c>
      <c r="B49" s="81">
        <v>0.995</v>
      </c>
    </row>
    <row r="50" spans="1:2" x14ac:dyDescent="0.25">
      <c r="A50" s="80">
        <f t="shared" si="0"/>
        <v>39</v>
      </c>
      <c r="B50" s="81">
        <v>0.995</v>
      </c>
    </row>
    <row r="51" spans="1:2" x14ac:dyDescent="0.25">
      <c r="A51" s="80">
        <f t="shared" si="0"/>
        <v>40</v>
      </c>
      <c r="B51" s="81">
        <v>0.995</v>
      </c>
    </row>
    <row r="52" spans="1:2" x14ac:dyDescent="0.25">
      <c r="A52" s="80">
        <f t="shared" si="0"/>
        <v>41</v>
      </c>
      <c r="B52" s="81">
        <v>0.995</v>
      </c>
    </row>
    <row r="53" spans="1:2" x14ac:dyDescent="0.25">
      <c r="A53" s="80">
        <f t="shared" si="0"/>
        <v>42</v>
      </c>
      <c r="B53" s="81">
        <v>0.995</v>
      </c>
    </row>
    <row r="54" spans="1:2" x14ac:dyDescent="0.25">
      <c r="A54" s="80">
        <f t="shared" si="0"/>
        <v>43</v>
      </c>
      <c r="B54" s="81">
        <v>0.995</v>
      </c>
    </row>
    <row r="55" spans="1:2" x14ac:dyDescent="0.25">
      <c r="A55" s="80">
        <f t="shared" si="0"/>
        <v>44</v>
      </c>
      <c r="B55" s="81">
        <v>0.995</v>
      </c>
    </row>
    <row r="56" spans="1:2" x14ac:dyDescent="0.25">
      <c r="A56" s="80">
        <f t="shared" si="0"/>
        <v>45</v>
      </c>
      <c r="B56" s="81">
        <v>0.995</v>
      </c>
    </row>
    <row r="57" spans="1:2" x14ac:dyDescent="0.25">
      <c r="A57" s="80">
        <f t="shared" si="0"/>
        <v>46</v>
      </c>
      <c r="B57" s="81">
        <v>0.995</v>
      </c>
    </row>
    <row r="58" spans="1:2" x14ac:dyDescent="0.25">
      <c r="A58" s="80">
        <f t="shared" si="0"/>
        <v>47</v>
      </c>
      <c r="B58" s="81">
        <v>0.995</v>
      </c>
    </row>
    <row r="59" spans="1:2" x14ac:dyDescent="0.25">
      <c r="A59" s="80">
        <f t="shared" si="0"/>
        <v>48</v>
      </c>
      <c r="B59" s="81">
        <v>0.995</v>
      </c>
    </row>
    <row r="60" spans="1:2" x14ac:dyDescent="0.25">
      <c r="A60" s="80">
        <f t="shared" si="0"/>
        <v>49</v>
      </c>
      <c r="B60" s="81">
        <v>0.995</v>
      </c>
    </row>
    <row r="61" spans="1:2" x14ac:dyDescent="0.25">
      <c r="A61" s="80">
        <f t="shared" si="0"/>
        <v>50</v>
      </c>
      <c r="B61" s="81">
        <v>0.995</v>
      </c>
    </row>
    <row r="62" spans="1:2" x14ac:dyDescent="0.25">
      <c r="A62" s="80">
        <f t="shared" si="0"/>
        <v>51</v>
      </c>
      <c r="B62" s="81">
        <v>0.995</v>
      </c>
    </row>
    <row r="63" spans="1:2" x14ac:dyDescent="0.25">
      <c r="A63" s="80">
        <f t="shared" si="0"/>
        <v>52</v>
      </c>
      <c r="B63" s="81">
        <v>0.995</v>
      </c>
    </row>
    <row r="64" spans="1:2" x14ac:dyDescent="0.25">
      <c r="A64" s="80">
        <f t="shared" si="0"/>
        <v>53</v>
      </c>
      <c r="B64" s="81">
        <v>0.995</v>
      </c>
    </row>
    <row r="65" spans="1:2" x14ac:dyDescent="0.25">
      <c r="A65" s="80">
        <f t="shared" si="0"/>
        <v>54</v>
      </c>
      <c r="B65" s="81">
        <v>0.995</v>
      </c>
    </row>
    <row r="66" spans="1:2" x14ac:dyDescent="0.25">
      <c r="A66" s="80">
        <f t="shared" si="0"/>
        <v>55</v>
      </c>
      <c r="B66" s="81">
        <v>0.996</v>
      </c>
    </row>
    <row r="67" spans="1:2" x14ac:dyDescent="0.25">
      <c r="A67" s="80">
        <f t="shared" si="0"/>
        <v>56</v>
      </c>
      <c r="B67" s="81">
        <v>0.996</v>
      </c>
    </row>
    <row r="68" spans="1:2" x14ac:dyDescent="0.25">
      <c r="A68" s="80">
        <f t="shared" si="0"/>
        <v>57</v>
      </c>
      <c r="B68" s="81">
        <v>0.996</v>
      </c>
    </row>
    <row r="69" spans="1:2" x14ac:dyDescent="0.25">
      <c r="A69" s="80">
        <f t="shared" si="0"/>
        <v>58</v>
      </c>
      <c r="B69" s="81">
        <v>0.996</v>
      </c>
    </row>
    <row r="70" spans="1:2" x14ac:dyDescent="0.25">
      <c r="A70" s="80">
        <f t="shared" si="0"/>
        <v>59</v>
      </c>
      <c r="B70" s="81">
        <v>0.996</v>
      </c>
    </row>
    <row r="71" spans="1:2" x14ac:dyDescent="0.25">
      <c r="A71" s="80">
        <f t="shared" si="0"/>
        <v>60</v>
      </c>
      <c r="B71" s="81">
        <v>0.996</v>
      </c>
    </row>
    <row r="72" spans="1:2" x14ac:dyDescent="0.25">
      <c r="A72" s="80">
        <f t="shared" si="0"/>
        <v>61</v>
      </c>
      <c r="B72" s="81">
        <v>0.996</v>
      </c>
    </row>
    <row r="73" spans="1:2" x14ac:dyDescent="0.25">
      <c r="A73" s="80">
        <f t="shared" si="0"/>
        <v>62</v>
      </c>
      <c r="B73" s="81">
        <v>0.996</v>
      </c>
    </row>
    <row r="74" spans="1:2" x14ac:dyDescent="0.25">
      <c r="A74" s="80">
        <f t="shared" si="0"/>
        <v>63</v>
      </c>
      <c r="B74" s="81">
        <v>0.996</v>
      </c>
    </row>
    <row r="75" spans="1:2" x14ac:dyDescent="0.25">
      <c r="A75" s="80">
        <f t="shared" si="0"/>
        <v>64</v>
      </c>
      <c r="B75" s="81">
        <v>0.996</v>
      </c>
    </row>
    <row r="76" spans="1:2" x14ac:dyDescent="0.25">
      <c r="A76" s="80">
        <f t="shared" si="0"/>
        <v>65</v>
      </c>
      <c r="B76" s="81">
        <v>0.996</v>
      </c>
    </row>
    <row r="77" spans="1:2" x14ac:dyDescent="0.25">
      <c r="A77" s="80">
        <f t="shared" si="0"/>
        <v>66</v>
      </c>
      <c r="B77" s="81">
        <v>0.996</v>
      </c>
    </row>
    <row r="78" spans="1:2" x14ac:dyDescent="0.25">
      <c r="A78" s="80">
        <f t="shared" si="0"/>
        <v>67</v>
      </c>
      <c r="B78" s="81">
        <v>0.996</v>
      </c>
    </row>
  </sheetData>
  <sheetProtection algorithmName="SHA-512" hashValue="e2ftfUUzZDToDhLjLlgVM2y97B9AOopuQS8eHIO4Qxet2nzRE+nCtLeFt9WmvHhjoWDEqOu4cM1wjgeuK6GIjQ==" saltValue="8Hd8e/qTSJ9UYhjCO9R4wg==" spinCount="100000" sheet="1" objects="1" scenarios="1"/>
  <conditionalFormatting sqref="A6:A21">
    <cfRule type="expression" dxfId="1211" priority="19" stopIfTrue="1">
      <formula>MOD(ROW(),2)=0</formula>
    </cfRule>
    <cfRule type="expression" dxfId="1210" priority="20" stopIfTrue="1">
      <formula>MOD(ROW(),2)&lt;&gt;0</formula>
    </cfRule>
  </conditionalFormatting>
  <conditionalFormatting sqref="A26:A78">
    <cfRule type="expression" dxfId="1209" priority="26" stopIfTrue="1">
      <formula>MOD(ROW(),2)&lt;&gt;0</formula>
    </cfRule>
    <cfRule type="expression" dxfId="1208" priority="25" stopIfTrue="1">
      <formula>MOD(ROW(),2)=0</formula>
    </cfRule>
  </conditionalFormatting>
  <conditionalFormatting sqref="B6:B21">
    <cfRule type="expression" dxfId="1207" priority="22" stopIfTrue="1">
      <formula>MOD(ROW(),2)&lt;&gt;0</formula>
    </cfRule>
    <cfRule type="expression" dxfId="1206" priority="21" stopIfTrue="1">
      <formula>MOD(ROW(),2)=0</formula>
    </cfRule>
  </conditionalFormatting>
  <conditionalFormatting sqref="B26:B78">
    <cfRule type="expression" dxfId="1205" priority="28" stopIfTrue="1">
      <formula>MOD(ROW(),2)&lt;&gt;0</formula>
    </cfRule>
    <cfRule type="expression" dxfId="1204" priority="27" stopIfTrue="1">
      <formula>MOD(ROW(),2)=0</formula>
    </cfRule>
  </conditionalFormatting>
  <conditionalFormatting sqref="B6:F6 C7:F8">
    <cfRule type="expression" dxfId="1203" priority="43" stopIfTrue="1">
      <formula>MOD(ROW(),2)=0</formula>
    </cfRule>
    <cfRule type="expression" dxfId="1202" priority="44" stopIfTrue="1">
      <formula>MOD(ROW(),2)&lt;&gt;0</formula>
    </cfRule>
  </conditionalFormatting>
  <conditionalFormatting sqref="B9:F16">
    <cfRule type="expression" dxfId="1201" priority="39" stopIfTrue="1">
      <formula>MOD(ROW(),2)=0</formula>
    </cfRule>
    <cfRule type="expression" dxfId="1200" priority="40" stopIfTrue="1">
      <formula>MOD(ROW(),2)&lt;&gt;0</formula>
    </cfRule>
  </conditionalFormatting>
  <conditionalFormatting sqref="B17:F21">
    <cfRule type="expression" dxfId="1199" priority="2" stopIfTrue="1">
      <formula>MOD(ROW(),2)&lt;&gt;0</formula>
    </cfRule>
    <cfRule type="expression" dxfId="1198" priority="1" stopIfTrue="1">
      <formula>MOD(ROW(),2)=0</formula>
    </cfRule>
  </conditionalFormatting>
  <hyperlinks>
    <hyperlink ref="B24" location="Assumptions!A1" display="Assumptions" xr:uid="{020F9362-9E8A-421A-90F0-681999E8802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79"/>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x-807</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628</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2</v>
      </c>
      <c r="C13" s="161"/>
      <c r="D13" s="161"/>
      <c r="E13" s="161"/>
      <c r="F13" s="161"/>
      <c r="G13" s="161"/>
      <c r="H13" s="161"/>
      <c r="I13" s="161"/>
      <c r="J13" s="161"/>
      <c r="K13" s="161"/>
      <c r="L13" s="161"/>
      <c r="M13" s="161"/>
    </row>
    <row r="14" spans="1:13" x14ac:dyDescent="0.25">
      <c r="A14" s="77" t="s">
        <v>289</v>
      </c>
      <c r="B14" s="161">
        <v>807</v>
      </c>
      <c r="C14" s="161"/>
      <c r="D14" s="161"/>
      <c r="E14" s="161"/>
      <c r="F14" s="161"/>
      <c r="G14" s="161"/>
      <c r="H14" s="161"/>
      <c r="I14" s="161"/>
      <c r="J14" s="161"/>
      <c r="K14" s="161"/>
      <c r="L14" s="161"/>
      <c r="M14" s="161"/>
    </row>
    <row r="15" spans="1:13" x14ac:dyDescent="0.25">
      <c r="A15" s="77" t="s">
        <v>291</v>
      </c>
      <c r="B15" s="161" t="s">
        <v>629</v>
      </c>
      <c r="C15" s="161"/>
      <c r="D15" s="161"/>
      <c r="E15" s="161"/>
      <c r="F15" s="161"/>
      <c r="G15" s="161"/>
      <c r="H15" s="161"/>
      <c r="I15" s="161"/>
      <c r="J15" s="161"/>
      <c r="K15" s="161"/>
      <c r="L15" s="161"/>
      <c r="M15" s="161"/>
    </row>
    <row r="16" spans="1:13" x14ac:dyDescent="0.25">
      <c r="A16" s="77" t="s">
        <v>293</v>
      </c>
      <c r="B16" s="161" t="s">
        <v>630</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55</v>
      </c>
      <c r="B27" s="103">
        <v>9.0830000000000002</v>
      </c>
      <c r="C27" s="103">
        <v>9.0120000000000005</v>
      </c>
      <c r="D27" s="103">
        <v>8.9420000000000002</v>
      </c>
      <c r="E27" s="103">
        <v>8.8710000000000004</v>
      </c>
      <c r="F27" s="103">
        <v>8.8010000000000002</v>
      </c>
      <c r="G27" s="103">
        <v>8.73</v>
      </c>
      <c r="H27" s="103">
        <v>8.66</v>
      </c>
      <c r="I27" s="103">
        <v>8.5890000000000004</v>
      </c>
      <c r="J27" s="103">
        <v>8.5190000000000001</v>
      </c>
      <c r="K27" s="103">
        <v>8.4480000000000004</v>
      </c>
      <c r="L27" s="103">
        <v>8.3780000000000001</v>
      </c>
      <c r="M27" s="103">
        <v>8.3070000000000004</v>
      </c>
    </row>
    <row r="28" spans="1:13" x14ac:dyDescent="0.25">
      <c r="A28" s="98">
        <v>56</v>
      </c>
      <c r="B28" s="103">
        <v>8.2360000000000007</v>
      </c>
      <c r="C28" s="103">
        <v>8.1649999999999991</v>
      </c>
      <c r="D28" s="103">
        <v>8.093</v>
      </c>
      <c r="E28" s="103">
        <v>8.0210000000000008</v>
      </c>
      <c r="F28" s="103">
        <v>7.95</v>
      </c>
      <c r="G28" s="103">
        <v>7.8780000000000001</v>
      </c>
      <c r="H28" s="103">
        <v>7.8070000000000004</v>
      </c>
      <c r="I28" s="103">
        <v>7.7350000000000003</v>
      </c>
      <c r="J28" s="103">
        <v>7.6630000000000003</v>
      </c>
      <c r="K28" s="103">
        <v>7.5919999999999996</v>
      </c>
      <c r="L28" s="103">
        <v>7.52</v>
      </c>
      <c r="M28" s="103">
        <v>7.4489999999999998</v>
      </c>
    </row>
    <row r="29" spans="1:13" x14ac:dyDescent="0.25">
      <c r="A29" s="98">
        <v>57</v>
      </c>
      <c r="B29" s="103">
        <v>7.3760000000000003</v>
      </c>
      <c r="C29" s="103">
        <v>7.3040000000000003</v>
      </c>
      <c r="D29" s="103">
        <v>7.2309999999999999</v>
      </c>
      <c r="E29" s="103">
        <v>7.1580000000000004</v>
      </c>
      <c r="F29" s="103">
        <v>7.0860000000000003</v>
      </c>
      <c r="G29" s="103">
        <v>7.0129999999999999</v>
      </c>
      <c r="H29" s="103">
        <v>6.94</v>
      </c>
      <c r="I29" s="103">
        <v>6.867</v>
      </c>
      <c r="J29" s="103">
        <v>6.7949999999999999</v>
      </c>
      <c r="K29" s="103">
        <v>6.7220000000000004</v>
      </c>
      <c r="L29" s="103">
        <v>6.649</v>
      </c>
      <c r="M29" s="103">
        <v>6.577</v>
      </c>
    </row>
    <row r="30" spans="1:13" x14ac:dyDescent="0.25">
      <c r="A30" s="98">
        <v>58</v>
      </c>
      <c r="B30" s="103">
        <v>6.5030000000000001</v>
      </c>
      <c r="C30" s="103">
        <v>6.4290000000000003</v>
      </c>
      <c r="D30" s="103">
        <v>6.3559999999999999</v>
      </c>
      <c r="E30" s="103">
        <v>6.282</v>
      </c>
      <c r="F30" s="103">
        <v>6.2080000000000002</v>
      </c>
      <c r="G30" s="103">
        <v>6.1340000000000003</v>
      </c>
      <c r="H30" s="103">
        <v>6.06</v>
      </c>
      <c r="I30" s="103">
        <v>5.9859999999999998</v>
      </c>
      <c r="J30" s="103">
        <v>5.9130000000000003</v>
      </c>
      <c r="K30" s="103">
        <v>5.8390000000000004</v>
      </c>
      <c r="L30" s="103">
        <v>5.7649999999999997</v>
      </c>
      <c r="M30" s="103">
        <v>5.6909999999999998</v>
      </c>
    </row>
    <row r="31" spans="1:13" x14ac:dyDescent="0.25">
      <c r="A31" s="98">
        <v>59</v>
      </c>
      <c r="B31" s="103">
        <v>5.617</v>
      </c>
      <c r="C31" s="103">
        <v>5.5419999999999998</v>
      </c>
      <c r="D31" s="103">
        <v>5.4669999999999996</v>
      </c>
      <c r="E31" s="103">
        <v>5.3920000000000003</v>
      </c>
      <c r="F31" s="103">
        <v>5.3170000000000002</v>
      </c>
      <c r="G31" s="103">
        <v>5.242</v>
      </c>
      <c r="H31" s="103">
        <v>5.1669999999999998</v>
      </c>
      <c r="I31" s="103">
        <v>5.0919999999999996</v>
      </c>
      <c r="J31" s="103">
        <v>5.0170000000000003</v>
      </c>
      <c r="K31" s="103">
        <v>4.9420000000000002</v>
      </c>
      <c r="L31" s="103">
        <v>4.867</v>
      </c>
      <c r="M31" s="103">
        <v>4.7919999999999998</v>
      </c>
    </row>
    <row r="32" spans="1:13" x14ac:dyDescent="0.25">
      <c r="A32" s="98">
        <v>60</v>
      </c>
      <c r="B32" s="103">
        <v>4.7169999999999996</v>
      </c>
      <c r="C32" s="103">
        <v>4.6399999999999997</v>
      </c>
      <c r="D32" s="103">
        <v>4.5640000000000001</v>
      </c>
      <c r="E32" s="103">
        <v>4.4880000000000004</v>
      </c>
      <c r="F32" s="103">
        <v>4.4119999999999999</v>
      </c>
      <c r="G32" s="103">
        <v>4.335</v>
      </c>
      <c r="H32" s="103">
        <v>4.2590000000000003</v>
      </c>
      <c r="I32" s="103">
        <v>4.1829999999999998</v>
      </c>
      <c r="J32" s="103">
        <v>4.1070000000000002</v>
      </c>
      <c r="K32" s="103">
        <v>4.0309999999999997</v>
      </c>
      <c r="L32" s="103">
        <v>3.9540000000000002</v>
      </c>
      <c r="M32" s="103">
        <v>3.8780000000000001</v>
      </c>
    </row>
    <row r="33" spans="1:13" x14ac:dyDescent="0.25">
      <c r="A33" s="98">
        <v>61</v>
      </c>
      <c r="B33" s="103">
        <v>3.8010000000000002</v>
      </c>
      <c r="C33" s="103">
        <v>3.7240000000000002</v>
      </c>
      <c r="D33" s="103">
        <v>3.6459999999999999</v>
      </c>
      <c r="E33" s="103">
        <v>3.5680000000000001</v>
      </c>
      <c r="F33" s="103">
        <v>3.4910000000000001</v>
      </c>
      <c r="G33" s="103">
        <v>3.4129999999999998</v>
      </c>
      <c r="H33" s="103">
        <v>3.335</v>
      </c>
      <c r="I33" s="103">
        <v>3.258</v>
      </c>
      <c r="J33" s="103">
        <v>3.18</v>
      </c>
      <c r="K33" s="103">
        <v>3.1019999999999999</v>
      </c>
      <c r="L33" s="103">
        <v>3.0249999999999999</v>
      </c>
      <c r="M33" s="103">
        <v>2.9470000000000001</v>
      </c>
    </row>
    <row r="34" spans="1:13" x14ac:dyDescent="0.25">
      <c r="A34" s="98">
        <v>62</v>
      </c>
      <c r="B34" s="103">
        <v>2.8690000000000002</v>
      </c>
      <c r="C34" s="103">
        <v>2.7890000000000001</v>
      </c>
      <c r="D34" s="103">
        <v>2.71</v>
      </c>
      <c r="E34" s="103">
        <v>2.6309999999999998</v>
      </c>
      <c r="F34" s="103">
        <v>2.552</v>
      </c>
      <c r="G34" s="103">
        <v>2.4729999999999999</v>
      </c>
      <c r="H34" s="103">
        <v>2.3940000000000001</v>
      </c>
      <c r="I34" s="103">
        <v>2.3149999999999999</v>
      </c>
      <c r="J34" s="103">
        <v>2.2349999999999999</v>
      </c>
      <c r="K34" s="103">
        <v>2.1560000000000001</v>
      </c>
      <c r="L34" s="103">
        <v>2.077</v>
      </c>
      <c r="M34" s="103">
        <v>1.998</v>
      </c>
    </row>
    <row r="35" spans="1:13" x14ac:dyDescent="0.25">
      <c r="A35" s="98">
        <v>63</v>
      </c>
      <c r="B35" s="103">
        <v>1.9179999999999999</v>
      </c>
      <c r="C35" s="103">
        <v>1.837</v>
      </c>
      <c r="D35" s="103">
        <v>1.756</v>
      </c>
      <c r="E35" s="103">
        <v>1.6759999999999999</v>
      </c>
      <c r="F35" s="103">
        <v>1.595</v>
      </c>
      <c r="G35" s="103">
        <v>1.514</v>
      </c>
      <c r="H35" s="103">
        <v>1.4330000000000001</v>
      </c>
      <c r="I35" s="103">
        <v>1.353</v>
      </c>
      <c r="J35" s="103">
        <v>1.272</v>
      </c>
      <c r="K35" s="103">
        <v>1.1910000000000001</v>
      </c>
      <c r="L35" s="103">
        <v>1.1100000000000001</v>
      </c>
      <c r="M35" s="103">
        <v>1.03</v>
      </c>
    </row>
    <row r="36" spans="1:13" x14ac:dyDescent="0.25">
      <c r="A36" s="98">
        <v>64</v>
      </c>
      <c r="B36" s="103">
        <v>0.94799999999999995</v>
      </c>
      <c r="C36" s="103">
        <v>0.86599999999999999</v>
      </c>
      <c r="D36" s="103">
        <v>0.78300000000000003</v>
      </c>
      <c r="E36" s="103">
        <v>0.70099999999999996</v>
      </c>
      <c r="F36" s="103">
        <v>0.61799999999999999</v>
      </c>
      <c r="G36" s="103">
        <v>0.53600000000000003</v>
      </c>
      <c r="H36" s="103">
        <v>0.45300000000000001</v>
      </c>
      <c r="I36" s="103">
        <v>0.371</v>
      </c>
      <c r="J36" s="103">
        <v>0.28899999999999998</v>
      </c>
      <c r="K36" s="103">
        <v>0.20599999999999999</v>
      </c>
      <c r="L36" s="103">
        <v>0.124</v>
      </c>
      <c r="M36" s="103">
        <v>4.1000000000000002E-2</v>
      </c>
    </row>
    <row r="37" spans="1:13" x14ac:dyDescent="0.25">
      <c r="A37" s="98">
        <v>65</v>
      </c>
      <c r="B37" s="103">
        <v>0</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MTHcaRmtwOFSPEBae9O6nh9vpqqj2oWF7XouuW4QrHMAty/Izb+8xYLxpHMBOryiNt11Fnb/EzOJhUZyt4KdXA==" saltValue="zle5OH2gC0VGNBYpIajoaQ==" spinCount="100000" sheet="1" objects="1" scenarios="1"/>
  <conditionalFormatting sqref="A6:A21">
    <cfRule type="expression" dxfId="219" priority="11" stopIfTrue="1">
      <formula>MOD(ROW(),2)=0</formula>
    </cfRule>
    <cfRule type="expression" dxfId="218" priority="12" stopIfTrue="1">
      <formula>MOD(ROW(),2)&lt;&gt;0</formula>
    </cfRule>
  </conditionalFormatting>
  <conditionalFormatting sqref="A26:A37">
    <cfRule type="expression" dxfId="217" priority="3" stopIfTrue="1">
      <formula>MOD(ROW(),2)=0</formula>
    </cfRule>
    <cfRule type="expression" dxfId="216" priority="4" stopIfTrue="1">
      <formula>MOD(ROW(),2)&lt;&gt;0</formula>
    </cfRule>
  </conditionalFormatting>
  <conditionalFormatting sqref="B17:B21">
    <cfRule type="expression" dxfId="215" priority="1" stopIfTrue="1">
      <formula>MOD(ROW(),2)=0</formula>
    </cfRule>
    <cfRule type="expression" dxfId="214" priority="2" stopIfTrue="1">
      <formula>MOD(ROW(),2)&lt;&gt;0</formula>
    </cfRule>
  </conditionalFormatting>
  <conditionalFormatting sqref="B6:M21">
    <cfRule type="expression" dxfId="213" priority="19" stopIfTrue="1">
      <formula>MOD(ROW(),2)=0</formula>
    </cfRule>
    <cfRule type="expression" dxfId="212" priority="20" stopIfTrue="1">
      <formula>MOD(ROW(),2)&lt;&gt;0</formula>
    </cfRule>
  </conditionalFormatting>
  <conditionalFormatting sqref="B26:M37">
    <cfRule type="expression" dxfId="211" priority="5" stopIfTrue="1">
      <formula>MOD(ROW(),2)=0</formula>
    </cfRule>
    <cfRule type="expression" dxfId="210" priority="6" stopIfTrue="1">
      <formula>MOD(ROW(),2)&lt;&gt;0</formula>
    </cfRule>
  </conditionalFormatting>
  <hyperlinks>
    <hyperlink ref="B24" location="Assumptions!A1" display="Assumptions" xr:uid="{CC69C8E4-CFF8-49CC-9C50-7561089F2E1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0"/>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x-808</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631</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2</v>
      </c>
      <c r="C13" s="161"/>
      <c r="D13" s="161"/>
      <c r="E13" s="161"/>
      <c r="F13" s="161"/>
      <c r="G13" s="161"/>
      <c r="H13" s="161"/>
      <c r="I13" s="161"/>
      <c r="J13" s="161"/>
      <c r="K13" s="161"/>
      <c r="L13" s="161"/>
      <c r="M13" s="161"/>
    </row>
    <row r="14" spans="1:13" x14ac:dyDescent="0.25">
      <c r="A14" s="77" t="s">
        <v>289</v>
      </c>
      <c r="B14" s="161">
        <v>808</v>
      </c>
      <c r="C14" s="161"/>
      <c r="D14" s="161"/>
      <c r="E14" s="161"/>
      <c r="F14" s="161"/>
      <c r="G14" s="161"/>
      <c r="H14" s="161"/>
      <c r="I14" s="161"/>
      <c r="J14" s="161"/>
      <c r="K14" s="161"/>
      <c r="L14" s="161"/>
      <c r="M14" s="161"/>
    </row>
    <row r="15" spans="1:13" x14ac:dyDescent="0.25">
      <c r="A15" s="77" t="s">
        <v>291</v>
      </c>
      <c r="B15" s="161" t="s">
        <v>632</v>
      </c>
      <c r="C15" s="161"/>
      <c r="D15" s="161"/>
      <c r="E15" s="161"/>
      <c r="F15" s="161"/>
      <c r="G15" s="161"/>
      <c r="H15" s="161"/>
      <c r="I15" s="161"/>
      <c r="J15" s="161"/>
      <c r="K15" s="161"/>
      <c r="L15" s="161"/>
      <c r="M15" s="161"/>
    </row>
    <row r="16" spans="1:13" x14ac:dyDescent="0.25">
      <c r="A16" s="77" t="s">
        <v>293</v>
      </c>
      <c r="B16" s="161" t="s">
        <v>633</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55</v>
      </c>
      <c r="B27" s="103">
        <v>0.155</v>
      </c>
      <c r="C27" s="103">
        <v>0.153</v>
      </c>
      <c r="D27" s="103">
        <v>0.152</v>
      </c>
      <c r="E27" s="103">
        <v>0.151</v>
      </c>
      <c r="F27" s="103">
        <v>0.15</v>
      </c>
      <c r="G27" s="103">
        <v>0.14899999999999999</v>
      </c>
      <c r="H27" s="103">
        <v>0.14699999999999999</v>
      </c>
      <c r="I27" s="103">
        <v>0.14599999999999999</v>
      </c>
      <c r="J27" s="103">
        <v>0.14499999999999999</v>
      </c>
      <c r="K27" s="103">
        <v>0.14399999999999999</v>
      </c>
      <c r="L27" s="103">
        <v>0.14299999999999999</v>
      </c>
      <c r="M27" s="103">
        <v>0.14099999999999999</v>
      </c>
    </row>
    <row r="28" spans="1:13" x14ac:dyDescent="0.25">
      <c r="A28" s="98">
        <v>56</v>
      </c>
      <c r="B28" s="103">
        <v>0.14000000000000001</v>
      </c>
      <c r="C28" s="103">
        <v>0.13900000000000001</v>
      </c>
      <c r="D28" s="103">
        <v>0.13800000000000001</v>
      </c>
      <c r="E28" s="103">
        <v>0.13700000000000001</v>
      </c>
      <c r="F28" s="103">
        <v>0.13500000000000001</v>
      </c>
      <c r="G28" s="103">
        <v>0.13400000000000001</v>
      </c>
      <c r="H28" s="103">
        <v>0.13300000000000001</v>
      </c>
      <c r="I28" s="103">
        <v>0.13200000000000001</v>
      </c>
      <c r="J28" s="103">
        <v>0.13</v>
      </c>
      <c r="K28" s="103">
        <v>0.129</v>
      </c>
      <c r="L28" s="103">
        <v>0.128</v>
      </c>
      <c r="M28" s="103">
        <v>0.127</v>
      </c>
    </row>
    <row r="29" spans="1:13" x14ac:dyDescent="0.25">
      <c r="A29" s="98">
        <v>57</v>
      </c>
      <c r="B29" s="103">
        <v>0.126</v>
      </c>
      <c r="C29" s="103">
        <v>0.124</v>
      </c>
      <c r="D29" s="103">
        <v>0.123</v>
      </c>
      <c r="E29" s="103">
        <v>0.122</v>
      </c>
      <c r="F29" s="103">
        <v>0.121</v>
      </c>
      <c r="G29" s="103">
        <v>0.11899999999999999</v>
      </c>
      <c r="H29" s="103">
        <v>0.11799999999999999</v>
      </c>
      <c r="I29" s="103">
        <v>0.11700000000000001</v>
      </c>
      <c r="J29" s="103">
        <v>0.11600000000000001</v>
      </c>
      <c r="K29" s="103">
        <v>0.114</v>
      </c>
      <c r="L29" s="103">
        <v>0.113</v>
      </c>
      <c r="M29" s="103">
        <v>0.112</v>
      </c>
    </row>
    <row r="30" spans="1:13" x14ac:dyDescent="0.25">
      <c r="A30" s="98">
        <v>58</v>
      </c>
      <c r="B30" s="103">
        <v>0.111</v>
      </c>
      <c r="C30" s="103">
        <v>0.109</v>
      </c>
      <c r="D30" s="103">
        <v>0.108</v>
      </c>
      <c r="E30" s="103">
        <v>0.107</v>
      </c>
      <c r="F30" s="103">
        <v>0.106</v>
      </c>
      <c r="G30" s="103">
        <v>0.104</v>
      </c>
      <c r="H30" s="103">
        <v>0.10299999999999999</v>
      </c>
      <c r="I30" s="103">
        <v>0.10199999999999999</v>
      </c>
      <c r="J30" s="103">
        <v>0.10100000000000001</v>
      </c>
      <c r="K30" s="103">
        <v>9.9000000000000005E-2</v>
      </c>
      <c r="L30" s="103">
        <v>9.8000000000000004E-2</v>
      </c>
      <c r="M30" s="103">
        <v>9.7000000000000003E-2</v>
      </c>
    </row>
    <row r="31" spans="1:13" x14ac:dyDescent="0.25">
      <c r="A31" s="98">
        <v>59</v>
      </c>
      <c r="B31" s="103">
        <v>9.6000000000000002E-2</v>
      </c>
      <c r="C31" s="103">
        <v>9.4E-2</v>
      </c>
      <c r="D31" s="103">
        <v>9.2999999999999999E-2</v>
      </c>
      <c r="E31" s="103">
        <v>9.1999999999999998E-2</v>
      </c>
      <c r="F31" s="103">
        <v>0.09</v>
      </c>
      <c r="G31" s="103">
        <v>8.8999999999999996E-2</v>
      </c>
      <c r="H31" s="103">
        <v>8.7999999999999995E-2</v>
      </c>
      <c r="I31" s="103">
        <v>8.6999999999999994E-2</v>
      </c>
      <c r="J31" s="103">
        <v>8.5000000000000006E-2</v>
      </c>
      <c r="K31" s="103">
        <v>8.4000000000000005E-2</v>
      </c>
      <c r="L31" s="103">
        <v>8.3000000000000004E-2</v>
      </c>
      <c r="M31" s="103">
        <v>8.1000000000000003E-2</v>
      </c>
    </row>
    <row r="32" spans="1:13" x14ac:dyDescent="0.25">
      <c r="A32" s="98">
        <v>60</v>
      </c>
      <c r="B32" s="103">
        <v>0.08</v>
      </c>
      <c r="C32" s="103">
        <v>7.9000000000000001E-2</v>
      </c>
      <c r="D32" s="103">
        <v>7.8E-2</v>
      </c>
      <c r="E32" s="103">
        <v>7.5999999999999998E-2</v>
      </c>
      <c r="F32" s="103">
        <v>7.4999999999999997E-2</v>
      </c>
      <c r="G32" s="103">
        <v>7.3999999999999996E-2</v>
      </c>
      <c r="H32" s="103">
        <v>7.1999999999999995E-2</v>
      </c>
      <c r="I32" s="103">
        <v>7.0999999999999994E-2</v>
      </c>
      <c r="J32" s="103">
        <v>7.0000000000000007E-2</v>
      </c>
      <c r="K32" s="103">
        <v>6.8000000000000005E-2</v>
      </c>
      <c r="L32" s="103">
        <v>6.7000000000000004E-2</v>
      </c>
      <c r="M32" s="103">
        <v>6.6000000000000003E-2</v>
      </c>
    </row>
    <row r="33" spans="1:13" x14ac:dyDescent="0.25">
      <c r="A33" s="98">
        <v>61</v>
      </c>
      <c r="B33" s="103">
        <v>6.5000000000000002E-2</v>
      </c>
      <c r="C33" s="103">
        <v>6.3E-2</v>
      </c>
      <c r="D33" s="103">
        <v>6.2E-2</v>
      </c>
      <c r="E33" s="103">
        <v>6.0999999999999999E-2</v>
      </c>
      <c r="F33" s="103">
        <v>5.8999999999999997E-2</v>
      </c>
      <c r="G33" s="103">
        <v>5.8000000000000003E-2</v>
      </c>
      <c r="H33" s="103">
        <v>5.7000000000000002E-2</v>
      </c>
      <c r="I33" s="103">
        <v>5.5E-2</v>
      </c>
      <c r="J33" s="103">
        <v>5.3999999999999999E-2</v>
      </c>
      <c r="K33" s="103">
        <v>5.2999999999999999E-2</v>
      </c>
      <c r="L33" s="103">
        <v>5.0999999999999997E-2</v>
      </c>
      <c r="M33" s="103">
        <v>0.05</v>
      </c>
    </row>
    <row r="34" spans="1:13" x14ac:dyDescent="0.25">
      <c r="A34" s="98">
        <v>62</v>
      </c>
      <c r="B34" s="103">
        <v>4.9000000000000002E-2</v>
      </c>
      <c r="C34" s="103">
        <v>4.7E-2</v>
      </c>
      <c r="D34" s="103">
        <v>4.5999999999999999E-2</v>
      </c>
      <c r="E34" s="103">
        <v>4.4999999999999998E-2</v>
      </c>
      <c r="F34" s="103">
        <v>4.2999999999999997E-2</v>
      </c>
      <c r="G34" s="103">
        <v>4.2000000000000003E-2</v>
      </c>
      <c r="H34" s="103">
        <v>4.1000000000000002E-2</v>
      </c>
      <c r="I34" s="103">
        <v>3.9E-2</v>
      </c>
      <c r="J34" s="103">
        <v>3.7999999999999999E-2</v>
      </c>
      <c r="K34" s="103">
        <v>3.6999999999999998E-2</v>
      </c>
      <c r="L34" s="103">
        <v>3.5000000000000003E-2</v>
      </c>
      <c r="M34" s="103">
        <v>3.4000000000000002E-2</v>
      </c>
    </row>
    <row r="35" spans="1:13" x14ac:dyDescent="0.25">
      <c r="A35" s="98">
        <v>63</v>
      </c>
      <c r="B35" s="103">
        <v>3.2000000000000001E-2</v>
      </c>
      <c r="C35" s="103">
        <v>3.1E-2</v>
      </c>
      <c r="D35" s="103">
        <v>0.03</v>
      </c>
      <c r="E35" s="103">
        <v>2.8000000000000001E-2</v>
      </c>
      <c r="F35" s="103">
        <v>2.7E-2</v>
      </c>
      <c r="G35" s="103">
        <v>2.5999999999999999E-2</v>
      </c>
      <c r="H35" s="103">
        <v>2.4E-2</v>
      </c>
      <c r="I35" s="103">
        <v>2.3E-2</v>
      </c>
      <c r="J35" s="103">
        <v>2.1999999999999999E-2</v>
      </c>
      <c r="K35" s="103">
        <v>0.02</v>
      </c>
      <c r="L35" s="103">
        <v>1.9E-2</v>
      </c>
      <c r="M35" s="103">
        <v>1.7000000000000001E-2</v>
      </c>
    </row>
    <row r="36" spans="1:13" x14ac:dyDescent="0.25">
      <c r="A36" s="98">
        <v>64</v>
      </c>
      <c r="B36" s="103">
        <v>1.6E-2</v>
      </c>
      <c r="C36" s="103">
        <v>1.4999999999999999E-2</v>
      </c>
      <c r="D36" s="103">
        <v>1.2999999999999999E-2</v>
      </c>
      <c r="E36" s="103">
        <v>1.2E-2</v>
      </c>
      <c r="F36" s="103">
        <v>0.01</v>
      </c>
      <c r="G36" s="103">
        <v>8.9999999999999993E-3</v>
      </c>
      <c r="H36" s="103">
        <v>8.0000000000000002E-3</v>
      </c>
      <c r="I36" s="103">
        <v>6.0000000000000001E-3</v>
      </c>
      <c r="J36" s="103">
        <v>5.0000000000000001E-3</v>
      </c>
      <c r="K36" s="103">
        <v>3.0000000000000001E-3</v>
      </c>
      <c r="L36" s="103">
        <v>2E-3</v>
      </c>
      <c r="M36" s="103">
        <v>1E-3</v>
      </c>
    </row>
    <row r="37" spans="1:13" x14ac:dyDescent="0.25">
      <c r="A37" s="98">
        <v>65</v>
      </c>
      <c r="B37" s="103">
        <v>0</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M0W2suAk78G6A6FnOWGR5vosTClpKcdtAdE0m7I7j0nz44ZvX+mYbGug8wcXYN9qlcOCbdBaLn9WjlVP2xz7Gg==" saltValue="U128uqcI3QgXIy8pf0DLkw==" spinCount="100000" sheet="1" objects="1" scenarios="1"/>
  <conditionalFormatting sqref="A6:A21">
    <cfRule type="expression" dxfId="209" priority="11" stopIfTrue="1">
      <formula>MOD(ROW(),2)=0</formula>
    </cfRule>
    <cfRule type="expression" dxfId="208" priority="12" stopIfTrue="1">
      <formula>MOD(ROW(),2)&lt;&gt;0</formula>
    </cfRule>
  </conditionalFormatting>
  <conditionalFormatting sqref="A26:A37">
    <cfRule type="expression" dxfId="207" priority="3" stopIfTrue="1">
      <formula>MOD(ROW(),2)=0</formula>
    </cfRule>
    <cfRule type="expression" dxfId="206" priority="4" stopIfTrue="1">
      <formula>MOD(ROW(),2)&lt;&gt;0</formula>
    </cfRule>
  </conditionalFormatting>
  <conditionalFormatting sqref="B17:B21">
    <cfRule type="expression" dxfId="205" priority="1" stopIfTrue="1">
      <formula>MOD(ROW(),2)=0</formula>
    </cfRule>
    <cfRule type="expression" dxfId="204" priority="2" stopIfTrue="1">
      <formula>MOD(ROW(),2)&lt;&gt;0</formula>
    </cfRule>
  </conditionalFormatting>
  <conditionalFormatting sqref="B6:M21">
    <cfRule type="expression" dxfId="203" priority="19" stopIfTrue="1">
      <formula>MOD(ROW(),2)=0</formula>
    </cfRule>
    <cfRule type="expression" dxfId="202" priority="20" stopIfTrue="1">
      <formula>MOD(ROW(),2)&lt;&gt;0</formula>
    </cfRule>
  </conditionalFormatting>
  <conditionalFormatting sqref="B26:M37">
    <cfRule type="expression" dxfId="201" priority="5" stopIfTrue="1">
      <formula>MOD(ROW(),2)=0</formula>
    </cfRule>
    <cfRule type="expression" dxfId="200" priority="6" stopIfTrue="1">
      <formula>MOD(ROW(),2)&lt;&gt;0</formula>
    </cfRule>
  </conditionalFormatting>
  <hyperlinks>
    <hyperlink ref="B24" location="Assumptions!A1" display="Assumptions" xr:uid="{2A6F870F-189C-444B-B6BE-4789156E330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81"/>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x-809</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634</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809</v>
      </c>
      <c r="C14" s="161"/>
      <c r="D14" s="161"/>
      <c r="E14" s="161"/>
      <c r="F14" s="161"/>
      <c r="G14" s="161"/>
      <c r="H14" s="161"/>
      <c r="I14" s="161"/>
      <c r="J14" s="161"/>
      <c r="K14" s="161"/>
      <c r="L14" s="161"/>
      <c r="M14" s="161"/>
    </row>
    <row r="15" spans="1:13" x14ac:dyDescent="0.25">
      <c r="A15" s="77" t="s">
        <v>291</v>
      </c>
      <c r="B15" s="161" t="s">
        <v>635</v>
      </c>
      <c r="C15" s="161"/>
      <c r="D15" s="161"/>
      <c r="E15" s="161"/>
      <c r="F15" s="161"/>
      <c r="G15" s="161"/>
      <c r="H15" s="161"/>
      <c r="I15" s="161"/>
      <c r="J15" s="161"/>
      <c r="K15" s="161"/>
      <c r="L15" s="161"/>
      <c r="M15" s="161"/>
    </row>
    <row r="16" spans="1:13" x14ac:dyDescent="0.25">
      <c r="A16" s="77" t="s">
        <v>293</v>
      </c>
      <c r="B16" s="161" t="s">
        <v>636</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8.5999999999999993E-2</v>
      </c>
      <c r="C27" s="103">
        <v>8.5000000000000006E-2</v>
      </c>
      <c r="D27" s="103">
        <v>8.3000000000000004E-2</v>
      </c>
      <c r="E27" s="103">
        <v>8.2000000000000003E-2</v>
      </c>
      <c r="F27" s="103">
        <v>8.1000000000000003E-2</v>
      </c>
      <c r="G27" s="103">
        <v>0.08</v>
      </c>
      <c r="H27" s="103">
        <v>7.8E-2</v>
      </c>
      <c r="I27" s="103">
        <v>7.6999999999999999E-2</v>
      </c>
      <c r="J27" s="103">
        <v>7.5999999999999998E-2</v>
      </c>
      <c r="K27" s="103">
        <v>7.3999999999999996E-2</v>
      </c>
      <c r="L27" s="103">
        <v>7.2999999999999995E-2</v>
      </c>
      <c r="M27" s="103">
        <v>7.1999999999999995E-2</v>
      </c>
    </row>
    <row r="28" spans="1:13" x14ac:dyDescent="0.25">
      <c r="A28" s="98">
        <v>51</v>
      </c>
      <c r="B28" s="103">
        <v>7.0999999999999994E-2</v>
      </c>
      <c r="C28" s="103">
        <v>6.9000000000000006E-2</v>
      </c>
      <c r="D28" s="103">
        <v>6.8000000000000005E-2</v>
      </c>
      <c r="E28" s="103">
        <v>6.6000000000000003E-2</v>
      </c>
      <c r="F28" s="103">
        <v>6.5000000000000002E-2</v>
      </c>
      <c r="G28" s="103">
        <v>6.4000000000000001E-2</v>
      </c>
      <c r="H28" s="103">
        <v>6.2E-2</v>
      </c>
      <c r="I28" s="103">
        <v>6.0999999999999999E-2</v>
      </c>
      <c r="J28" s="103">
        <v>0.06</v>
      </c>
      <c r="K28" s="103">
        <v>5.8000000000000003E-2</v>
      </c>
      <c r="L28" s="103">
        <v>5.7000000000000002E-2</v>
      </c>
      <c r="M28" s="103">
        <v>5.6000000000000001E-2</v>
      </c>
    </row>
    <row r="29" spans="1:13" x14ac:dyDescent="0.25">
      <c r="A29" s="98">
        <v>52</v>
      </c>
      <c r="B29" s="103">
        <v>5.3999999999999999E-2</v>
      </c>
      <c r="C29" s="103">
        <v>5.2999999999999999E-2</v>
      </c>
      <c r="D29" s="103">
        <v>5.0999999999999997E-2</v>
      </c>
      <c r="E29" s="103">
        <v>0.05</v>
      </c>
      <c r="F29" s="103">
        <v>4.8000000000000001E-2</v>
      </c>
      <c r="G29" s="103">
        <v>4.7E-2</v>
      </c>
      <c r="H29" s="103">
        <v>4.4999999999999998E-2</v>
      </c>
      <c r="I29" s="103">
        <v>4.3999999999999997E-2</v>
      </c>
      <c r="J29" s="103">
        <v>4.2999999999999997E-2</v>
      </c>
      <c r="K29" s="103">
        <v>4.1000000000000002E-2</v>
      </c>
      <c r="L29" s="103">
        <v>0.04</v>
      </c>
      <c r="M29" s="103">
        <v>3.7999999999999999E-2</v>
      </c>
    </row>
    <row r="30" spans="1:13" x14ac:dyDescent="0.25">
      <c r="A30" s="98">
        <v>53</v>
      </c>
      <c r="B30" s="103">
        <v>3.6999999999999998E-2</v>
      </c>
      <c r="C30" s="103">
        <v>3.5000000000000003E-2</v>
      </c>
      <c r="D30" s="103">
        <v>3.4000000000000002E-2</v>
      </c>
      <c r="E30" s="103">
        <v>3.2000000000000001E-2</v>
      </c>
      <c r="F30" s="103">
        <v>3.1E-2</v>
      </c>
      <c r="G30" s="103">
        <v>2.9000000000000001E-2</v>
      </c>
      <c r="H30" s="103">
        <v>2.8000000000000001E-2</v>
      </c>
      <c r="I30" s="103">
        <v>2.5999999999999999E-2</v>
      </c>
      <c r="J30" s="103">
        <v>2.5000000000000001E-2</v>
      </c>
      <c r="K30" s="103">
        <v>2.3E-2</v>
      </c>
      <c r="L30" s="103">
        <v>2.1999999999999999E-2</v>
      </c>
      <c r="M30" s="103">
        <v>0.02</v>
      </c>
    </row>
    <row r="31" spans="1:13" x14ac:dyDescent="0.25">
      <c r="A31" s="98">
        <v>54</v>
      </c>
      <c r="B31" s="103">
        <v>1.7999999999999999E-2</v>
      </c>
      <c r="C31" s="103">
        <v>1.7000000000000001E-2</v>
      </c>
      <c r="D31" s="103">
        <v>1.4999999999999999E-2</v>
      </c>
      <c r="E31" s="103">
        <v>1.4E-2</v>
      </c>
      <c r="F31" s="103">
        <v>1.2E-2</v>
      </c>
      <c r="G31" s="103">
        <v>0.01</v>
      </c>
      <c r="H31" s="103">
        <v>8.9999999999999993E-3</v>
      </c>
      <c r="I31" s="103">
        <v>7.0000000000000001E-3</v>
      </c>
      <c r="J31" s="103">
        <v>6.0000000000000001E-3</v>
      </c>
      <c r="K31" s="103">
        <v>4.0000000000000001E-3</v>
      </c>
      <c r="L31" s="103">
        <v>2E-3</v>
      </c>
      <c r="M31" s="103">
        <v>1E-3</v>
      </c>
    </row>
    <row r="32" spans="1:13" x14ac:dyDescent="0.25">
      <c r="A32" s="98">
        <v>55</v>
      </c>
      <c r="B32" s="103">
        <v>0</v>
      </c>
      <c r="C32" s="103"/>
      <c r="D32" s="103"/>
      <c r="E32" s="103"/>
      <c r="F32" s="103"/>
      <c r="G32" s="103"/>
      <c r="H32" s="103"/>
      <c r="I32" s="103"/>
      <c r="J32" s="103"/>
      <c r="K32" s="103"/>
      <c r="L32" s="103"/>
      <c r="M32" s="103"/>
    </row>
    <row r="44" ht="39.65" customHeight="1" x14ac:dyDescent="0.25"/>
    <row r="46" ht="27.65" customHeight="1" x14ac:dyDescent="0.25"/>
  </sheetData>
  <sheetProtection algorithmName="SHA-512" hashValue="8tEXUoFb65w1l83HY8zlhCHuWz9h5KYCmJKPf3sK0PopCj2pqSo9Z9iE+BLxqKUTPZkOzW+KXHs2/AZ7zYmkVA==" saltValue="p8cK8xqQ+V3cITTk193YNA==" spinCount="100000" sheet="1" objects="1" scenarios="1"/>
  <conditionalFormatting sqref="A6:A21">
    <cfRule type="expression" dxfId="199" priority="11" stopIfTrue="1">
      <formula>MOD(ROW(),2)=0</formula>
    </cfRule>
    <cfRule type="expression" dxfId="198" priority="12" stopIfTrue="1">
      <formula>MOD(ROW(),2)&lt;&gt;0</formula>
    </cfRule>
  </conditionalFormatting>
  <conditionalFormatting sqref="A26:A32">
    <cfRule type="expression" dxfId="197" priority="3" stopIfTrue="1">
      <formula>MOD(ROW(),2)=0</formula>
    </cfRule>
    <cfRule type="expression" dxfId="196" priority="4" stopIfTrue="1">
      <formula>MOD(ROW(),2)&lt;&gt;0</formula>
    </cfRule>
  </conditionalFormatting>
  <conditionalFormatting sqref="B17:B21">
    <cfRule type="expression" dxfId="195" priority="1" stopIfTrue="1">
      <formula>MOD(ROW(),2)=0</formula>
    </cfRule>
    <cfRule type="expression" dxfId="194" priority="2" stopIfTrue="1">
      <formula>MOD(ROW(),2)&lt;&gt;0</formula>
    </cfRule>
  </conditionalFormatting>
  <conditionalFormatting sqref="B6:M21">
    <cfRule type="expression" dxfId="193" priority="19" stopIfTrue="1">
      <formula>MOD(ROW(),2)=0</formula>
    </cfRule>
    <cfRule type="expression" dxfId="192" priority="20" stopIfTrue="1">
      <formula>MOD(ROW(),2)&lt;&gt;0</formula>
    </cfRule>
  </conditionalFormatting>
  <conditionalFormatting sqref="B26:M32">
    <cfRule type="expression" dxfId="191" priority="5" stopIfTrue="1">
      <formula>MOD(ROW(),2)=0</formula>
    </cfRule>
    <cfRule type="expression" dxfId="190" priority="6" stopIfTrue="1">
      <formula>MOD(ROW(),2)&lt;&gt;0</formula>
    </cfRule>
  </conditionalFormatting>
  <hyperlinks>
    <hyperlink ref="B24" location="Assumptions!A1" display="Assumptions" xr:uid="{612EBA56-A5AA-478F-BE42-AAAEA2A6FA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82"/>
  <dimension ref="A1:AB46"/>
  <sheetViews>
    <sheetView showGridLines="0" zoomScale="85" zoomScaleNormal="85" workbookViewId="0">
      <selection activeCell="G38" sqref="G38"/>
    </sheetView>
  </sheetViews>
  <sheetFormatPr defaultColWidth="10" defaultRowHeight="12.5" x14ac:dyDescent="0.25"/>
  <cols>
    <col min="1" max="1" width="31.54296875" style="26" customWidth="1"/>
    <col min="2" max="13" width="22.54296875" style="26" customWidth="1"/>
    <col min="14" max="15" width="10" style="26"/>
    <col min="16" max="16" width="31.54296875" style="26" customWidth="1"/>
    <col min="17" max="28" width="22.54296875" style="26" customWidth="1"/>
    <col min="29" max="16384" width="10" style="26"/>
  </cols>
  <sheetData>
    <row r="1" spans="1:28" ht="20" x14ac:dyDescent="0.4">
      <c r="A1" s="37" t="s">
        <v>0</v>
      </c>
      <c r="B1" s="38"/>
      <c r="C1" s="38"/>
      <c r="D1" s="38"/>
      <c r="E1" s="38"/>
      <c r="F1" s="38"/>
      <c r="G1" s="38"/>
      <c r="H1" s="38"/>
      <c r="I1" s="38"/>
    </row>
    <row r="2" spans="1:28" ht="15.5" x14ac:dyDescent="0.35">
      <c r="A2" s="39" t="str">
        <f>IF(title="&gt; Enter workbook title here","Enter workbook title in Cover sheet",title)</f>
        <v>NHSPS_S - Consolidated Factor Spreadsheet</v>
      </c>
      <c r="B2" s="40"/>
      <c r="C2" s="40"/>
      <c r="D2" s="40"/>
      <c r="E2" s="40"/>
      <c r="F2" s="40"/>
      <c r="G2" s="40"/>
      <c r="H2" s="40"/>
      <c r="I2" s="40"/>
    </row>
    <row r="3" spans="1:28" ht="15.5" x14ac:dyDescent="0.35">
      <c r="A3" s="41" t="str">
        <f>TABLE_FACTOR_TYPE_1&amp;" - x-"&amp;TABLE_SERIES_NUMBER_1</f>
        <v>ERF - x-810</v>
      </c>
      <c r="B3" s="40"/>
      <c r="C3" s="40"/>
      <c r="D3" s="40"/>
      <c r="E3" s="40"/>
      <c r="F3" s="40"/>
      <c r="G3" s="40"/>
      <c r="H3" s="40"/>
      <c r="I3" s="40"/>
    </row>
    <row r="4" spans="1:28" x14ac:dyDescent="0.25">
      <c r="A4" s="42"/>
    </row>
    <row r="6" spans="1:28" ht="13" x14ac:dyDescent="0.3">
      <c r="A6" s="75" t="s">
        <v>274</v>
      </c>
      <c r="B6" s="161" t="s">
        <v>275</v>
      </c>
      <c r="C6" s="161"/>
      <c r="D6" s="161"/>
      <c r="E6" s="161"/>
      <c r="F6" s="161"/>
      <c r="G6" s="161"/>
      <c r="H6" s="161"/>
      <c r="I6" s="161"/>
      <c r="J6" s="161"/>
      <c r="K6" s="161"/>
      <c r="L6" s="161"/>
      <c r="M6" s="161"/>
      <c r="P6" s="75" t="s">
        <v>274</v>
      </c>
      <c r="Q6" s="161" t="s">
        <v>275</v>
      </c>
      <c r="R6" s="161"/>
      <c r="S6" s="161"/>
      <c r="T6" s="161"/>
      <c r="U6" s="161"/>
      <c r="V6" s="161"/>
      <c r="W6" s="161"/>
      <c r="X6" s="161"/>
      <c r="Y6" s="161"/>
      <c r="Z6" s="161"/>
      <c r="AA6" s="161"/>
      <c r="AB6" s="161"/>
    </row>
    <row r="7" spans="1:28" x14ac:dyDescent="0.25">
      <c r="A7" s="77" t="s">
        <v>276</v>
      </c>
      <c r="B7" s="161" t="s">
        <v>72</v>
      </c>
      <c r="C7" s="161"/>
      <c r="D7" s="161"/>
      <c r="E7" s="161"/>
      <c r="F7" s="161"/>
      <c r="G7" s="161"/>
      <c r="H7" s="161"/>
      <c r="I7" s="161"/>
      <c r="J7" s="161"/>
      <c r="K7" s="161"/>
      <c r="L7" s="161"/>
      <c r="M7" s="161"/>
      <c r="P7" s="77" t="s">
        <v>276</v>
      </c>
      <c r="Q7" s="161" t="s">
        <v>72</v>
      </c>
      <c r="R7" s="161"/>
      <c r="S7" s="161"/>
      <c r="T7" s="161"/>
      <c r="U7" s="161"/>
      <c r="V7" s="161"/>
      <c r="W7" s="161"/>
      <c r="X7" s="161"/>
      <c r="Y7" s="161"/>
      <c r="Z7" s="161"/>
      <c r="AA7" s="161"/>
      <c r="AB7" s="161"/>
    </row>
    <row r="8" spans="1:28" x14ac:dyDescent="0.25">
      <c r="A8" s="77" t="s">
        <v>278</v>
      </c>
      <c r="B8" s="161" t="s">
        <v>74</v>
      </c>
      <c r="C8" s="161"/>
      <c r="D8" s="161"/>
      <c r="E8" s="161"/>
      <c r="F8" s="161"/>
      <c r="G8" s="161"/>
      <c r="H8" s="161"/>
      <c r="I8" s="161"/>
      <c r="J8" s="161"/>
      <c r="K8" s="161"/>
      <c r="L8" s="161"/>
      <c r="M8" s="161"/>
      <c r="P8" s="77" t="s">
        <v>278</v>
      </c>
      <c r="Q8" s="161" t="s">
        <v>74</v>
      </c>
      <c r="R8" s="161"/>
      <c r="S8" s="161"/>
      <c r="T8" s="161"/>
      <c r="U8" s="161"/>
      <c r="V8" s="161"/>
      <c r="W8" s="161"/>
      <c r="X8" s="161"/>
      <c r="Y8" s="161"/>
      <c r="Z8" s="161"/>
      <c r="AA8" s="161"/>
      <c r="AB8" s="161"/>
    </row>
    <row r="9" spans="1:28" x14ac:dyDescent="0.25">
      <c r="A9" s="77" t="s">
        <v>280</v>
      </c>
      <c r="B9" s="161" t="s">
        <v>405</v>
      </c>
      <c r="C9" s="161"/>
      <c r="D9" s="161"/>
      <c r="E9" s="161"/>
      <c r="F9" s="161"/>
      <c r="G9" s="161"/>
      <c r="H9" s="161"/>
      <c r="I9" s="161"/>
      <c r="J9" s="161"/>
      <c r="K9" s="161"/>
      <c r="L9" s="161"/>
      <c r="M9" s="161"/>
      <c r="P9" s="77" t="s">
        <v>280</v>
      </c>
      <c r="Q9" s="161" t="s">
        <v>405</v>
      </c>
      <c r="R9" s="161"/>
      <c r="S9" s="161"/>
      <c r="T9" s="161"/>
      <c r="U9" s="161"/>
      <c r="V9" s="161"/>
      <c r="W9" s="161"/>
      <c r="X9" s="161"/>
      <c r="Y9" s="161"/>
      <c r="Z9" s="161"/>
      <c r="AA9" s="161"/>
      <c r="AB9" s="161"/>
    </row>
    <row r="10" spans="1:28" x14ac:dyDescent="0.25">
      <c r="A10" s="77" t="s">
        <v>6</v>
      </c>
      <c r="B10" s="161" t="s">
        <v>637</v>
      </c>
      <c r="C10" s="161"/>
      <c r="D10" s="161"/>
      <c r="E10" s="161"/>
      <c r="F10" s="161"/>
      <c r="G10" s="161"/>
      <c r="H10" s="161"/>
      <c r="I10" s="161"/>
      <c r="J10" s="161"/>
      <c r="K10" s="161"/>
      <c r="L10" s="161"/>
      <c r="M10" s="161"/>
      <c r="P10" s="77" t="s">
        <v>6</v>
      </c>
      <c r="Q10" s="161" t="s">
        <v>640</v>
      </c>
      <c r="R10" s="161"/>
      <c r="S10" s="161"/>
      <c r="T10" s="161"/>
      <c r="U10" s="161"/>
      <c r="V10" s="161"/>
      <c r="W10" s="161"/>
      <c r="X10" s="161"/>
      <c r="Y10" s="161"/>
      <c r="Z10" s="161"/>
      <c r="AA10" s="161"/>
      <c r="AB10" s="161"/>
    </row>
    <row r="11" spans="1:28" x14ac:dyDescent="0.25">
      <c r="A11" s="77" t="s">
        <v>283</v>
      </c>
      <c r="B11" s="161" t="s">
        <v>355</v>
      </c>
      <c r="C11" s="161"/>
      <c r="D11" s="161"/>
      <c r="E11" s="161"/>
      <c r="F11" s="161"/>
      <c r="G11" s="161"/>
      <c r="H11" s="161"/>
      <c r="I11" s="161"/>
      <c r="J11" s="161"/>
      <c r="K11" s="161"/>
      <c r="L11" s="161"/>
      <c r="M11" s="161"/>
      <c r="P11" s="77" t="s">
        <v>283</v>
      </c>
      <c r="Q11" s="161" t="s">
        <v>355</v>
      </c>
      <c r="R11" s="161"/>
      <c r="S11" s="161"/>
      <c r="T11" s="161"/>
      <c r="U11" s="161"/>
      <c r="V11" s="161"/>
      <c r="W11" s="161"/>
      <c r="X11" s="161"/>
      <c r="Y11" s="161"/>
      <c r="Z11" s="161"/>
      <c r="AA11" s="161"/>
      <c r="AB11" s="161"/>
    </row>
    <row r="12" spans="1:28" x14ac:dyDescent="0.25">
      <c r="A12" s="77" t="s">
        <v>285</v>
      </c>
      <c r="B12" s="161" t="s">
        <v>609</v>
      </c>
      <c r="C12" s="161"/>
      <c r="D12" s="161"/>
      <c r="E12" s="161"/>
      <c r="F12" s="161"/>
      <c r="G12" s="161"/>
      <c r="H12" s="161"/>
      <c r="I12" s="161"/>
      <c r="J12" s="161"/>
      <c r="K12" s="161"/>
      <c r="L12" s="161"/>
      <c r="M12" s="161"/>
      <c r="P12" s="77" t="s">
        <v>285</v>
      </c>
      <c r="Q12" s="161" t="s">
        <v>609</v>
      </c>
      <c r="R12" s="161"/>
      <c r="S12" s="161"/>
      <c r="T12" s="161"/>
      <c r="U12" s="161"/>
      <c r="V12" s="161"/>
      <c r="W12" s="161"/>
      <c r="X12" s="161"/>
      <c r="Y12" s="161"/>
      <c r="Z12" s="161"/>
      <c r="AA12" s="161"/>
      <c r="AB12" s="161"/>
    </row>
    <row r="13" spans="1:28" x14ac:dyDescent="0.25">
      <c r="A13" s="77" t="s">
        <v>287</v>
      </c>
      <c r="B13" s="161">
        <v>1</v>
      </c>
      <c r="C13" s="161"/>
      <c r="D13" s="161"/>
      <c r="E13" s="161"/>
      <c r="F13" s="161"/>
      <c r="G13" s="161"/>
      <c r="H13" s="161"/>
      <c r="I13" s="161"/>
      <c r="J13" s="161"/>
      <c r="K13" s="161"/>
      <c r="L13" s="161"/>
      <c r="M13" s="161"/>
      <c r="P13" s="77" t="s">
        <v>287</v>
      </c>
      <c r="Q13" s="161">
        <v>1</v>
      </c>
      <c r="R13" s="161"/>
      <c r="S13" s="161"/>
      <c r="T13" s="161"/>
      <c r="U13" s="161"/>
      <c r="V13" s="161"/>
      <c r="W13" s="161"/>
      <c r="X13" s="161"/>
      <c r="Y13" s="161"/>
      <c r="Z13" s="161"/>
      <c r="AA13" s="161"/>
      <c r="AB13" s="161"/>
    </row>
    <row r="14" spans="1:28" x14ac:dyDescent="0.25">
      <c r="A14" s="77" t="s">
        <v>289</v>
      </c>
      <c r="B14" s="161">
        <v>810</v>
      </c>
      <c r="C14" s="161"/>
      <c r="D14" s="161"/>
      <c r="E14" s="161"/>
      <c r="F14" s="161"/>
      <c r="G14" s="161"/>
      <c r="H14" s="161"/>
      <c r="I14" s="161"/>
      <c r="J14" s="161"/>
      <c r="K14" s="161"/>
      <c r="L14" s="161"/>
      <c r="M14" s="161"/>
      <c r="P14" s="77" t="s">
        <v>289</v>
      </c>
      <c r="Q14" s="161">
        <v>810</v>
      </c>
      <c r="R14" s="161"/>
      <c r="S14" s="161"/>
      <c r="T14" s="161"/>
      <c r="U14" s="161"/>
      <c r="V14" s="161"/>
      <c r="W14" s="161"/>
      <c r="X14" s="161"/>
      <c r="Y14" s="161"/>
      <c r="Z14" s="161"/>
      <c r="AA14" s="161"/>
      <c r="AB14" s="161"/>
    </row>
    <row r="15" spans="1:28" x14ac:dyDescent="0.25">
      <c r="A15" s="77" t="s">
        <v>291</v>
      </c>
      <c r="B15" s="161" t="s">
        <v>638</v>
      </c>
      <c r="C15" s="161"/>
      <c r="D15" s="161"/>
      <c r="E15" s="161"/>
      <c r="F15" s="161"/>
      <c r="G15" s="161"/>
      <c r="H15" s="161"/>
      <c r="I15" s="161"/>
      <c r="J15" s="161"/>
      <c r="K15" s="161"/>
      <c r="L15" s="161"/>
      <c r="M15" s="161"/>
      <c r="P15" s="77" t="s">
        <v>291</v>
      </c>
      <c r="Q15" s="161" t="s">
        <v>641</v>
      </c>
      <c r="R15" s="161"/>
      <c r="S15" s="161"/>
      <c r="T15" s="161"/>
      <c r="U15" s="161"/>
      <c r="V15" s="161"/>
      <c r="W15" s="161"/>
      <c r="X15" s="161"/>
      <c r="Y15" s="161"/>
      <c r="Z15" s="161"/>
      <c r="AA15" s="161"/>
      <c r="AB15" s="161"/>
    </row>
    <row r="16" spans="1:28" x14ac:dyDescent="0.25">
      <c r="A16" s="77" t="s">
        <v>293</v>
      </c>
      <c r="B16" s="161" t="s">
        <v>639</v>
      </c>
      <c r="C16" s="161"/>
      <c r="D16" s="161"/>
      <c r="E16" s="161"/>
      <c r="F16" s="161"/>
      <c r="G16" s="161"/>
      <c r="H16" s="161"/>
      <c r="I16" s="161"/>
      <c r="J16" s="161"/>
      <c r="K16" s="161"/>
      <c r="L16" s="161"/>
      <c r="M16" s="161"/>
      <c r="P16" s="77" t="s">
        <v>293</v>
      </c>
      <c r="Q16" s="161" t="s">
        <v>639</v>
      </c>
      <c r="R16" s="161"/>
      <c r="S16" s="161"/>
      <c r="T16" s="161"/>
      <c r="U16" s="161"/>
      <c r="V16" s="161"/>
      <c r="W16" s="161"/>
      <c r="X16" s="161"/>
      <c r="Y16" s="161"/>
      <c r="Z16" s="161"/>
      <c r="AA16" s="161"/>
      <c r="AB16" s="161"/>
    </row>
    <row r="17" spans="1:28" x14ac:dyDescent="0.25">
      <c r="A17" s="74" t="s">
        <v>760</v>
      </c>
      <c r="B17" s="161"/>
      <c r="C17" s="161"/>
      <c r="D17" s="161"/>
      <c r="E17" s="161"/>
      <c r="F17" s="161"/>
      <c r="G17" s="161"/>
      <c r="H17" s="161"/>
      <c r="I17" s="161"/>
      <c r="J17" s="161"/>
      <c r="K17" s="161"/>
      <c r="L17" s="161"/>
      <c r="M17" s="161"/>
      <c r="P17" s="74" t="s">
        <v>760</v>
      </c>
      <c r="Q17" s="161"/>
      <c r="R17" s="161"/>
      <c r="S17" s="161"/>
      <c r="T17" s="161"/>
      <c r="U17" s="161"/>
      <c r="V17" s="161"/>
      <c r="W17" s="161"/>
      <c r="X17" s="161"/>
      <c r="Y17" s="161"/>
      <c r="Z17" s="161"/>
      <c r="AA17" s="161"/>
      <c r="AB17" s="161"/>
    </row>
    <row r="18" spans="1:28" x14ac:dyDescent="0.25">
      <c r="A18" s="77" t="s">
        <v>297</v>
      </c>
      <c r="B18" s="163">
        <v>45138</v>
      </c>
      <c r="C18" s="161"/>
      <c r="D18" s="161"/>
      <c r="E18" s="161"/>
      <c r="F18" s="161"/>
      <c r="G18" s="161"/>
      <c r="H18" s="161"/>
      <c r="I18" s="161"/>
      <c r="J18" s="161"/>
      <c r="K18" s="161"/>
      <c r="L18" s="161"/>
      <c r="M18" s="161"/>
      <c r="P18" s="77" t="s">
        <v>297</v>
      </c>
      <c r="Q18" s="163">
        <v>45138</v>
      </c>
      <c r="R18" s="161"/>
      <c r="S18" s="161"/>
      <c r="T18" s="161"/>
      <c r="U18" s="161"/>
      <c r="V18" s="161"/>
      <c r="W18" s="161"/>
      <c r="X18" s="161"/>
      <c r="Y18" s="161"/>
      <c r="Z18" s="161"/>
      <c r="AA18" s="161"/>
      <c r="AB18" s="161"/>
    </row>
    <row r="19" spans="1:28" x14ac:dyDescent="0.25">
      <c r="A19" s="77" t="s">
        <v>299</v>
      </c>
      <c r="B19" s="163">
        <v>45138</v>
      </c>
      <c r="C19" s="161"/>
      <c r="D19" s="161"/>
      <c r="E19" s="161"/>
      <c r="F19" s="161"/>
      <c r="G19" s="161"/>
      <c r="H19" s="161"/>
      <c r="I19" s="161"/>
      <c r="J19" s="161"/>
      <c r="K19" s="161"/>
      <c r="L19" s="161"/>
      <c r="M19" s="161"/>
      <c r="P19" s="77" t="s">
        <v>299</v>
      </c>
      <c r="Q19" s="163">
        <v>45138</v>
      </c>
      <c r="R19" s="161"/>
      <c r="S19" s="161"/>
      <c r="T19" s="161"/>
      <c r="U19" s="161"/>
      <c r="V19" s="161"/>
      <c r="W19" s="161"/>
      <c r="X19" s="161"/>
      <c r="Y19" s="161"/>
      <c r="Z19" s="161"/>
      <c r="AA19" s="161"/>
      <c r="AB19" s="161"/>
    </row>
    <row r="20" spans="1:28" x14ac:dyDescent="0.25">
      <c r="A20" s="77" t="s">
        <v>301</v>
      </c>
      <c r="B20" s="161" t="s">
        <v>314</v>
      </c>
      <c r="C20" s="161"/>
      <c r="D20" s="161"/>
      <c r="E20" s="161"/>
      <c r="F20" s="161"/>
      <c r="G20" s="161"/>
      <c r="H20" s="161"/>
      <c r="I20" s="161"/>
      <c r="J20" s="161"/>
      <c r="K20" s="161"/>
      <c r="L20" s="161"/>
      <c r="M20" s="161"/>
      <c r="P20" s="77" t="s">
        <v>301</v>
      </c>
      <c r="Q20" s="161" t="s">
        <v>314</v>
      </c>
      <c r="R20" s="161"/>
      <c r="S20" s="161"/>
      <c r="T20" s="161"/>
      <c r="U20" s="161"/>
      <c r="V20" s="161"/>
      <c r="W20" s="161"/>
      <c r="X20" s="161"/>
      <c r="Y20" s="161"/>
      <c r="Z20" s="161"/>
      <c r="AA20" s="161"/>
      <c r="AB20" s="161"/>
    </row>
    <row r="21" spans="1:28" x14ac:dyDescent="0.25">
      <c r="A21" s="77" t="s">
        <v>307</v>
      </c>
      <c r="B21" s="161" t="s">
        <v>315</v>
      </c>
      <c r="C21" s="161"/>
      <c r="D21" s="161"/>
      <c r="E21" s="161"/>
      <c r="F21" s="161"/>
      <c r="G21" s="161"/>
      <c r="H21" s="161"/>
      <c r="I21" s="161"/>
      <c r="J21" s="161"/>
      <c r="K21" s="161"/>
      <c r="L21" s="161"/>
      <c r="M21" s="161"/>
      <c r="P21" s="77" t="s">
        <v>307</v>
      </c>
      <c r="Q21" s="161" t="s">
        <v>315</v>
      </c>
      <c r="R21" s="161"/>
      <c r="S21" s="161"/>
      <c r="T21" s="161"/>
      <c r="U21" s="161"/>
      <c r="V21" s="161"/>
      <c r="W21" s="161"/>
      <c r="X21" s="161"/>
      <c r="Y21" s="161"/>
      <c r="Z21" s="161"/>
      <c r="AA21" s="161"/>
      <c r="AB21" s="161"/>
    </row>
    <row r="23" spans="1:28" x14ac:dyDescent="0.25">
      <c r="B23" s="100" t="str">
        <f>HYPERLINK("#'Factor List'!A1","Back to Factor List")</f>
        <v>Back to Factor List</v>
      </c>
    </row>
    <row r="24" spans="1:28" x14ac:dyDescent="0.25">
      <c r="B24" s="100" t="s">
        <v>13</v>
      </c>
    </row>
    <row r="26" spans="1:28" ht="13" x14ac:dyDescent="0.25">
      <c r="A26" s="97" t="s">
        <v>803</v>
      </c>
      <c r="B26" s="97">
        <v>0</v>
      </c>
      <c r="C26" s="97">
        <v>1</v>
      </c>
      <c r="D26" s="97">
        <v>2</v>
      </c>
      <c r="E26" s="97">
        <v>3</v>
      </c>
      <c r="F26" s="97">
        <v>4</v>
      </c>
      <c r="G26" s="97">
        <v>5</v>
      </c>
      <c r="H26" s="97">
        <v>6</v>
      </c>
      <c r="I26" s="97">
        <v>7</v>
      </c>
      <c r="J26" s="97">
        <v>8</v>
      </c>
      <c r="K26" s="97">
        <v>9</v>
      </c>
      <c r="L26" s="97">
        <v>10</v>
      </c>
      <c r="M26" s="97">
        <v>11</v>
      </c>
      <c r="P26" s="97" t="s">
        <v>803</v>
      </c>
      <c r="Q26" s="97">
        <v>0</v>
      </c>
      <c r="R26" s="97">
        <v>1</v>
      </c>
      <c r="S26" s="97">
        <v>2</v>
      </c>
      <c r="T26" s="97">
        <v>3</v>
      </c>
      <c r="U26" s="97">
        <v>4</v>
      </c>
      <c r="V26" s="97">
        <v>5</v>
      </c>
      <c r="W26" s="97">
        <v>6</v>
      </c>
      <c r="X26" s="97">
        <v>7</v>
      </c>
      <c r="Y26" s="97">
        <v>8</v>
      </c>
      <c r="Z26" s="97">
        <v>9</v>
      </c>
      <c r="AA26" s="97">
        <v>10</v>
      </c>
      <c r="AB26" s="97">
        <v>11</v>
      </c>
    </row>
    <row r="27" spans="1:28" x14ac:dyDescent="0.25">
      <c r="A27" s="98">
        <v>50</v>
      </c>
      <c r="B27" s="103">
        <v>4.3550000000000004</v>
      </c>
      <c r="C27" s="103">
        <v>4.3620000000000001</v>
      </c>
      <c r="D27" s="103">
        <v>4.3680000000000003</v>
      </c>
      <c r="E27" s="103">
        <v>4.375</v>
      </c>
      <c r="F27" s="103">
        <v>4.3810000000000002</v>
      </c>
      <c r="G27" s="103">
        <v>4.3879999999999999</v>
      </c>
      <c r="H27" s="103">
        <v>4.3949999999999996</v>
      </c>
      <c r="I27" s="103">
        <v>4.4009999999999998</v>
      </c>
      <c r="J27" s="103">
        <v>4.4080000000000004</v>
      </c>
      <c r="K27" s="103">
        <v>4.415</v>
      </c>
      <c r="L27" s="103">
        <v>4.4210000000000003</v>
      </c>
      <c r="M27" s="103">
        <v>4.4279999999999999</v>
      </c>
      <c r="P27" s="98">
        <v>50</v>
      </c>
      <c r="Q27" s="103">
        <v>-3.0000000000000001E-3</v>
      </c>
      <c r="R27" s="103">
        <v>-2E-3</v>
      </c>
      <c r="S27" s="103">
        <v>0</v>
      </c>
      <c r="T27" s="103">
        <v>1E-3</v>
      </c>
      <c r="U27" s="103">
        <v>2E-3</v>
      </c>
      <c r="V27" s="103">
        <v>4.0000000000000001E-3</v>
      </c>
      <c r="W27" s="103">
        <v>5.0000000000000001E-3</v>
      </c>
      <c r="X27" s="103">
        <v>7.0000000000000001E-3</v>
      </c>
      <c r="Y27" s="103">
        <v>8.0000000000000002E-3</v>
      </c>
      <c r="Z27" s="103">
        <v>0.01</v>
      </c>
      <c r="AA27" s="103">
        <v>1.0999999999999999E-2</v>
      </c>
      <c r="AB27" s="103">
        <v>1.2E-2</v>
      </c>
    </row>
    <row r="28" spans="1:28" x14ac:dyDescent="0.25">
      <c r="A28" s="98">
        <v>51</v>
      </c>
      <c r="B28" s="103">
        <v>4.4340000000000002</v>
      </c>
      <c r="C28" s="103">
        <v>4.4409999999999998</v>
      </c>
      <c r="D28" s="103">
        <v>4.4480000000000004</v>
      </c>
      <c r="E28" s="103">
        <v>4.4550000000000001</v>
      </c>
      <c r="F28" s="103">
        <v>4.4619999999999997</v>
      </c>
      <c r="G28" s="103">
        <v>4.468</v>
      </c>
      <c r="H28" s="103">
        <v>4.4749999999999996</v>
      </c>
      <c r="I28" s="103">
        <v>4.4820000000000002</v>
      </c>
      <c r="J28" s="103">
        <v>4.4889999999999999</v>
      </c>
      <c r="K28" s="103">
        <v>4.4950000000000001</v>
      </c>
      <c r="L28" s="103">
        <v>4.5019999999999998</v>
      </c>
      <c r="M28" s="103">
        <v>4.5090000000000003</v>
      </c>
      <c r="P28" s="98">
        <v>51</v>
      </c>
      <c r="Q28" s="103">
        <v>1.4E-2</v>
      </c>
      <c r="R28" s="103">
        <v>1.4999999999999999E-2</v>
      </c>
      <c r="S28" s="103">
        <v>1.7000000000000001E-2</v>
      </c>
      <c r="T28" s="103">
        <v>1.7999999999999999E-2</v>
      </c>
      <c r="U28" s="103">
        <v>0.02</v>
      </c>
      <c r="V28" s="103">
        <v>2.1000000000000001E-2</v>
      </c>
      <c r="W28" s="103">
        <v>2.3E-2</v>
      </c>
      <c r="X28" s="103">
        <v>2.5000000000000001E-2</v>
      </c>
      <c r="Y28" s="103">
        <v>2.5999999999999999E-2</v>
      </c>
      <c r="Z28" s="103">
        <v>2.8000000000000001E-2</v>
      </c>
      <c r="AA28" s="103">
        <v>2.9000000000000001E-2</v>
      </c>
      <c r="AB28" s="103">
        <v>3.1E-2</v>
      </c>
    </row>
    <row r="29" spans="1:28" x14ac:dyDescent="0.25">
      <c r="A29" s="98">
        <v>52</v>
      </c>
      <c r="B29" s="103">
        <v>4.516</v>
      </c>
      <c r="C29" s="103">
        <v>4.5229999999999997</v>
      </c>
      <c r="D29" s="103">
        <v>4.53</v>
      </c>
      <c r="E29" s="103">
        <v>4.5369999999999999</v>
      </c>
      <c r="F29" s="103">
        <v>4.5439999999999996</v>
      </c>
      <c r="G29" s="103">
        <v>4.55</v>
      </c>
      <c r="H29" s="103">
        <v>4.5570000000000004</v>
      </c>
      <c r="I29" s="103">
        <v>4.5640000000000001</v>
      </c>
      <c r="J29" s="103">
        <v>4.5709999999999997</v>
      </c>
      <c r="K29" s="103">
        <v>4.5780000000000003</v>
      </c>
      <c r="L29" s="103">
        <v>4.585</v>
      </c>
      <c r="M29" s="103">
        <v>4.5919999999999996</v>
      </c>
      <c r="P29" s="98">
        <v>52</v>
      </c>
      <c r="Q29" s="103">
        <v>3.2000000000000001E-2</v>
      </c>
      <c r="R29" s="103">
        <v>3.4000000000000002E-2</v>
      </c>
      <c r="S29" s="103">
        <v>3.5000000000000003E-2</v>
      </c>
      <c r="T29" s="103">
        <v>3.6999999999999998E-2</v>
      </c>
      <c r="U29" s="103">
        <v>3.7999999999999999E-2</v>
      </c>
      <c r="V29" s="103">
        <v>0.04</v>
      </c>
      <c r="W29" s="103">
        <v>4.2000000000000003E-2</v>
      </c>
      <c r="X29" s="103">
        <v>4.2999999999999997E-2</v>
      </c>
      <c r="Y29" s="103">
        <v>4.4999999999999998E-2</v>
      </c>
      <c r="Z29" s="103">
        <v>4.5999999999999999E-2</v>
      </c>
      <c r="AA29" s="103">
        <v>4.8000000000000001E-2</v>
      </c>
      <c r="AB29" s="103">
        <v>0.05</v>
      </c>
    </row>
    <row r="30" spans="1:28" x14ac:dyDescent="0.25">
      <c r="A30" s="98">
        <v>53</v>
      </c>
      <c r="B30" s="103">
        <v>4.5990000000000002</v>
      </c>
      <c r="C30" s="103">
        <v>4.6059999999999999</v>
      </c>
      <c r="D30" s="103">
        <v>4.6130000000000004</v>
      </c>
      <c r="E30" s="103">
        <v>4.62</v>
      </c>
      <c r="F30" s="103">
        <v>4.6280000000000001</v>
      </c>
      <c r="G30" s="103">
        <v>4.6349999999999998</v>
      </c>
      <c r="H30" s="103">
        <v>4.6420000000000003</v>
      </c>
      <c r="I30" s="103">
        <v>4.649</v>
      </c>
      <c r="J30" s="103">
        <v>4.6559999999999997</v>
      </c>
      <c r="K30" s="103">
        <v>4.6630000000000003</v>
      </c>
      <c r="L30" s="103">
        <v>4.67</v>
      </c>
      <c r="M30" s="103">
        <v>4.6769999999999996</v>
      </c>
      <c r="P30" s="98">
        <v>53</v>
      </c>
      <c r="Q30" s="103">
        <v>5.0999999999999997E-2</v>
      </c>
      <c r="R30" s="103">
        <v>5.2999999999999999E-2</v>
      </c>
      <c r="S30" s="103">
        <v>5.5E-2</v>
      </c>
      <c r="T30" s="103">
        <v>5.6000000000000001E-2</v>
      </c>
      <c r="U30" s="103">
        <v>5.8000000000000003E-2</v>
      </c>
      <c r="V30" s="103">
        <v>0.06</v>
      </c>
      <c r="W30" s="103">
        <v>6.0999999999999999E-2</v>
      </c>
      <c r="X30" s="103">
        <v>6.3E-2</v>
      </c>
      <c r="Y30" s="103">
        <v>6.5000000000000002E-2</v>
      </c>
      <c r="Z30" s="103">
        <v>6.6000000000000003E-2</v>
      </c>
      <c r="AA30" s="103">
        <v>6.8000000000000005E-2</v>
      </c>
      <c r="AB30" s="103">
        <v>7.0000000000000007E-2</v>
      </c>
    </row>
    <row r="31" spans="1:28" x14ac:dyDescent="0.25">
      <c r="A31" s="98">
        <v>54</v>
      </c>
      <c r="B31" s="103">
        <v>4.6849999999999996</v>
      </c>
      <c r="C31" s="103">
        <v>4.6920000000000002</v>
      </c>
      <c r="D31" s="103">
        <v>4.6989999999999998</v>
      </c>
      <c r="E31" s="103">
        <v>4.7069999999999999</v>
      </c>
      <c r="F31" s="103">
        <v>4.7140000000000004</v>
      </c>
      <c r="G31" s="103">
        <v>4.7210000000000001</v>
      </c>
      <c r="H31" s="103">
        <v>4.7290000000000001</v>
      </c>
      <c r="I31" s="103">
        <v>4.7359999999999998</v>
      </c>
      <c r="J31" s="103">
        <v>4.7430000000000003</v>
      </c>
      <c r="K31" s="103">
        <v>4.75</v>
      </c>
      <c r="L31" s="103">
        <v>4.758</v>
      </c>
      <c r="M31" s="103">
        <v>4.7649999999999997</v>
      </c>
      <c r="P31" s="98">
        <v>54</v>
      </c>
      <c r="Q31" s="103">
        <v>7.0999999999999994E-2</v>
      </c>
      <c r="R31" s="103">
        <v>7.2999999999999995E-2</v>
      </c>
      <c r="S31" s="103">
        <v>7.4999999999999997E-2</v>
      </c>
      <c r="T31" s="103">
        <v>7.6999999999999999E-2</v>
      </c>
      <c r="U31" s="103">
        <v>7.8E-2</v>
      </c>
      <c r="V31" s="103">
        <v>0.08</v>
      </c>
      <c r="W31" s="103">
        <v>8.2000000000000003E-2</v>
      </c>
      <c r="X31" s="103">
        <v>8.4000000000000005E-2</v>
      </c>
      <c r="Y31" s="103">
        <v>8.5999999999999993E-2</v>
      </c>
      <c r="Z31" s="103">
        <v>8.6999999999999994E-2</v>
      </c>
      <c r="AA31" s="103">
        <v>8.8999999999999996E-2</v>
      </c>
      <c r="AB31" s="103">
        <v>9.0999999999999998E-2</v>
      </c>
    </row>
    <row r="32" spans="1:28" x14ac:dyDescent="0.25">
      <c r="A32" s="98">
        <v>55</v>
      </c>
      <c r="B32" s="103">
        <v>4.7690000000000001</v>
      </c>
      <c r="C32" s="103"/>
      <c r="D32" s="103"/>
      <c r="E32" s="103"/>
      <c r="F32" s="103"/>
      <c r="G32" s="103"/>
      <c r="H32" s="103"/>
      <c r="I32" s="103"/>
      <c r="J32" s="103"/>
      <c r="K32" s="103"/>
      <c r="L32" s="103"/>
      <c r="M32" s="103"/>
      <c r="P32" s="98">
        <v>55</v>
      </c>
      <c r="Q32" s="103">
        <v>9.1999999999999998E-2</v>
      </c>
      <c r="R32" s="103"/>
      <c r="S32" s="103"/>
      <c r="T32" s="103"/>
      <c r="U32" s="103"/>
      <c r="V32" s="103"/>
      <c r="W32" s="103"/>
      <c r="X32" s="103"/>
      <c r="Y32" s="103"/>
      <c r="Z32" s="103"/>
      <c r="AA32" s="103"/>
      <c r="AB32" s="103"/>
    </row>
    <row r="44" ht="39.65" customHeight="1" x14ac:dyDescent="0.25"/>
    <row r="46" ht="27.65" customHeight="1" x14ac:dyDescent="0.25"/>
  </sheetData>
  <sheetProtection algorithmName="SHA-512" hashValue="E4qnQyQfIBUOSVs3F6XAyLUF+Or4ZtuKrLpfTSIba0RUgPv+0tdO0mGNzFX1nMjJoAHieIqC/Mn5Un1f2Nwc9Q==" saltValue="DqdqGykH9r5PgG0DjiB1zg==" spinCount="100000" sheet="1" objects="1" scenarios="1"/>
  <conditionalFormatting sqref="A6:A21">
    <cfRule type="expression" dxfId="189" priority="28" stopIfTrue="1">
      <formula>MOD(ROW(),2)&lt;&gt;0</formula>
    </cfRule>
    <cfRule type="expression" dxfId="188" priority="27" stopIfTrue="1">
      <formula>MOD(ROW(),2)=0</formula>
    </cfRule>
  </conditionalFormatting>
  <conditionalFormatting sqref="A26:A32">
    <cfRule type="expression" dxfId="187" priority="15" stopIfTrue="1">
      <formula>MOD(ROW(),2)=0</formula>
    </cfRule>
    <cfRule type="expression" dxfId="186" priority="16" stopIfTrue="1">
      <formula>MOD(ROW(),2)&lt;&gt;0</formula>
    </cfRule>
  </conditionalFormatting>
  <conditionalFormatting sqref="B17:B21">
    <cfRule type="expression" dxfId="185" priority="9" stopIfTrue="1">
      <formula>MOD(ROW(),2)=0</formula>
    </cfRule>
    <cfRule type="expression" dxfId="184" priority="10" stopIfTrue="1">
      <formula>MOD(ROW(),2)&lt;&gt;0</formula>
    </cfRule>
  </conditionalFormatting>
  <conditionalFormatting sqref="B6:M21">
    <cfRule type="expression" dxfId="183" priority="36" stopIfTrue="1">
      <formula>MOD(ROW(),2)&lt;&gt;0</formula>
    </cfRule>
    <cfRule type="expression" dxfId="182" priority="35" stopIfTrue="1">
      <formula>MOD(ROW(),2)=0</formula>
    </cfRule>
  </conditionalFormatting>
  <conditionalFormatting sqref="B26:M32">
    <cfRule type="expression" dxfId="181" priority="18" stopIfTrue="1">
      <formula>MOD(ROW(),2)&lt;&gt;0</formula>
    </cfRule>
    <cfRule type="expression" dxfId="180" priority="17" stopIfTrue="1">
      <formula>MOD(ROW(),2)=0</formula>
    </cfRule>
  </conditionalFormatting>
  <conditionalFormatting sqref="P6:P21">
    <cfRule type="expression" dxfId="179" priority="22" stopIfTrue="1">
      <formula>MOD(ROW(),2)&lt;&gt;0</formula>
    </cfRule>
    <cfRule type="expression" dxfId="178" priority="21" stopIfTrue="1">
      <formula>MOD(ROW(),2)=0</formula>
    </cfRule>
  </conditionalFormatting>
  <conditionalFormatting sqref="P26:P32">
    <cfRule type="expression" dxfId="177" priority="11" stopIfTrue="1">
      <formula>MOD(ROW(),2)=0</formula>
    </cfRule>
    <cfRule type="expression" dxfId="176" priority="12" stopIfTrue="1">
      <formula>MOD(ROW(),2)&lt;&gt;0</formula>
    </cfRule>
  </conditionalFormatting>
  <conditionalFormatting sqref="Q17:Q21">
    <cfRule type="expression" dxfId="175" priority="3" stopIfTrue="1">
      <formula>MOD(ROW(),2)=0</formula>
    </cfRule>
    <cfRule type="expression" dxfId="174" priority="4" stopIfTrue="1">
      <formula>MOD(ROW(),2)&lt;&gt;0</formula>
    </cfRule>
  </conditionalFormatting>
  <conditionalFormatting sqref="Q6:AB20">
    <cfRule type="expression" dxfId="173" priority="43" stopIfTrue="1">
      <formula>MOD(ROW(),2)=0</formula>
    </cfRule>
    <cfRule type="expression" dxfId="172" priority="44" stopIfTrue="1">
      <formula>MOD(ROW(),2)&lt;&gt;0</formula>
    </cfRule>
  </conditionalFormatting>
  <conditionalFormatting sqref="Q21:AB21">
    <cfRule type="expression" dxfId="171" priority="2" stopIfTrue="1">
      <formula>MOD(ROW(),2)&lt;&gt;0</formula>
    </cfRule>
    <cfRule type="expression" dxfId="170" priority="1" stopIfTrue="1">
      <formula>MOD(ROW(),2)=0</formula>
    </cfRule>
  </conditionalFormatting>
  <conditionalFormatting sqref="Q26:AB32">
    <cfRule type="expression" dxfId="169" priority="14" stopIfTrue="1">
      <formula>MOD(ROW(),2)&lt;&gt;0</formula>
    </cfRule>
    <cfRule type="expression" dxfId="168" priority="13" stopIfTrue="1">
      <formula>MOD(ROW(),2)=0</formula>
    </cfRule>
  </conditionalFormatting>
  <hyperlinks>
    <hyperlink ref="B24" location="Assumptions!A1" display="Assumptions" xr:uid="{DB45B47C-4D07-4B91-AB83-0EDCE7DB281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83"/>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x-811</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642</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811</v>
      </c>
      <c r="C14" s="161"/>
      <c r="D14" s="161"/>
      <c r="E14" s="161"/>
      <c r="F14" s="161"/>
      <c r="G14" s="161"/>
      <c r="H14" s="161"/>
      <c r="I14" s="161"/>
      <c r="J14" s="161"/>
      <c r="K14" s="161"/>
      <c r="L14" s="161"/>
      <c r="M14" s="161"/>
    </row>
    <row r="15" spans="1:13" x14ac:dyDescent="0.25">
      <c r="A15" s="77" t="s">
        <v>291</v>
      </c>
      <c r="B15" s="161" t="s">
        <v>643</v>
      </c>
      <c r="C15" s="161"/>
      <c r="D15" s="161"/>
      <c r="E15" s="161"/>
      <c r="F15" s="161"/>
      <c r="G15" s="161"/>
      <c r="H15" s="161"/>
      <c r="I15" s="161"/>
      <c r="J15" s="161"/>
      <c r="K15" s="161"/>
      <c r="L15" s="161"/>
      <c r="M15" s="161"/>
    </row>
    <row r="16" spans="1:13" x14ac:dyDescent="0.25">
      <c r="A16" s="77" t="s">
        <v>293</v>
      </c>
      <c r="B16" s="161" t="s">
        <v>644</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4.7560000000000002</v>
      </c>
      <c r="C27" s="103">
        <v>4.6790000000000003</v>
      </c>
      <c r="D27" s="103">
        <v>4.6020000000000003</v>
      </c>
      <c r="E27" s="103">
        <v>4.5250000000000004</v>
      </c>
      <c r="F27" s="103">
        <v>4.4470000000000001</v>
      </c>
      <c r="G27" s="103">
        <v>4.37</v>
      </c>
      <c r="H27" s="103">
        <v>4.2930000000000001</v>
      </c>
      <c r="I27" s="103">
        <v>4.2160000000000002</v>
      </c>
      <c r="J27" s="103">
        <v>4.1379999999999999</v>
      </c>
      <c r="K27" s="103">
        <v>4.0609999999999999</v>
      </c>
      <c r="L27" s="103">
        <v>3.984</v>
      </c>
      <c r="M27" s="103">
        <v>3.907</v>
      </c>
    </row>
    <row r="28" spans="1:13" x14ac:dyDescent="0.25">
      <c r="A28" s="98">
        <v>51</v>
      </c>
      <c r="B28" s="103">
        <v>3.8290000000000002</v>
      </c>
      <c r="C28" s="103">
        <v>3.75</v>
      </c>
      <c r="D28" s="103">
        <v>3.6720000000000002</v>
      </c>
      <c r="E28" s="103">
        <v>3.593</v>
      </c>
      <c r="F28" s="103">
        <v>3.5150000000000001</v>
      </c>
      <c r="G28" s="103">
        <v>3.4359999999999999</v>
      </c>
      <c r="H28" s="103">
        <v>3.3570000000000002</v>
      </c>
      <c r="I28" s="103">
        <v>3.2789999999999999</v>
      </c>
      <c r="J28" s="103">
        <v>3.2</v>
      </c>
      <c r="K28" s="103">
        <v>3.1219999999999999</v>
      </c>
      <c r="L28" s="103">
        <v>3.0430000000000001</v>
      </c>
      <c r="M28" s="103">
        <v>2.9649999999999999</v>
      </c>
    </row>
    <row r="29" spans="1:13" x14ac:dyDescent="0.25">
      <c r="A29" s="98">
        <v>52</v>
      </c>
      <c r="B29" s="103">
        <v>2.8849999999999998</v>
      </c>
      <c r="C29" s="103">
        <v>2.806</v>
      </c>
      <c r="D29" s="103">
        <v>2.726</v>
      </c>
      <c r="E29" s="103">
        <v>2.6459999999999999</v>
      </c>
      <c r="F29" s="103">
        <v>2.5659999999999998</v>
      </c>
      <c r="G29" s="103">
        <v>2.4860000000000002</v>
      </c>
      <c r="H29" s="103">
        <v>2.4060000000000001</v>
      </c>
      <c r="I29" s="103">
        <v>2.3260000000000001</v>
      </c>
      <c r="J29" s="103">
        <v>2.246</v>
      </c>
      <c r="K29" s="103">
        <v>2.1659999999999999</v>
      </c>
      <c r="L29" s="103">
        <v>2.0870000000000002</v>
      </c>
      <c r="M29" s="103">
        <v>2.0070000000000001</v>
      </c>
    </row>
    <row r="30" spans="1:13" x14ac:dyDescent="0.25">
      <c r="A30" s="98">
        <v>53</v>
      </c>
      <c r="B30" s="103">
        <v>1.9259999999999999</v>
      </c>
      <c r="C30" s="103">
        <v>1.845</v>
      </c>
      <c r="D30" s="103">
        <v>1.764</v>
      </c>
      <c r="E30" s="103">
        <v>1.6819999999999999</v>
      </c>
      <c r="F30" s="103">
        <v>1.601</v>
      </c>
      <c r="G30" s="103">
        <v>1.52</v>
      </c>
      <c r="H30" s="103">
        <v>1.4390000000000001</v>
      </c>
      <c r="I30" s="103">
        <v>1.357</v>
      </c>
      <c r="J30" s="103">
        <v>1.276</v>
      </c>
      <c r="K30" s="103">
        <v>1.1950000000000001</v>
      </c>
      <c r="L30" s="103">
        <v>1.113</v>
      </c>
      <c r="M30" s="103">
        <v>1.032</v>
      </c>
    </row>
    <row r="31" spans="1:13" x14ac:dyDescent="0.25">
      <c r="A31" s="98">
        <v>54</v>
      </c>
      <c r="B31" s="103">
        <v>0.95</v>
      </c>
      <c r="C31" s="103">
        <v>0.86799999999999999</v>
      </c>
      <c r="D31" s="103">
        <v>0.78500000000000003</v>
      </c>
      <c r="E31" s="103">
        <v>0.70199999999999996</v>
      </c>
      <c r="F31" s="103">
        <v>0.62</v>
      </c>
      <c r="G31" s="103">
        <v>0.53700000000000003</v>
      </c>
      <c r="H31" s="103">
        <v>0.45400000000000001</v>
      </c>
      <c r="I31" s="103">
        <v>0.372</v>
      </c>
      <c r="J31" s="103">
        <v>0.28899999999999998</v>
      </c>
      <c r="K31" s="103">
        <v>0.20699999999999999</v>
      </c>
      <c r="L31" s="103">
        <v>0.124</v>
      </c>
      <c r="M31" s="103">
        <v>4.1000000000000002E-2</v>
      </c>
    </row>
    <row r="32" spans="1:13" x14ac:dyDescent="0.25">
      <c r="A32" s="98">
        <v>55</v>
      </c>
      <c r="B32" s="103">
        <v>0</v>
      </c>
      <c r="C32" s="103"/>
      <c r="D32" s="103"/>
      <c r="E32" s="103"/>
      <c r="F32" s="103"/>
      <c r="G32" s="103"/>
      <c r="H32" s="103"/>
      <c r="I32" s="103"/>
      <c r="J32" s="103"/>
      <c r="K32" s="103"/>
      <c r="L32" s="103"/>
      <c r="M32" s="103"/>
    </row>
    <row r="44" ht="39.65" customHeight="1" x14ac:dyDescent="0.25"/>
    <row r="46" ht="27.65" customHeight="1" x14ac:dyDescent="0.25"/>
  </sheetData>
  <sheetProtection algorithmName="SHA-512" hashValue="LsK0Z0v6OC0u6na25Zcf/9aIqTkIsW+d8ZN0498mMjeq3dI6H5sZDpXAe0QsThFmFWpAxvGPcEvewn4G+hKpFQ==" saltValue="vYuPX79dtAUiIeQ+tJI3Kw==" spinCount="100000" sheet="1" objects="1" scenarios="1"/>
  <conditionalFormatting sqref="A6:A21">
    <cfRule type="expression" dxfId="167" priority="11" stopIfTrue="1">
      <formula>MOD(ROW(),2)=0</formula>
    </cfRule>
    <cfRule type="expression" dxfId="166" priority="12" stopIfTrue="1">
      <formula>MOD(ROW(),2)&lt;&gt;0</formula>
    </cfRule>
  </conditionalFormatting>
  <conditionalFormatting sqref="A26:A32">
    <cfRule type="expression" dxfId="165" priority="3" stopIfTrue="1">
      <formula>MOD(ROW(),2)=0</formula>
    </cfRule>
    <cfRule type="expression" dxfId="164" priority="4" stopIfTrue="1">
      <formula>MOD(ROW(),2)&lt;&gt;0</formula>
    </cfRule>
  </conditionalFormatting>
  <conditionalFormatting sqref="B17:B21">
    <cfRule type="expression" dxfId="163" priority="1" stopIfTrue="1">
      <formula>MOD(ROW(),2)=0</formula>
    </cfRule>
    <cfRule type="expression" dxfId="162" priority="2" stopIfTrue="1">
      <formula>MOD(ROW(),2)&lt;&gt;0</formula>
    </cfRule>
  </conditionalFormatting>
  <conditionalFormatting sqref="B6:M21">
    <cfRule type="expression" dxfId="161" priority="19" stopIfTrue="1">
      <formula>MOD(ROW(),2)=0</formula>
    </cfRule>
    <cfRule type="expression" dxfId="160" priority="20" stopIfTrue="1">
      <formula>MOD(ROW(),2)&lt;&gt;0</formula>
    </cfRule>
  </conditionalFormatting>
  <conditionalFormatting sqref="B26:M32">
    <cfRule type="expression" dxfId="159" priority="5" stopIfTrue="1">
      <formula>MOD(ROW(),2)=0</formula>
    </cfRule>
    <cfRule type="expression" dxfId="158" priority="6" stopIfTrue="1">
      <formula>MOD(ROW(),2)&lt;&gt;0</formula>
    </cfRule>
  </conditionalFormatting>
  <hyperlinks>
    <hyperlink ref="B24" location="Assumptions!A1" display="Assumptions" xr:uid="{C75F0D41-A215-48C5-B9DE-F1A539BD10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84"/>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x-812</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645</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812</v>
      </c>
      <c r="C14" s="161"/>
      <c r="D14" s="161"/>
      <c r="E14" s="161"/>
      <c r="F14" s="161"/>
      <c r="G14" s="161"/>
      <c r="H14" s="161"/>
      <c r="I14" s="161"/>
      <c r="J14" s="161"/>
      <c r="K14" s="161"/>
      <c r="L14" s="161"/>
      <c r="M14" s="161"/>
    </row>
    <row r="15" spans="1:13" x14ac:dyDescent="0.25">
      <c r="A15" s="77" t="s">
        <v>291</v>
      </c>
      <c r="B15" s="161" t="s">
        <v>646</v>
      </c>
      <c r="C15" s="161"/>
      <c r="D15" s="161"/>
      <c r="E15" s="161"/>
      <c r="F15" s="161"/>
      <c r="G15" s="161"/>
      <c r="H15" s="161"/>
      <c r="I15" s="161"/>
      <c r="J15" s="161"/>
      <c r="K15" s="161"/>
      <c r="L15" s="161"/>
      <c r="M15" s="161"/>
    </row>
    <row r="16" spans="1:13" x14ac:dyDescent="0.25">
      <c r="A16" s="77" t="s">
        <v>293</v>
      </c>
      <c r="B16" s="161" t="s">
        <v>647</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9.1129999999999995</v>
      </c>
      <c r="C27" s="103">
        <v>9.0429999999999993</v>
      </c>
      <c r="D27" s="103">
        <v>8.9730000000000008</v>
      </c>
      <c r="E27" s="103">
        <v>8.9030000000000005</v>
      </c>
      <c r="F27" s="103">
        <v>8.8330000000000002</v>
      </c>
      <c r="G27" s="103">
        <v>8.7629999999999999</v>
      </c>
      <c r="H27" s="103">
        <v>8.6929999999999996</v>
      </c>
      <c r="I27" s="103">
        <v>8.6219999999999999</v>
      </c>
      <c r="J27" s="103">
        <v>8.5519999999999996</v>
      </c>
      <c r="K27" s="103">
        <v>8.4819999999999993</v>
      </c>
      <c r="L27" s="103">
        <v>8.4120000000000008</v>
      </c>
      <c r="M27" s="103">
        <v>8.3420000000000005</v>
      </c>
    </row>
    <row r="28" spans="1:13" x14ac:dyDescent="0.25">
      <c r="A28" s="98">
        <v>51</v>
      </c>
      <c r="B28" s="103">
        <v>8.2710000000000008</v>
      </c>
      <c r="C28" s="103">
        <v>8.1999999999999993</v>
      </c>
      <c r="D28" s="103">
        <v>8.1289999999999996</v>
      </c>
      <c r="E28" s="103">
        <v>8.0579999999999998</v>
      </c>
      <c r="F28" s="103">
        <v>7.9859999999999998</v>
      </c>
      <c r="G28" s="103">
        <v>7.915</v>
      </c>
      <c r="H28" s="103">
        <v>7.8440000000000003</v>
      </c>
      <c r="I28" s="103">
        <v>7.7720000000000002</v>
      </c>
      <c r="J28" s="103">
        <v>7.7009999999999996</v>
      </c>
      <c r="K28" s="103">
        <v>7.63</v>
      </c>
      <c r="L28" s="103">
        <v>7.5590000000000002</v>
      </c>
      <c r="M28" s="103">
        <v>7.4870000000000001</v>
      </c>
    </row>
    <row r="29" spans="1:13" x14ac:dyDescent="0.25">
      <c r="A29" s="98">
        <v>52</v>
      </c>
      <c r="B29" s="103">
        <v>7.415</v>
      </c>
      <c r="C29" s="103">
        <v>7.343</v>
      </c>
      <c r="D29" s="103">
        <v>7.27</v>
      </c>
      <c r="E29" s="103">
        <v>7.1980000000000004</v>
      </c>
      <c r="F29" s="103">
        <v>7.125</v>
      </c>
      <c r="G29" s="103">
        <v>7.0529999999999999</v>
      </c>
      <c r="H29" s="103">
        <v>6.98</v>
      </c>
      <c r="I29" s="103">
        <v>6.9080000000000004</v>
      </c>
      <c r="J29" s="103">
        <v>6.835</v>
      </c>
      <c r="K29" s="103">
        <v>6.7629999999999999</v>
      </c>
      <c r="L29" s="103">
        <v>6.69</v>
      </c>
      <c r="M29" s="103">
        <v>6.6180000000000003</v>
      </c>
    </row>
    <row r="30" spans="1:13" x14ac:dyDescent="0.25">
      <c r="A30" s="98">
        <v>53</v>
      </c>
      <c r="B30" s="103">
        <v>6.5439999999999996</v>
      </c>
      <c r="C30" s="103">
        <v>6.4710000000000001</v>
      </c>
      <c r="D30" s="103">
        <v>6.3970000000000002</v>
      </c>
      <c r="E30" s="103">
        <v>6.3230000000000004</v>
      </c>
      <c r="F30" s="103">
        <v>6.2489999999999997</v>
      </c>
      <c r="G30" s="103">
        <v>6.1760000000000002</v>
      </c>
      <c r="H30" s="103">
        <v>6.1020000000000003</v>
      </c>
      <c r="I30" s="103">
        <v>6.0279999999999996</v>
      </c>
      <c r="J30" s="103">
        <v>5.9539999999999997</v>
      </c>
      <c r="K30" s="103">
        <v>5.88</v>
      </c>
      <c r="L30" s="103">
        <v>5.8070000000000004</v>
      </c>
      <c r="M30" s="103">
        <v>5.7329999999999997</v>
      </c>
    </row>
    <row r="31" spans="1:13" x14ac:dyDescent="0.25">
      <c r="A31" s="98">
        <v>54</v>
      </c>
      <c r="B31" s="103">
        <v>5.6580000000000004</v>
      </c>
      <c r="C31" s="103">
        <v>5.5830000000000002</v>
      </c>
      <c r="D31" s="103">
        <v>5.508</v>
      </c>
      <c r="E31" s="103">
        <v>5.4329999999999998</v>
      </c>
      <c r="F31" s="103">
        <v>5.3579999999999997</v>
      </c>
      <c r="G31" s="103">
        <v>5.2830000000000004</v>
      </c>
      <c r="H31" s="103">
        <v>5.2080000000000002</v>
      </c>
      <c r="I31" s="103">
        <v>5.133</v>
      </c>
      <c r="J31" s="103">
        <v>5.0579999999999998</v>
      </c>
      <c r="K31" s="103">
        <v>4.9829999999999997</v>
      </c>
      <c r="L31" s="103">
        <v>4.9080000000000004</v>
      </c>
      <c r="M31" s="103">
        <v>4.8330000000000002</v>
      </c>
    </row>
    <row r="32" spans="1:13" x14ac:dyDescent="0.25">
      <c r="A32" s="98">
        <v>55</v>
      </c>
      <c r="B32" s="103">
        <v>4.7949999999999999</v>
      </c>
      <c r="C32" s="103"/>
      <c r="D32" s="103"/>
      <c r="E32" s="103"/>
      <c r="F32" s="103"/>
      <c r="G32" s="103"/>
      <c r="H32" s="103"/>
      <c r="I32" s="103"/>
      <c r="J32" s="103"/>
      <c r="K32" s="103"/>
      <c r="L32" s="103"/>
      <c r="M32" s="103"/>
    </row>
    <row r="44" ht="39.65" customHeight="1" x14ac:dyDescent="0.25"/>
    <row r="46" ht="27.65" customHeight="1" x14ac:dyDescent="0.25"/>
  </sheetData>
  <sheetProtection algorithmName="SHA-512" hashValue="hbEn6qWmf7dtcIi4z6oNEn518h8rJJCgKgnv3jBnxrMxTZtL6GmE74JEnjwwUuubbjcvmD/7oGqemXt8V22gzA==" saltValue="lqsMTNRbRVOdpX3LO7sJCQ==" spinCount="100000" sheet="1" objects="1" scenarios="1"/>
  <conditionalFormatting sqref="A6:A21">
    <cfRule type="expression" dxfId="157" priority="11" stopIfTrue="1">
      <formula>MOD(ROW(),2)=0</formula>
    </cfRule>
    <cfRule type="expression" dxfId="156" priority="12" stopIfTrue="1">
      <formula>MOD(ROW(),2)&lt;&gt;0</formula>
    </cfRule>
  </conditionalFormatting>
  <conditionalFormatting sqref="A26:A32">
    <cfRule type="expression" dxfId="155" priority="3" stopIfTrue="1">
      <formula>MOD(ROW(),2)=0</formula>
    </cfRule>
    <cfRule type="expression" dxfId="154" priority="4" stopIfTrue="1">
      <formula>MOD(ROW(),2)&lt;&gt;0</formula>
    </cfRule>
  </conditionalFormatting>
  <conditionalFormatting sqref="B17:B21">
    <cfRule type="expression" dxfId="153" priority="1" stopIfTrue="1">
      <formula>MOD(ROW(),2)=0</formula>
    </cfRule>
    <cfRule type="expression" dxfId="152" priority="2" stopIfTrue="1">
      <formula>MOD(ROW(),2)&lt;&gt;0</formula>
    </cfRule>
  </conditionalFormatting>
  <conditionalFormatting sqref="B6:M21">
    <cfRule type="expression" dxfId="151" priority="19" stopIfTrue="1">
      <formula>MOD(ROW(),2)=0</formula>
    </cfRule>
    <cfRule type="expression" dxfId="150" priority="20" stopIfTrue="1">
      <formula>MOD(ROW(),2)&lt;&gt;0</formula>
    </cfRule>
  </conditionalFormatting>
  <conditionalFormatting sqref="B26:M32">
    <cfRule type="expression" dxfId="149" priority="5" stopIfTrue="1">
      <formula>MOD(ROW(),2)=0</formula>
    </cfRule>
    <cfRule type="expression" dxfId="148" priority="6" stopIfTrue="1">
      <formula>MOD(ROW(),2)&lt;&gt;0</formula>
    </cfRule>
  </conditionalFormatting>
  <hyperlinks>
    <hyperlink ref="B24" location="Assumptions!A1" display="Assumptions" xr:uid="{CA9471C6-D983-491F-8075-350447149F7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85"/>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x-813</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73</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648</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0</v>
      </c>
      <c r="C13" s="161"/>
      <c r="D13" s="161"/>
      <c r="E13" s="161"/>
      <c r="F13" s="161"/>
      <c r="G13" s="161"/>
      <c r="H13" s="161"/>
      <c r="I13" s="161"/>
      <c r="J13" s="161"/>
      <c r="K13" s="161"/>
      <c r="L13" s="161"/>
      <c r="M13" s="161"/>
    </row>
    <row r="14" spans="1:13" x14ac:dyDescent="0.25">
      <c r="A14" s="77" t="s">
        <v>289</v>
      </c>
      <c r="B14" s="161">
        <v>813</v>
      </c>
      <c r="C14" s="161"/>
      <c r="D14" s="161"/>
      <c r="E14" s="161"/>
      <c r="F14" s="161"/>
      <c r="G14" s="161"/>
      <c r="H14" s="161"/>
      <c r="I14" s="161"/>
      <c r="J14" s="161"/>
      <c r="K14" s="161"/>
      <c r="L14" s="161"/>
      <c r="M14" s="161"/>
    </row>
    <row r="15" spans="1:13" x14ac:dyDescent="0.25">
      <c r="A15" s="77" t="s">
        <v>291</v>
      </c>
      <c r="B15" s="161" t="s">
        <v>649</v>
      </c>
      <c r="C15" s="161"/>
      <c r="D15" s="161"/>
      <c r="E15" s="161"/>
      <c r="F15" s="161"/>
      <c r="G15" s="161"/>
      <c r="H15" s="161"/>
      <c r="I15" s="161"/>
      <c r="J15" s="161"/>
      <c r="K15" s="161"/>
      <c r="L15" s="161"/>
      <c r="M15" s="161"/>
    </row>
    <row r="16" spans="1:13" x14ac:dyDescent="0.25">
      <c r="A16" s="77" t="s">
        <v>293</v>
      </c>
      <c r="B16" s="161" t="s">
        <v>611</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55</v>
      </c>
      <c r="B27" s="103">
        <v>24.893000000000001</v>
      </c>
      <c r="C27" s="103">
        <v>24.844000000000001</v>
      </c>
      <c r="D27" s="103">
        <v>24.795000000000002</v>
      </c>
      <c r="E27" s="103">
        <v>24.745999999999999</v>
      </c>
      <c r="F27" s="103">
        <v>24.696000000000002</v>
      </c>
      <c r="G27" s="103">
        <v>24.646999999999998</v>
      </c>
      <c r="H27" s="103">
        <v>24.597999999999999</v>
      </c>
      <c r="I27" s="103">
        <v>24.548999999999999</v>
      </c>
      <c r="J27" s="103">
        <v>24.5</v>
      </c>
      <c r="K27" s="103">
        <v>24.451000000000001</v>
      </c>
      <c r="L27" s="103">
        <v>24.402000000000001</v>
      </c>
      <c r="M27" s="103">
        <v>24.353000000000002</v>
      </c>
    </row>
    <row r="28" spans="1:13" x14ac:dyDescent="0.25">
      <c r="A28" s="98">
        <v>56</v>
      </c>
      <c r="B28" s="103">
        <v>24.303999999999998</v>
      </c>
      <c r="C28" s="103">
        <v>24.254000000000001</v>
      </c>
      <c r="D28" s="103">
        <v>24.204999999999998</v>
      </c>
      <c r="E28" s="103">
        <v>24.155000000000001</v>
      </c>
      <c r="F28" s="103">
        <v>24.106000000000002</v>
      </c>
      <c r="G28" s="103">
        <v>24.056000000000001</v>
      </c>
      <c r="H28" s="103">
        <v>24.007000000000001</v>
      </c>
      <c r="I28" s="103">
        <v>23.957000000000001</v>
      </c>
      <c r="J28" s="103">
        <v>23.908000000000001</v>
      </c>
      <c r="K28" s="103">
        <v>23.858000000000001</v>
      </c>
      <c r="L28" s="103">
        <v>23.808</v>
      </c>
      <c r="M28" s="103">
        <v>23.759</v>
      </c>
    </row>
    <row r="29" spans="1:13" x14ac:dyDescent="0.25">
      <c r="A29" s="98">
        <v>57</v>
      </c>
      <c r="B29" s="103">
        <v>23.709</v>
      </c>
      <c r="C29" s="103">
        <v>23.658999999999999</v>
      </c>
      <c r="D29" s="103">
        <v>23.609000000000002</v>
      </c>
      <c r="E29" s="103">
        <v>23.559000000000001</v>
      </c>
      <c r="F29" s="103">
        <v>23.509</v>
      </c>
      <c r="G29" s="103">
        <v>23.459</v>
      </c>
      <c r="H29" s="103">
        <v>23.408999999999999</v>
      </c>
      <c r="I29" s="103">
        <v>23.359000000000002</v>
      </c>
      <c r="J29" s="103">
        <v>23.309000000000001</v>
      </c>
      <c r="K29" s="103">
        <v>23.259</v>
      </c>
      <c r="L29" s="103">
        <v>23.209</v>
      </c>
      <c r="M29" s="103">
        <v>23.158999999999999</v>
      </c>
    </row>
    <row r="30" spans="1:13" x14ac:dyDescent="0.25">
      <c r="A30" s="98">
        <v>58</v>
      </c>
      <c r="B30" s="103">
        <v>23.109000000000002</v>
      </c>
      <c r="C30" s="103">
        <v>23.058</v>
      </c>
      <c r="D30" s="103">
        <v>23.007999999999999</v>
      </c>
      <c r="E30" s="103">
        <v>22.957000000000001</v>
      </c>
      <c r="F30" s="103">
        <v>22.905999999999999</v>
      </c>
      <c r="G30" s="103">
        <v>22.856000000000002</v>
      </c>
      <c r="H30" s="103">
        <v>22.805</v>
      </c>
      <c r="I30" s="103">
        <v>22.754999999999999</v>
      </c>
      <c r="J30" s="103">
        <v>22.704000000000001</v>
      </c>
      <c r="K30" s="103">
        <v>22.654</v>
      </c>
      <c r="L30" s="103">
        <v>22.603000000000002</v>
      </c>
      <c r="M30" s="103">
        <v>22.553000000000001</v>
      </c>
    </row>
    <row r="31" spans="1:13" x14ac:dyDescent="0.25">
      <c r="A31" s="98">
        <v>59</v>
      </c>
      <c r="B31" s="103">
        <v>22.501999999999999</v>
      </c>
      <c r="C31" s="103">
        <v>22.451000000000001</v>
      </c>
      <c r="D31" s="103">
        <v>22.4</v>
      </c>
      <c r="E31" s="103">
        <v>22.349</v>
      </c>
      <c r="F31" s="103">
        <v>22.297999999999998</v>
      </c>
      <c r="G31" s="103">
        <v>22.245999999999999</v>
      </c>
      <c r="H31" s="103">
        <v>22.195</v>
      </c>
      <c r="I31" s="103">
        <v>22.143999999999998</v>
      </c>
      <c r="J31" s="103">
        <v>22.093</v>
      </c>
      <c r="K31" s="103">
        <v>22.042000000000002</v>
      </c>
      <c r="L31" s="103">
        <v>21.991</v>
      </c>
      <c r="M31" s="103">
        <v>21.94</v>
      </c>
    </row>
    <row r="32" spans="1:13" x14ac:dyDescent="0.25">
      <c r="A32" s="98">
        <v>60</v>
      </c>
      <c r="B32" s="103">
        <v>21.888999999999999</v>
      </c>
      <c r="C32" s="103">
        <v>21.837</v>
      </c>
      <c r="D32" s="103">
        <v>21.785</v>
      </c>
      <c r="E32" s="103">
        <v>21.734000000000002</v>
      </c>
      <c r="F32" s="103">
        <v>21.681999999999999</v>
      </c>
      <c r="G32" s="103">
        <v>21.631</v>
      </c>
      <c r="H32" s="103">
        <v>21.579000000000001</v>
      </c>
      <c r="I32" s="103">
        <v>21.527999999999999</v>
      </c>
      <c r="J32" s="103">
        <v>21.475999999999999</v>
      </c>
      <c r="K32" s="103">
        <v>21.423999999999999</v>
      </c>
      <c r="L32" s="103">
        <v>21.373000000000001</v>
      </c>
      <c r="M32" s="103">
        <v>21.321000000000002</v>
      </c>
    </row>
    <row r="33" spans="1:13" x14ac:dyDescent="0.25">
      <c r="A33" s="98">
        <v>61</v>
      </c>
      <c r="B33" s="103">
        <v>21.268999999999998</v>
      </c>
      <c r="C33" s="103">
        <v>21.216999999999999</v>
      </c>
      <c r="D33" s="103">
        <v>21.164999999999999</v>
      </c>
      <c r="E33" s="103">
        <v>21.113</v>
      </c>
      <c r="F33" s="103">
        <v>21.061</v>
      </c>
      <c r="G33" s="103">
        <v>21.009</v>
      </c>
      <c r="H33" s="103">
        <v>20.957000000000001</v>
      </c>
      <c r="I33" s="103">
        <v>20.905000000000001</v>
      </c>
      <c r="J33" s="103">
        <v>20.853000000000002</v>
      </c>
      <c r="K33" s="103">
        <v>20.800999999999998</v>
      </c>
      <c r="L33" s="103">
        <v>20.748999999999999</v>
      </c>
      <c r="M33" s="103">
        <v>20.696999999999999</v>
      </c>
    </row>
    <row r="34" spans="1:13" x14ac:dyDescent="0.25">
      <c r="A34" s="98">
        <v>62</v>
      </c>
      <c r="B34" s="103">
        <v>20.645</v>
      </c>
      <c r="C34" s="103">
        <v>20.591999999999999</v>
      </c>
      <c r="D34" s="103">
        <v>20.54</v>
      </c>
      <c r="E34" s="103">
        <v>20.486999999999998</v>
      </c>
      <c r="F34" s="103">
        <v>20.434999999999999</v>
      </c>
      <c r="G34" s="103">
        <v>20.382000000000001</v>
      </c>
      <c r="H34" s="103">
        <v>20.329999999999998</v>
      </c>
      <c r="I34" s="103">
        <v>20.277999999999999</v>
      </c>
      <c r="J34" s="103">
        <v>20.225000000000001</v>
      </c>
      <c r="K34" s="103">
        <v>20.172999999999998</v>
      </c>
      <c r="L34" s="103">
        <v>20.12</v>
      </c>
      <c r="M34" s="103">
        <v>20.068000000000001</v>
      </c>
    </row>
    <row r="35" spans="1:13" x14ac:dyDescent="0.25">
      <c r="A35" s="98">
        <v>63</v>
      </c>
      <c r="B35" s="103">
        <v>20.015000000000001</v>
      </c>
      <c r="C35" s="103">
        <v>19.962</v>
      </c>
      <c r="D35" s="103">
        <v>19.908999999999999</v>
      </c>
      <c r="E35" s="103">
        <v>19.856000000000002</v>
      </c>
      <c r="F35" s="103">
        <v>19.803000000000001</v>
      </c>
      <c r="G35" s="103">
        <v>19.751000000000001</v>
      </c>
      <c r="H35" s="103">
        <v>19.698</v>
      </c>
      <c r="I35" s="103">
        <v>19.645</v>
      </c>
      <c r="J35" s="103">
        <v>19.591999999999999</v>
      </c>
      <c r="K35" s="103">
        <v>19.539000000000001</v>
      </c>
      <c r="L35" s="103">
        <v>19.486000000000001</v>
      </c>
      <c r="M35" s="103">
        <v>19.433</v>
      </c>
    </row>
    <row r="36" spans="1:13" x14ac:dyDescent="0.25">
      <c r="A36" s="98">
        <v>64</v>
      </c>
      <c r="B36" s="103">
        <v>19.38</v>
      </c>
      <c r="C36" s="103">
        <v>19.327000000000002</v>
      </c>
      <c r="D36" s="103">
        <v>19.274000000000001</v>
      </c>
      <c r="E36" s="103">
        <v>19.221</v>
      </c>
      <c r="F36" s="103">
        <v>19.167000000000002</v>
      </c>
      <c r="G36" s="103">
        <v>19.114000000000001</v>
      </c>
      <c r="H36" s="103">
        <v>19.061</v>
      </c>
      <c r="I36" s="103">
        <v>19.007999999999999</v>
      </c>
      <c r="J36" s="103">
        <v>18.954999999999998</v>
      </c>
      <c r="K36" s="103">
        <v>18.901</v>
      </c>
      <c r="L36" s="103">
        <v>18.847999999999999</v>
      </c>
      <c r="M36" s="103">
        <v>18.795000000000002</v>
      </c>
    </row>
    <row r="37" spans="1:13" x14ac:dyDescent="0.25">
      <c r="A37" s="98">
        <v>65</v>
      </c>
      <c r="B37" s="103">
        <v>18.741</v>
      </c>
      <c r="C37" s="103">
        <v>18.687999999999999</v>
      </c>
      <c r="D37" s="103">
        <v>18.634</v>
      </c>
      <c r="E37" s="103">
        <v>18.581</v>
      </c>
      <c r="F37" s="103">
        <v>18.527000000000001</v>
      </c>
      <c r="G37" s="103">
        <v>18.474</v>
      </c>
      <c r="H37" s="103">
        <v>18.420000000000002</v>
      </c>
      <c r="I37" s="103">
        <v>18.366</v>
      </c>
      <c r="J37" s="103">
        <v>18.312999999999999</v>
      </c>
      <c r="K37" s="103">
        <v>18.259</v>
      </c>
      <c r="L37" s="103">
        <v>18.206</v>
      </c>
      <c r="M37" s="103">
        <v>18.152000000000001</v>
      </c>
    </row>
    <row r="38" spans="1:13" x14ac:dyDescent="0.25">
      <c r="A38" s="98">
        <v>66</v>
      </c>
      <c r="B38" s="103">
        <v>18.097999999999999</v>
      </c>
      <c r="C38" s="103">
        <v>18.045000000000002</v>
      </c>
      <c r="D38" s="103">
        <v>17.991</v>
      </c>
      <c r="E38" s="103">
        <v>17.937000000000001</v>
      </c>
      <c r="F38" s="103">
        <v>17.882999999999999</v>
      </c>
      <c r="G38" s="103">
        <v>17.829000000000001</v>
      </c>
      <c r="H38" s="103">
        <v>17.774999999999999</v>
      </c>
      <c r="I38" s="103">
        <v>17.721</v>
      </c>
      <c r="J38" s="103">
        <v>17.667000000000002</v>
      </c>
      <c r="K38" s="103">
        <v>17.613</v>
      </c>
      <c r="L38" s="103">
        <v>17.559000000000001</v>
      </c>
      <c r="M38" s="103">
        <v>17.504999999999999</v>
      </c>
    </row>
    <row r="39" spans="1:13" x14ac:dyDescent="0.25">
      <c r="A39" s="98">
        <v>67</v>
      </c>
      <c r="B39" s="103">
        <v>17.451000000000001</v>
      </c>
      <c r="C39" s="103">
        <v>17.396999999999998</v>
      </c>
      <c r="D39" s="103">
        <v>17.343</v>
      </c>
      <c r="E39" s="103">
        <v>17.289000000000001</v>
      </c>
      <c r="F39" s="103">
        <v>17.234999999999999</v>
      </c>
      <c r="G39" s="103">
        <v>17.18</v>
      </c>
      <c r="H39" s="103">
        <v>17.126000000000001</v>
      </c>
      <c r="I39" s="103">
        <v>17.071999999999999</v>
      </c>
      <c r="J39" s="103">
        <v>17.018000000000001</v>
      </c>
      <c r="K39" s="103">
        <v>16.963999999999999</v>
      </c>
      <c r="L39" s="103">
        <v>16.91</v>
      </c>
      <c r="M39" s="103">
        <v>16.855</v>
      </c>
    </row>
    <row r="40" spans="1:13" x14ac:dyDescent="0.25">
      <c r="A40" s="98">
        <v>68</v>
      </c>
      <c r="B40" s="103">
        <v>16.827999999999999</v>
      </c>
      <c r="C40" s="103"/>
      <c r="D40" s="103"/>
      <c r="E40" s="103"/>
      <c r="F40" s="103"/>
      <c r="G40" s="103"/>
      <c r="H40" s="103"/>
      <c r="I40" s="103"/>
      <c r="J40" s="103"/>
      <c r="K40" s="103"/>
      <c r="L40" s="103"/>
      <c r="M40" s="103"/>
    </row>
    <row r="44" spans="1:13" ht="39.65" customHeight="1" x14ac:dyDescent="0.25"/>
    <row r="46" spans="1:13" ht="27.65" customHeight="1" x14ac:dyDescent="0.25"/>
  </sheetData>
  <sheetProtection algorithmName="SHA-512" hashValue="vJb4M6IqLp0cK34ICToSJQ/NPMSVogyXI3vU8g3h4j5AibWpCVPnV5baz78yQM14iEp49OaGWHALDsabgCgJ+g==" saltValue="R1eUGTF9Q8d+AltpKF7N0g==" spinCount="100000" sheet="1" objects="1" scenarios="1"/>
  <conditionalFormatting sqref="A6:A21">
    <cfRule type="expression" dxfId="147" priority="11" stopIfTrue="1">
      <formula>MOD(ROW(),2)=0</formula>
    </cfRule>
    <cfRule type="expression" dxfId="146" priority="12" stopIfTrue="1">
      <formula>MOD(ROW(),2)&lt;&gt;0</formula>
    </cfRule>
  </conditionalFormatting>
  <conditionalFormatting sqref="A26:A40">
    <cfRule type="expression" dxfId="145" priority="3" stopIfTrue="1">
      <formula>MOD(ROW(),2)=0</formula>
    </cfRule>
    <cfRule type="expression" dxfId="144" priority="4" stopIfTrue="1">
      <formula>MOD(ROW(),2)&lt;&gt;0</formula>
    </cfRule>
  </conditionalFormatting>
  <conditionalFormatting sqref="B17:B21">
    <cfRule type="expression" dxfId="143" priority="1" stopIfTrue="1">
      <formula>MOD(ROW(),2)=0</formula>
    </cfRule>
    <cfRule type="expression" dxfId="142" priority="2" stopIfTrue="1">
      <formula>MOD(ROW(),2)&lt;&gt;0</formula>
    </cfRule>
  </conditionalFormatting>
  <conditionalFormatting sqref="B6:M21">
    <cfRule type="expression" dxfId="141" priority="19" stopIfTrue="1">
      <formula>MOD(ROW(),2)=0</formula>
    </cfRule>
    <cfRule type="expression" dxfId="140" priority="20" stopIfTrue="1">
      <formula>MOD(ROW(),2)&lt;&gt;0</formula>
    </cfRule>
  </conditionalFormatting>
  <conditionalFormatting sqref="B26:M40">
    <cfRule type="expression" dxfId="139" priority="5" stopIfTrue="1">
      <formula>MOD(ROW(),2)=0</formula>
    </cfRule>
    <cfRule type="expression" dxfId="138" priority="6" stopIfTrue="1">
      <formula>MOD(ROW(),2)&lt;&gt;0</formula>
    </cfRule>
  </conditionalFormatting>
  <hyperlinks>
    <hyperlink ref="B24" location="Assumptions!A1" display="Assumptions" xr:uid="{1271F65C-DA23-4BD4-AF80-9539BEEED2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5"/>
  <dimension ref="A1:I52"/>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Final Pay - x-814</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74</v>
      </c>
    </row>
    <row r="9" spans="1:9" x14ac:dyDescent="0.25">
      <c r="A9" s="77" t="s">
        <v>280</v>
      </c>
      <c r="B9" s="161" t="s">
        <v>650</v>
      </c>
    </row>
    <row r="10" spans="1:9" x14ac:dyDescent="0.25">
      <c r="A10" s="77" t="s">
        <v>6</v>
      </c>
      <c r="B10" s="161" t="s">
        <v>651</v>
      </c>
    </row>
    <row r="11" spans="1:9" x14ac:dyDescent="0.25">
      <c r="A11" s="77" t="s">
        <v>283</v>
      </c>
      <c r="B11" s="161" t="s">
        <v>355</v>
      </c>
    </row>
    <row r="12" spans="1:9" x14ac:dyDescent="0.25">
      <c r="A12" s="77" t="s">
        <v>285</v>
      </c>
      <c r="B12" s="161" t="s">
        <v>371</v>
      </c>
    </row>
    <row r="13" spans="1:9" x14ac:dyDescent="0.25">
      <c r="A13" s="77" t="s">
        <v>287</v>
      </c>
      <c r="B13" s="161">
        <v>1</v>
      </c>
    </row>
    <row r="14" spans="1:9" x14ac:dyDescent="0.25">
      <c r="A14" s="77" t="s">
        <v>289</v>
      </c>
      <c r="B14" s="161">
        <v>814</v>
      </c>
    </row>
    <row r="15" spans="1:9" x14ac:dyDescent="0.25">
      <c r="A15" s="77" t="s">
        <v>291</v>
      </c>
      <c r="B15" s="161" t="s">
        <v>652</v>
      </c>
    </row>
    <row r="16" spans="1:9" x14ac:dyDescent="0.25">
      <c r="A16" s="77" t="s">
        <v>293</v>
      </c>
      <c r="B16" s="161" t="s">
        <v>653</v>
      </c>
    </row>
    <row r="17" spans="1:2" x14ac:dyDescent="0.25">
      <c r="A17" s="74" t="s">
        <v>760</v>
      </c>
      <c r="B17" s="161"/>
    </row>
    <row r="18" spans="1:2" x14ac:dyDescent="0.25">
      <c r="A18" s="77" t="s">
        <v>297</v>
      </c>
      <c r="B18" s="163">
        <v>45138</v>
      </c>
    </row>
    <row r="19" spans="1:2" x14ac:dyDescent="0.25">
      <c r="A19" s="77" t="s">
        <v>299</v>
      </c>
      <c r="B19" s="163">
        <v>45138</v>
      </c>
    </row>
    <row r="20" spans="1:2" x14ac:dyDescent="0.25">
      <c r="A20" s="77" t="s">
        <v>301</v>
      </c>
      <c r="B20" s="161" t="s">
        <v>314</v>
      </c>
    </row>
    <row r="21" spans="1:2" x14ac:dyDescent="0.25">
      <c r="A21" s="77" t="s">
        <v>307</v>
      </c>
      <c r="B21" s="161" t="s">
        <v>315</v>
      </c>
    </row>
    <row r="23" spans="1:2" x14ac:dyDescent="0.25">
      <c r="B23" s="100" t="str">
        <f>HYPERLINK("#'Factor List'!A1","Back to Factor List")</f>
        <v>Back to Factor List</v>
      </c>
    </row>
    <row r="24" spans="1:2" x14ac:dyDescent="0.25">
      <c r="B24" s="100" t="s">
        <v>13</v>
      </c>
    </row>
    <row r="26" spans="1:2" ht="13" x14ac:dyDescent="0.25">
      <c r="A26" s="97" t="s">
        <v>417</v>
      </c>
      <c r="B26" s="97" t="s">
        <v>839</v>
      </c>
    </row>
    <row r="27" spans="1:2" x14ac:dyDescent="0.25">
      <c r="A27" s="98">
        <v>50</v>
      </c>
      <c r="B27" s="99">
        <v>28.27</v>
      </c>
    </row>
    <row r="28" spans="1:2" x14ac:dyDescent="0.25">
      <c r="A28" s="98">
        <v>51</v>
      </c>
      <c r="B28" s="99">
        <v>27.73</v>
      </c>
    </row>
    <row r="29" spans="1:2" x14ac:dyDescent="0.25">
      <c r="A29" s="98">
        <v>52</v>
      </c>
      <c r="B29" s="99">
        <v>27.18</v>
      </c>
    </row>
    <row r="30" spans="1:2" x14ac:dyDescent="0.25">
      <c r="A30" s="98">
        <v>53</v>
      </c>
      <c r="B30" s="99">
        <v>26.62</v>
      </c>
    </row>
    <row r="31" spans="1:2" x14ac:dyDescent="0.25">
      <c r="A31" s="98">
        <v>54</v>
      </c>
      <c r="B31" s="99">
        <v>26.05</v>
      </c>
    </row>
    <row r="32" spans="1:2" x14ac:dyDescent="0.25">
      <c r="A32" s="98">
        <v>55</v>
      </c>
      <c r="B32" s="99">
        <v>25.47</v>
      </c>
    </row>
    <row r="33" spans="1:2" x14ac:dyDescent="0.25">
      <c r="A33" s="98">
        <v>56</v>
      </c>
      <c r="B33" s="99">
        <v>24.89</v>
      </c>
    </row>
    <row r="34" spans="1:2" x14ac:dyDescent="0.25">
      <c r="A34" s="98">
        <v>57</v>
      </c>
      <c r="B34" s="99">
        <v>24.3</v>
      </c>
    </row>
    <row r="35" spans="1:2" x14ac:dyDescent="0.25">
      <c r="A35" s="98">
        <v>58</v>
      </c>
      <c r="B35" s="99">
        <v>23.7</v>
      </c>
    </row>
    <row r="36" spans="1:2" x14ac:dyDescent="0.25">
      <c r="A36" s="98">
        <v>59</v>
      </c>
      <c r="B36" s="99">
        <v>23.1</v>
      </c>
    </row>
    <row r="37" spans="1:2" x14ac:dyDescent="0.25">
      <c r="A37" s="98">
        <v>60</v>
      </c>
      <c r="B37" s="99">
        <v>22.48</v>
      </c>
    </row>
    <row r="38" spans="1:2" x14ac:dyDescent="0.25">
      <c r="A38" s="98">
        <v>61</v>
      </c>
      <c r="B38" s="99">
        <v>21.86</v>
      </c>
    </row>
    <row r="39" spans="1:2" x14ac:dyDescent="0.25">
      <c r="A39" s="98">
        <v>62</v>
      </c>
      <c r="B39" s="99">
        <v>21.24</v>
      </c>
    </row>
    <row r="40" spans="1:2" x14ac:dyDescent="0.25">
      <c r="A40" s="98">
        <v>63</v>
      </c>
      <c r="B40" s="99">
        <v>20.61</v>
      </c>
    </row>
    <row r="41" spans="1:2" x14ac:dyDescent="0.25">
      <c r="A41" s="98">
        <v>64</v>
      </c>
      <c r="B41" s="99">
        <v>19.97</v>
      </c>
    </row>
    <row r="42" spans="1:2" x14ac:dyDescent="0.25">
      <c r="A42" s="98">
        <v>65</v>
      </c>
      <c r="B42" s="99">
        <v>19.329999999999998</v>
      </c>
    </row>
    <row r="43" spans="1:2" x14ac:dyDescent="0.25">
      <c r="A43" s="98">
        <v>66</v>
      </c>
      <c r="B43" s="99">
        <v>18.68</v>
      </c>
    </row>
    <row r="44" spans="1:2" x14ac:dyDescent="0.25">
      <c r="A44" s="98">
        <v>67</v>
      </c>
      <c r="B44" s="99">
        <v>18.03</v>
      </c>
    </row>
    <row r="45" spans="1:2" x14ac:dyDescent="0.25">
      <c r="A45" s="98">
        <v>68</v>
      </c>
      <c r="B45" s="99">
        <v>17.38</v>
      </c>
    </row>
    <row r="46" spans="1:2" x14ac:dyDescent="0.25">
      <c r="A46" s="98">
        <v>69</v>
      </c>
      <c r="B46" s="99">
        <v>16.690000000000001</v>
      </c>
    </row>
    <row r="47" spans="1:2" x14ac:dyDescent="0.25">
      <c r="A47" s="98">
        <v>70</v>
      </c>
      <c r="B47" s="99">
        <v>16</v>
      </c>
    </row>
    <row r="48" spans="1:2" x14ac:dyDescent="0.25">
      <c r="A48" s="98">
        <v>71</v>
      </c>
      <c r="B48" s="99">
        <v>15.34</v>
      </c>
    </row>
    <row r="49" spans="1:2" x14ac:dyDescent="0.25">
      <c r="A49" s="98">
        <v>72</v>
      </c>
      <c r="B49" s="99">
        <v>14.68</v>
      </c>
    </row>
    <row r="50" spans="1:2" x14ac:dyDescent="0.25">
      <c r="A50" s="98">
        <v>73</v>
      </c>
      <c r="B50" s="99">
        <v>14.02</v>
      </c>
    </row>
    <row r="51" spans="1:2" x14ac:dyDescent="0.25">
      <c r="A51" s="98">
        <v>74</v>
      </c>
      <c r="B51" s="99">
        <v>13.31</v>
      </c>
    </row>
    <row r="52" spans="1:2" x14ac:dyDescent="0.25">
      <c r="A52" s="98">
        <v>75</v>
      </c>
      <c r="B52" s="99">
        <v>12.6</v>
      </c>
    </row>
  </sheetData>
  <sheetProtection algorithmName="SHA-512" hashValue="S87mTMB0Yft6tMrrhhyRoTYdcItrczTIlSXXYqYC7v9dd+/8Xv75IfJVPwuCczdxROFxnVvXGqB8E969iiQt3w==" saltValue="2sNsvr1RaEnZwC9IlLM2lA==" spinCount="100000" sheet="1" objects="1" scenarios="1"/>
  <conditionalFormatting sqref="A6:A21">
    <cfRule type="expression" dxfId="137" priority="11" stopIfTrue="1">
      <formula>MOD(ROW(),2)=0</formula>
    </cfRule>
    <cfRule type="expression" dxfId="136" priority="12" stopIfTrue="1">
      <formula>MOD(ROW(),2)&lt;&gt;0</formula>
    </cfRule>
  </conditionalFormatting>
  <conditionalFormatting sqref="A26:A52">
    <cfRule type="expression" dxfId="135" priority="3" stopIfTrue="1">
      <formula>MOD(ROW(),2)=0</formula>
    </cfRule>
    <cfRule type="expression" dxfId="134" priority="4" stopIfTrue="1">
      <formula>MOD(ROW(),2)&lt;&gt;0</formula>
    </cfRule>
  </conditionalFormatting>
  <conditionalFormatting sqref="B6:B21">
    <cfRule type="expression" dxfId="133" priority="19" stopIfTrue="1">
      <formula>MOD(ROW(),2)=0</formula>
    </cfRule>
    <cfRule type="expression" dxfId="132" priority="20" stopIfTrue="1">
      <formula>MOD(ROW(),2)&lt;&gt;0</formula>
    </cfRule>
  </conditionalFormatting>
  <conditionalFormatting sqref="B17:B21">
    <cfRule type="expression" dxfId="131" priority="1" stopIfTrue="1">
      <formula>MOD(ROW(),2)=0</formula>
    </cfRule>
    <cfRule type="expression" dxfId="130" priority="2" stopIfTrue="1">
      <formula>MOD(ROW(),2)&lt;&gt;0</formula>
    </cfRule>
  </conditionalFormatting>
  <conditionalFormatting sqref="B26:B52">
    <cfRule type="expression" dxfId="129" priority="5" stopIfTrue="1">
      <formula>MOD(ROW(),2)=0</formula>
    </cfRule>
    <cfRule type="expression" dxfId="128" priority="6" stopIfTrue="1">
      <formula>MOD(ROW(),2)&lt;&gt;0</formula>
    </cfRule>
  </conditionalFormatting>
  <hyperlinks>
    <hyperlink ref="B24" location="Assumptions!A1" display="Assumptions" xr:uid="{DC00269B-EFCA-46C2-8EBC-3B457C259A1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6"/>
  <dimension ref="A1:I60"/>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Final Pay - x-815</v>
      </c>
      <c r="B3" s="40"/>
      <c r="C3" s="40"/>
      <c r="D3" s="40"/>
      <c r="E3" s="40"/>
      <c r="F3" s="40"/>
      <c r="G3" s="40"/>
      <c r="H3" s="40"/>
      <c r="I3" s="40"/>
    </row>
    <row r="4" spans="1:9" x14ac:dyDescent="0.25">
      <c r="A4" s="42"/>
    </row>
    <row r="6" spans="1:9" ht="13" x14ac:dyDescent="0.3">
      <c r="A6" s="75" t="s">
        <v>274</v>
      </c>
      <c r="B6" s="161" t="s">
        <v>275</v>
      </c>
      <c r="C6" s="161"/>
    </row>
    <row r="7" spans="1:9" x14ac:dyDescent="0.25">
      <c r="A7" s="77" t="s">
        <v>276</v>
      </c>
      <c r="B7" s="161" t="s">
        <v>72</v>
      </c>
      <c r="C7" s="161"/>
    </row>
    <row r="8" spans="1:9" x14ac:dyDescent="0.25">
      <c r="A8" s="77" t="s">
        <v>278</v>
      </c>
      <c r="B8" s="161" t="s">
        <v>74</v>
      </c>
      <c r="C8" s="161"/>
    </row>
    <row r="9" spans="1:9" x14ac:dyDescent="0.25">
      <c r="A9" s="77" t="s">
        <v>280</v>
      </c>
      <c r="B9" s="161" t="s">
        <v>650</v>
      </c>
      <c r="C9" s="161"/>
    </row>
    <row r="10" spans="1:9" x14ac:dyDescent="0.25">
      <c r="A10" s="77" t="s">
        <v>6</v>
      </c>
      <c r="B10" s="161" t="s">
        <v>654</v>
      </c>
      <c r="C10" s="161"/>
    </row>
    <row r="11" spans="1:9" x14ac:dyDescent="0.25">
      <c r="A11" s="77" t="s">
        <v>283</v>
      </c>
      <c r="B11" s="161" t="s">
        <v>355</v>
      </c>
      <c r="C11" s="161"/>
    </row>
    <row r="12" spans="1:9" x14ac:dyDescent="0.25">
      <c r="A12" s="77" t="s">
        <v>285</v>
      </c>
      <c r="B12" s="161" t="s">
        <v>371</v>
      </c>
      <c r="C12" s="161"/>
    </row>
    <row r="13" spans="1:9" x14ac:dyDescent="0.25">
      <c r="A13" s="77" t="s">
        <v>287</v>
      </c>
      <c r="B13" s="161">
        <v>1</v>
      </c>
      <c r="C13" s="161"/>
    </row>
    <row r="14" spans="1:9" x14ac:dyDescent="0.25">
      <c r="A14" s="77" t="s">
        <v>289</v>
      </c>
      <c r="B14" s="161">
        <v>815</v>
      </c>
      <c r="C14" s="161"/>
    </row>
    <row r="15" spans="1:9" x14ac:dyDescent="0.25">
      <c r="A15" s="77" t="s">
        <v>291</v>
      </c>
      <c r="B15" s="161" t="s">
        <v>655</v>
      </c>
      <c r="C15" s="161"/>
    </row>
    <row r="16" spans="1:9" x14ac:dyDescent="0.25">
      <c r="A16" s="77" t="s">
        <v>293</v>
      </c>
      <c r="B16" s="161" t="s">
        <v>656</v>
      </c>
      <c r="C16" s="161"/>
    </row>
    <row r="17" spans="1:3" x14ac:dyDescent="0.25">
      <c r="A17" s="74" t="s">
        <v>760</v>
      </c>
      <c r="B17" s="161"/>
      <c r="C17" s="161"/>
    </row>
    <row r="18" spans="1:3" x14ac:dyDescent="0.25">
      <c r="A18" s="77" t="s">
        <v>297</v>
      </c>
      <c r="B18" s="163">
        <v>45138</v>
      </c>
      <c r="C18" s="161"/>
    </row>
    <row r="19" spans="1:3" x14ac:dyDescent="0.25">
      <c r="A19" s="77" t="s">
        <v>299</v>
      </c>
      <c r="B19" s="163">
        <v>45138</v>
      </c>
      <c r="C19" s="161"/>
    </row>
    <row r="20" spans="1:3" x14ac:dyDescent="0.25">
      <c r="A20" s="77" t="s">
        <v>301</v>
      </c>
      <c r="B20" s="161" t="s">
        <v>314</v>
      </c>
      <c r="C20" s="161"/>
    </row>
    <row r="21" spans="1:3" x14ac:dyDescent="0.25">
      <c r="A21" s="77" t="s">
        <v>307</v>
      </c>
      <c r="B21" s="161" t="s">
        <v>315</v>
      </c>
      <c r="C21" s="161"/>
    </row>
    <row r="23" spans="1:3" x14ac:dyDescent="0.25">
      <c r="B23" s="100" t="str">
        <f>HYPERLINK("#'Factor List'!A1","Back to Factor List")</f>
        <v>Back to Factor List</v>
      </c>
    </row>
    <row r="24" spans="1:3" x14ac:dyDescent="0.25">
      <c r="B24" s="100" t="s">
        <v>13</v>
      </c>
    </row>
    <row r="26" spans="1:3" ht="13" x14ac:dyDescent="0.25">
      <c r="A26" s="97" t="s">
        <v>417</v>
      </c>
      <c r="B26" s="97" t="s">
        <v>839</v>
      </c>
      <c r="C26" s="97" t="s">
        <v>840</v>
      </c>
    </row>
    <row r="27" spans="1:3" x14ac:dyDescent="0.25">
      <c r="A27" s="98">
        <v>26</v>
      </c>
      <c r="B27" s="99">
        <v>13.7</v>
      </c>
      <c r="C27" s="99">
        <v>0.56999999999999995</v>
      </c>
    </row>
    <row r="28" spans="1:3" x14ac:dyDescent="0.25">
      <c r="A28" s="98">
        <v>27</v>
      </c>
      <c r="B28" s="99">
        <v>13.9</v>
      </c>
      <c r="C28" s="99">
        <v>0.57999999999999996</v>
      </c>
    </row>
    <row r="29" spans="1:3" x14ac:dyDescent="0.25">
      <c r="A29" s="98">
        <v>28</v>
      </c>
      <c r="B29" s="99">
        <v>14.11</v>
      </c>
      <c r="C29" s="99">
        <v>0.59</v>
      </c>
    </row>
    <row r="30" spans="1:3" x14ac:dyDescent="0.25">
      <c r="A30" s="98">
        <v>29</v>
      </c>
      <c r="B30" s="99">
        <v>14.32</v>
      </c>
      <c r="C30" s="99">
        <v>0.6</v>
      </c>
    </row>
    <row r="31" spans="1:3" x14ac:dyDescent="0.25">
      <c r="A31" s="98">
        <v>30</v>
      </c>
      <c r="B31" s="99">
        <v>14.53</v>
      </c>
      <c r="C31" s="99">
        <v>0.61</v>
      </c>
    </row>
    <row r="32" spans="1:3" x14ac:dyDescent="0.25">
      <c r="A32" s="98">
        <v>31</v>
      </c>
      <c r="B32" s="99">
        <v>14.75</v>
      </c>
      <c r="C32" s="99">
        <v>0.62</v>
      </c>
    </row>
    <row r="33" spans="1:3" x14ac:dyDescent="0.25">
      <c r="A33" s="98">
        <v>32</v>
      </c>
      <c r="B33" s="99">
        <v>14.97</v>
      </c>
      <c r="C33" s="99">
        <v>0.63</v>
      </c>
    </row>
    <row r="34" spans="1:3" x14ac:dyDescent="0.25">
      <c r="A34" s="98">
        <v>33</v>
      </c>
      <c r="B34" s="99">
        <v>15.19</v>
      </c>
      <c r="C34" s="99">
        <v>0.64</v>
      </c>
    </row>
    <row r="35" spans="1:3" x14ac:dyDescent="0.25">
      <c r="A35" s="98">
        <v>34</v>
      </c>
      <c r="B35" s="99">
        <v>15.42</v>
      </c>
      <c r="C35" s="99">
        <v>0.65</v>
      </c>
    </row>
    <row r="36" spans="1:3" x14ac:dyDescent="0.25">
      <c r="A36" s="98">
        <v>35</v>
      </c>
      <c r="B36" s="99">
        <v>15.65</v>
      </c>
      <c r="C36" s="99">
        <v>0.66</v>
      </c>
    </row>
    <row r="37" spans="1:3" x14ac:dyDescent="0.25">
      <c r="A37" s="98">
        <v>36</v>
      </c>
      <c r="B37" s="99">
        <v>15.89</v>
      </c>
      <c r="C37" s="99">
        <v>0.67</v>
      </c>
    </row>
    <row r="38" spans="1:3" x14ac:dyDescent="0.25">
      <c r="A38" s="98">
        <v>37</v>
      </c>
      <c r="B38" s="99">
        <v>16.12</v>
      </c>
      <c r="C38" s="99">
        <v>0.68</v>
      </c>
    </row>
    <row r="39" spans="1:3" x14ac:dyDescent="0.25">
      <c r="A39" s="98">
        <v>38</v>
      </c>
      <c r="B39" s="99">
        <v>16.36</v>
      </c>
      <c r="C39" s="99">
        <v>0.7</v>
      </c>
    </row>
    <row r="40" spans="1:3" x14ac:dyDescent="0.25">
      <c r="A40" s="98">
        <v>39</v>
      </c>
      <c r="B40" s="99">
        <v>16.61</v>
      </c>
      <c r="C40" s="99">
        <v>0.71</v>
      </c>
    </row>
    <row r="41" spans="1:3" x14ac:dyDescent="0.25">
      <c r="A41" s="98">
        <v>40</v>
      </c>
      <c r="B41" s="99">
        <v>16.86</v>
      </c>
      <c r="C41" s="99">
        <v>0.72</v>
      </c>
    </row>
    <row r="42" spans="1:3" x14ac:dyDescent="0.25">
      <c r="A42" s="98">
        <v>41</v>
      </c>
      <c r="B42" s="99">
        <v>17.11</v>
      </c>
      <c r="C42" s="99">
        <v>0.73</v>
      </c>
    </row>
    <row r="43" spans="1:3" x14ac:dyDescent="0.25">
      <c r="A43" s="98">
        <v>42</v>
      </c>
      <c r="B43" s="99">
        <v>17.37</v>
      </c>
      <c r="C43" s="99">
        <v>0.74</v>
      </c>
    </row>
    <row r="44" spans="1:3" x14ac:dyDescent="0.25">
      <c r="A44" s="98">
        <v>43</v>
      </c>
      <c r="B44" s="99">
        <v>17.63</v>
      </c>
      <c r="C44" s="99">
        <v>0.76</v>
      </c>
    </row>
    <row r="45" spans="1:3" x14ac:dyDescent="0.25">
      <c r="A45" s="98">
        <v>44</v>
      </c>
      <c r="B45" s="99">
        <v>17.899999999999999</v>
      </c>
      <c r="C45" s="99">
        <v>0.77</v>
      </c>
    </row>
    <row r="46" spans="1:3" x14ac:dyDescent="0.25">
      <c r="A46" s="98">
        <v>45</v>
      </c>
      <c r="B46" s="99">
        <v>18.170000000000002</v>
      </c>
      <c r="C46" s="99">
        <v>0.78</v>
      </c>
    </row>
    <row r="47" spans="1:3" x14ac:dyDescent="0.25">
      <c r="A47" s="98">
        <v>46</v>
      </c>
      <c r="B47" s="99">
        <v>18.440000000000001</v>
      </c>
      <c r="C47" s="99">
        <v>0.8</v>
      </c>
    </row>
    <row r="48" spans="1:3" x14ac:dyDescent="0.25">
      <c r="A48" s="98">
        <v>47</v>
      </c>
      <c r="B48" s="99">
        <v>18.72</v>
      </c>
      <c r="C48" s="99">
        <v>0.81</v>
      </c>
    </row>
    <row r="49" spans="1:3" x14ac:dyDescent="0.25">
      <c r="A49" s="98">
        <v>48</v>
      </c>
      <c r="B49" s="99">
        <v>19.010000000000002</v>
      </c>
      <c r="C49" s="99">
        <v>0.82</v>
      </c>
    </row>
    <row r="50" spans="1:3" x14ac:dyDescent="0.25">
      <c r="A50" s="98">
        <v>49</v>
      </c>
      <c r="B50" s="99">
        <v>19.3</v>
      </c>
      <c r="C50" s="99">
        <v>0.84</v>
      </c>
    </row>
    <row r="51" spans="1:3" x14ac:dyDescent="0.25">
      <c r="A51" s="98">
        <v>50</v>
      </c>
      <c r="B51" s="99">
        <v>19.600000000000001</v>
      </c>
      <c r="C51" s="99">
        <v>0.85</v>
      </c>
    </row>
    <row r="52" spans="1:3" x14ac:dyDescent="0.25">
      <c r="A52" s="98">
        <v>51</v>
      </c>
      <c r="B52" s="99">
        <v>19.899999999999999</v>
      </c>
      <c r="C52" s="99">
        <v>0.87</v>
      </c>
    </row>
    <row r="53" spans="1:3" x14ac:dyDescent="0.25">
      <c r="A53" s="98">
        <v>52</v>
      </c>
      <c r="B53" s="99">
        <v>20.21</v>
      </c>
      <c r="C53" s="99">
        <v>0.88</v>
      </c>
    </row>
    <row r="54" spans="1:3" x14ac:dyDescent="0.25">
      <c r="A54" s="98">
        <v>53</v>
      </c>
      <c r="B54" s="99">
        <v>20.53</v>
      </c>
      <c r="C54" s="99">
        <v>0.9</v>
      </c>
    </row>
    <row r="55" spans="1:3" x14ac:dyDescent="0.25">
      <c r="A55" s="98">
        <v>54</v>
      </c>
      <c r="B55" s="99">
        <v>20.85</v>
      </c>
      <c r="C55" s="99">
        <v>0.91</v>
      </c>
    </row>
    <row r="56" spans="1:3" x14ac:dyDescent="0.25">
      <c r="A56" s="98">
        <v>55</v>
      </c>
      <c r="B56" s="99">
        <v>21.18</v>
      </c>
      <c r="C56" s="99">
        <v>0.93</v>
      </c>
    </row>
    <row r="57" spans="1:3" x14ac:dyDescent="0.25">
      <c r="A57" s="98">
        <v>56</v>
      </c>
      <c r="B57" s="99">
        <v>21.52</v>
      </c>
      <c r="C57" s="99">
        <v>0.94</v>
      </c>
    </row>
    <row r="58" spans="1:3" x14ac:dyDescent="0.25">
      <c r="A58" s="98">
        <v>57</v>
      </c>
      <c r="B58" s="99">
        <v>21.87</v>
      </c>
      <c r="C58" s="99">
        <v>0.96</v>
      </c>
    </row>
    <row r="59" spans="1:3" x14ac:dyDescent="0.25">
      <c r="A59" s="98">
        <v>58</v>
      </c>
      <c r="B59" s="99">
        <v>22.23</v>
      </c>
      <c r="C59" s="99">
        <v>0.98</v>
      </c>
    </row>
    <row r="60" spans="1:3" x14ac:dyDescent="0.25">
      <c r="A60" s="98">
        <v>59</v>
      </c>
      <c r="B60" s="99">
        <v>22.6</v>
      </c>
      <c r="C60" s="99">
        <v>0.99</v>
      </c>
    </row>
  </sheetData>
  <sheetProtection algorithmName="SHA-512" hashValue="xnwMj/REuMDeSI91JUJrXpyVCC12+SzxKyTcuef4LxhS7uVlcPkDwo/s8xZ4hPk6Gx/NqZnmYCrMpASMl6PBMA==" saltValue="FcjF/Gn+n9qequmb9UCRsw==" spinCount="100000" sheet="1" objects="1" scenarios="1"/>
  <conditionalFormatting sqref="A6:A21">
    <cfRule type="expression" dxfId="127" priority="11" stopIfTrue="1">
      <formula>MOD(ROW(),2)=0</formula>
    </cfRule>
    <cfRule type="expression" dxfId="126" priority="12" stopIfTrue="1">
      <formula>MOD(ROW(),2)&lt;&gt;0</formula>
    </cfRule>
  </conditionalFormatting>
  <conditionalFormatting sqref="A26:A60">
    <cfRule type="expression" dxfId="125" priority="3" stopIfTrue="1">
      <formula>MOD(ROW(),2)=0</formula>
    </cfRule>
    <cfRule type="expression" dxfId="124" priority="4" stopIfTrue="1">
      <formula>MOD(ROW(),2)&lt;&gt;0</formula>
    </cfRule>
  </conditionalFormatting>
  <conditionalFormatting sqref="B17:B21">
    <cfRule type="expression" dxfId="123" priority="1" stopIfTrue="1">
      <formula>MOD(ROW(),2)=0</formula>
    </cfRule>
    <cfRule type="expression" dxfId="122" priority="2" stopIfTrue="1">
      <formula>MOD(ROW(),2)&lt;&gt;0</formula>
    </cfRule>
  </conditionalFormatting>
  <conditionalFormatting sqref="B6:C21">
    <cfRule type="expression" dxfId="121" priority="19" stopIfTrue="1">
      <formula>MOD(ROW(),2)=0</formula>
    </cfRule>
    <cfRule type="expression" dxfId="120" priority="20" stopIfTrue="1">
      <formula>MOD(ROW(),2)&lt;&gt;0</formula>
    </cfRule>
  </conditionalFormatting>
  <conditionalFormatting sqref="B26:C60">
    <cfRule type="expression" dxfId="119" priority="5" stopIfTrue="1">
      <formula>MOD(ROW(),2)=0</formula>
    </cfRule>
    <cfRule type="expression" dxfId="118" priority="6" stopIfTrue="1">
      <formula>MOD(ROW(),2)&lt;&gt;0</formula>
    </cfRule>
  </conditionalFormatting>
  <hyperlinks>
    <hyperlink ref="B24" location="Assumptions!A1" display="Assumptions" xr:uid="{0A3506B6-7968-4F1C-B784-BC2D258E2FF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8"/>
  <dimension ref="A1:M67"/>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Abatement - x-817</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657</v>
      </c>
      <c r="C9" s="161"/>
      <c r="D9" s="161"/>
      <c r="E9" s="161"/>
      <c r="F9" s="161"/>
      <c r="G9" s="161"/>
      <c r="H9" s="161"/>
      <c r="I9" s="161"/>
      <c r="J9" s="161"/>
      <c r="K9" s="161"/>
      <c r="L9" s="161"/>
      <c r="M9" s="161"/>
    </row>
    <row r="10" spans="1:13" x14ac:dyDescent="0.25">
      <c r="A10" s="77" t="s">
        <v>6</v>
      </c>
      <c r="B10" s="161" t="s">
        <v>658</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659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817</v>
      </c>
      <c r="C14" s="161"/>
      <c r="D14" s="161"/>
      <c r="E14" s="161"/>
      <c r="F14" s="161"/>
      <c r="G14" s="161"/>
      <c r="H14" s="161"/>
      <c r="I14" s="161"/>
      <c r="J14" s="161"/>
      <c r="K14" s="161"/>
      <c r="L14" s="161"/>
      <c r="M14" s="161"/>
    </row>
    <row r="15" spans="1:13" x14ac:dyDescent="0.25">
      <c r="A15" s="77" t="s">
        <v>291</v>
      </c>
      <c r="B15" s="161" t="s">
        <v>660</v>
      </c>
      <c r="C15" s="161"/>
      <c r="D15" s="161"/>
      <c r="E15" s="161"/>
      <c r="F15" s="161"/>
      <c r="G15" s="161"/>
      <c r="H15" s="161"/>
      <c r="I15" s="161"/>
      <c r="J15" s="161"/>
      <c r="K15" s="161"/>
      <c r="L15" s="161"/>
      <c r="M15" s="161"/>
    </row>
    <row r="16" spans="1:13" x14ac:dyDescent="0.25">
      <c r="A16" s="77" t="s">
        <v>293</v>
      </c>
      <c r="B16" s="161" t="s">
        <v>661</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20</v>
      </c>
      <c r="B27" s="103">
        <v>0.29099999999999998</v>
      </c>
      <c r="C27" s="103">
        <v>0.29199999999999998</v>
      </c>
      <c r="D27" s="103">
        <v>0.29199999999999998</v>
      </c>
      <c r="E27" s="103">
        <v>0.29299999999999998</v>
      </c>
      <c r="F27" s="103">
        <v>0.29299999999999998</v>
      </c>
      <c r="G27" s="103">
        <v>0.29399999999999998</v>
      </c>
      <c r="H27" s="103">
        <v>0.29499999999999998</v>
      </c>
      <c r="I27" s="103">
        <v>0.29499999999999998</v>
      </c>
      <c r="J27" s="103">
        <v>0.29599999999999999</v>
      </c>
      <c r="K27" s="103">
        <v>0.29599999999999999</v>
      </c>
      <c r="L27" s="103">
        <v>0.29699999999999999</v>
      </c>
      <c r="M27" s="103">
        <v>0.29699999999999999</v>
      </c>
    </row>
    <row r="28" spans="1:13" x14ac:dyDescent="0.25">
      <c r="A28" s="98">
        <v>21</v>
      </c>
      <c r="B28" s="103">
        <v>0.29799999999999999</v>
      </c>
      <c r="C28" s="103">
        <v>0.29899999999999999</v>
      </c>
      <c r="D28" s="103">
        <v>0.29899999999999999</v>
      </c>
      <c r="E28" s="103">
        <v>0.3</v>
      </c>
      <c r="F28" s="103">
        <v>0.3</v>
      </c>
      <c r="G28" s="103">
        <v>0.30099999999999999</v>
      </c>
      <c r="H28" s="103">
        <v>0.30199999999999999</v>
      </c>
      <c r="I28" s="103">
        <v>0.30199999999999999</v>
      </c>
      <c r="J28" s="103">
        <v>0.30299999999999999</v>
      </c>
      <c r="K28" s="103">
        <v>0.30299999999999999</v>
      </c>
      <c r="L28" s="103">
        <v>0.30399999999999999</v>
      </c>
      <c r="M28" s="103">
        <v>0.30399999999999999</v>
      </c>
    </row>
    <row r="29" spans="1:13" x14ac:dyDescent="0.25">
      <c r="A29" s="98">
        <v>22</v>
      </c>
      <c r="B29" s="103">
        <v>0.30499999999999999</v>
      </c>
      <c r="C29" s="103">
        <v>0.30599999999999999</v>
      </c>
      <c r="D29" s="103">
        <v>0.30599999999999999</v>
      </c>
      <c r="E29" s="103">
        <v>0.307</v>
      </c>
      <c r="F29" s="103">
        <v>0.307</v>
      </c>
      <c r="G29" s="103">
        <v>0.308</v>
      </c>
      <c r="H29" s="103">
        <v>0.309</v>
      </c>
      <c r="I29" s="103">
        <v>0.309</v>
      </c>
      <c r="J29" s="103">
        <v>0.31</v>
      </c>
      <c r="K29" s="103">
        <v>0.31</v>
      </c>
      <c r="L29" s="103">
        <v>0.311</v>
      </c>
      <c r="M29" s="103">
        <v>0.312</v>
      </c>
    </row>
    <row r="30" spans="1:13" x14ac:dyDescent="0.25">
      <c r="A30" s="98">
        <v>23</v>
      </c>
      <c r="B30" s="103">
        <v>0.312</v>
      </c>
      <c r="C30" s="103">
        <v>0.313</v>
      </c>
      <c r="D30" s="103">
        <v>0.314</v>
      </c>
      <c r="E30" s="103">
        <v>0.314</v>
      </c>
      <c r="F30" s="103">
        <v>0.315</v>
      </c>
      <c r="G30" s="103">
        <v>0.315</v>
      </c>
      <c r="H30" s="103">
        <v>0.316</v>
      </c>
      <c r="I30" s="103">
        <v>0.317</v>
      </c>
      <c r="J30" s="103">
        <v>0.317</v>
      </c>
      <c r="K30" s="103">
        <v>0.318</v>
      </c>
      <c r="L30" s="103">
        <v>0.31900000000000001</v>
      </c>
      <c r="M30" s="103">
        <v>0.31900000000000001</v>
      </c>
    </row>
    <row r="31" spans="1:13" x14ac:dyDescent="0.25">
      <c r="A31" s="98">
        <v>24</v>
      </c>
      <c r="B31" s="103">
        <v>0.32</v>
      </c>
      <c r="C31" s="103">
        <v>0.32</v>
      </c>
      <c r="D31" s="103">
        <v>0.32100000000000001</v>
      </c>
      <c r="E31" s="103">
        <v>0.32200000000000001</v>
      </c>
      <c r="F31" s="103">
        <v>0.32200000000000001</v>
      </c>
      <c r="G31" s="103">
        <v>0.32300000000000001</v>
      </c>
      <c r="H31" s="103">
        <v>0.32400000000000001</v>
      </c>
      <c r="I31" s="103">
        <v>0.32400000000000001</v>
      </c>
      <c r="J31" s="103">
        <v>0.32500000000000001</v>
      </c>
      <c r="K31" s="103">
        <v>0.32600000000000001</v>
      </c>
      <c r="L31" s="103">
        <v>0.32600000000000001</v>
      </c>
      <c r="M31" s="103">
        <v>0.32700000000000001</v>
      </c>
    </row>
    <row r="32" spans="1:13" x14ac:dyDescent="0.25">
      <c r="A32" s="98">
        <v>25</v>
      </c>
      <c r="B32" s="103">
        <v>0.32800000000000001</v>
      </c>
      <c r="C32" s="103">
        <v>0.32800000000000001</v>
      </c>
      <c r="D32" s="103">
        <v>0.32900000000000001</v>
      </c>
      <c r="E32" s="103">
        <v>0.33</v>
      </c>
      <c r="F32" s="103">
        <v>0.33</v>
      </c>
      <c r="G32" s="103">
        <v>0.33100000000000002</v>
      </c>
      <c r="H32" s="103">
        <v>0.33200000000000002</v>
      </c>
      <c r="I32" s="103">
        <v>0.33200000000000002</v>
      </c>
      <c r="J32" s="103">
        <v>0.33300000000000002</v>
      </c>
      <c r="K32" s="103">
        <v>0.33400000000000002</v>
      </c>
      <c r="L32" s="103">
        <v>0.33400000000000002</v>
      </c>
      <c r="M32" s="103">
        <v>0.33500000000000002</v>
      </c>
    </row>
    <row r="33" spans="1:13" x14ac:dyDescent="0.25">
      <c r="A33" s="98">
        <v>26</v>
      </c>
      <c r="B33" s="103">
        <v>0.33600000000000002</v>
      </c>
      <c r="C33" s="103">
        <v>0.33600000000000002</v>
      </c>
      <c r="D33" s="103">
        <v>0.33700000000000002</v>
      </c>
      <c r="E33" s="103">
        <v>0.33800000000000002</v>
      </c>
      <c r="F33" s="103">
        <v>0.33800000000000002</v>
      </c>
      <c r="G33" s="103">
        <v>0.33900000000000002</v>
      </c>
      <c r="H33" s="103">
        <v>0.34</v>
      </c>
      <c r="I33" s="103">
        <v>0.34100000000000003</v>
      </c>
      <c r="J33" s="103">
        <v>0.34100000000000003</v>
      </c>
      <c r="K33" s="103">
        <v>0.34200000000000003</v>
      </c>
      <c r="L33" s="103">
        <v>0.34300000000000003</v>
      </c>
      <c r="M33" s="103">
        <v>0.34300000000000003</v>
      </c>
    </row>
    <row r="34" spans="1:13" x14ac:dyDescent="0.25">
      <c r="A34" s="98">
        <v>27</v>
      </c>
      <c r="B34" s="103">
        <v>0.34399999999999997</v>
      </c>
      <c r="C34" s="103">
        <v>0.34499999999999997</v>
      </c>
      <c r="D34" s="103">
        <v>0.34499999999999997</v>
      </c>
      <c r="E34" s="103">
        <v>0.34599999999999997</v>
      </c>
      <c r="F34" s="103">
        <v>0.34699999999999998</v>
      </c>
      <c r="G34" s="103">
        <v>0.34799999999999998</v>
      </c>
      <c r="H34" s="103">
        <v>0.34799999999999998</v>
      </c>
      <c r="I34" s="103">
        <v>0.34899999999999998</v>
      </c>
      <c r="J34" s="103">
        <v>0.35</v>
      </c>
      <c r="K34" s="103">
        <v>0.35099999999999998</v>
      </c>
      <c r="L34" s="103">
        <v>0.35099999999999998</v>
      </c>
      <c r="M34" s="103">
        <v>0.35199999999999998</v>
      </c>
    </row>
    <row r="35" spans="1:13" x14ac:dyDescent="0.25">
      <c r="A35" s="98">
        <v>28</v>
      </c>
      <c r="B35" s="103">
        <v>0.35299999999999998</v>
      </c>
      <c r="C35" s="103">
        <v>0.35299999999999998</v>
      </c>
      <c r="D35" s="103">
        <v>0.35399999999999998</v>
      </c>
      <c r="E35" s="103">
        <v>0.35499999999999998</v>
      </c>
      <c r="F35" s="103">
        <v>0.35599999999999998</v>
      </c>
      <c r="G35" s="103">
        <v>0.35599999999999998</v>
      </c>
      <c r="H35" s="103">
        <v>0.35699999999999998</v>
      </c>
      <c r="I35" s="103">
        <v>0.35799999999999998</v>
      </c>
      <c r="J35" s="103">
        <v>0.35899999999999999</v>
      </c>
      <c r="K35" s="103">
        <v>0.35899999999999999</v>
      </c>
      <c r="L35" s="103">
        <v>0.36</v>
      </c>
      <c r="M35" s="103">
        <v>0.36099999999999999</v>
      </c>
    </row>
    <row r="36" spans="1:13" x14ac:dyDescent="0.25">
      <c r="A36" s="98">
        <v>29</v>
      </c>
      <c r="B36" s="103">
        <v>0.36199999999999999</v>
      </c>
      <c r="C36" s="103">
        <v>0.36199999999999999</v>
      </c>
      <c r="D36" s="103">
        <v>0.36299999999999999</v>
      </c>
      <c r="E36" s="103">
        <v>0.36399999999999999</v>
      </c>
      <c r="F36" s="103">
        <v>0.36499999999999999</v>
      </c>
      <c r="G36" s="103">
        <v>0.36599999999999999</v>
      </c>
      <c r="H36" s="103">
        <v>0.36599999999999999</v>
      </c>
      <c r="I36" s="103">
        <v>0.36699999999999999</v>
      </c>
      <c r="J36" s="103">
        <v>0.36799999999999999</v>
      </c>
      <c r="K36" s="103">
        <v>0.36899999999999999</v>
      </c>
      <c r="L36" s="103">
        <v>0.36899999999999999</v>
      </c>
      <c r="M36" s="103">
        <v>0.37</v>
      </c>
    </row>
    <row r="37" spans="1:13" x14ac:dyDescent="0.25">
      <c r="A37" s="98">
        <v>30</v>
      </c>
      <c r="B37" s="103">
        <v>0.371</v>
      </c>
      <c r="C37" s="103">
        <v>0.372</v>
      </c>
      <c r="D37" s="103">
        <v>0.373</v>
      </c>
      <c r="E37" s="103">
        <v>0.373</v>
      </c>
      <c r="F37" s="103">
        <v>0.374</v>
      </c>
      <c r="G37" s="103">
        <v>0.375</v>
      </c>
      <c r="H37" s="103">
        <v>0.376</v>
      </c>
      <c r="I37" s="103">
        <v>0.377</v>
      </c>
      <c r="J37" s="103">
        <v>0.377</v>
      </c>
      <c r="K37" s="103">
        <v>0.378</v>
      </c>
      <c r="L37" s="103">
        <v>0.379</v>
      </c>
      <c r="M37" s="103">
        <v>0.38</v>
      </c>
    </row>
    <row r="38" spans="1:13" x14ac:dyDescent="0.25">
      <c r="A38" s="98">
        <v>31</v>
      </c>
      <c r="B38" s="103">
        <v>0.38100000000000001</v>
      </c>
      <c r="C38" s="103">
        <v>0.38100000000000001</v>
      </c>
      <c r="D38" s="103">
        <v>0.38200000000000001</v>
      </c>
      <c r="E38" s="103">
        <v>0.38300000000000001</v>
      </c>
      <c r="F38" s="103">
        <v>0.38400000000000001</v>
      </c>
      <c r="G38" s="103">
        <v>0.38500000000000001</v>
      </c>
      <c r="H38" s="103">
        <v>0.38600000000000001</v>
      </c>
      <c r="I38" s="103">
        <v>0.38600000000000001</v>
      </c>
      <c r="J38" s="103">
        <v>0.38700000000000001</v>
      </c>
      <c r="K38" s="103">
        <v>0.38800000000000001</v>
      </c>
      <c r="L38" s="103">
        <v>0.38900000000000001</v>
      </c>
      <c r="M38" s="103">
        <v>0.39</v>
      </c>
    </row>
    <row r="39" spans="1:13" x14ac:dyDescent="0.25">
      <c r="A39" s="98">
        <v>32</v>
      </c>
      <c r="B39" s="103">
        <v>0.39100000000000001</v>
      </c>
      <c r="C39" s="103">
        <v>0.39200000000000002</v>
      </c>
      <c r="D39" s="103">
        <v>0.39200000000000002</v>
      </c>
      <c r="E39" s="103">
        <v>0.39300000000000002</v>
      </c>
      <c r="F39" s="103">
        <v>0.39400000000000002</v>
      </c>
      <c r="G39" s="103">
        <v>0.39500000000000002</v>
      </c>
      <c r="H39" s="103">
        <v>0.39600000000000002</v>
      </c>
      <c r="I39" s="103">
        <v>0.39700000000000002</v>
      </c>
      <c r="J39" s="103">
        <v>0.39800000000000002</v>
      </c>
      <c r="K39" s="103">
        <v>0.39800000000000002</v>
      </c>
      <c r="L39" s="103">
        <v>0.39900000000000002</v>
      </c>
      <c r="M39" s="103">
        <v>0.4</v>
      </c>
    </row>
    <row r="40" spans="1:13" x14ac:dyDescent="0.25">
      <c r="A40" s="98">
        <v>33</v>
      </c>
      <c r="B40" s="103">
        <v>0.40100000000000002</v>
      </c>
      <c r="C40" s="103">
        <v>0.40200000000000002</v>
      </c>
      <c r="D40" s="103">
        <v>0.40300000000000002</v>
      </c>
      <c r="E40" s="103">
        <v>0.40400000000000003</v>
      </c>
      <c r="F40" s="103">
        <v>0.40500000000000003</v>
      </c>
      <c r="G40" s="103">
        <v>0.40600000000000003</v>
      </c>
      <c r="H40" s="103">
        <v>0.40699999999999997</v>
      </c>
      <c r="I40" s="103">
        <v>0.40699999999999997</v>
      </c>
      <c r="J40" s="103">
        <v>0.40799999999999997</v>
      </c>
      <c r="K40" s="103">
        <v>0.40899999999999997</v>
      </c>
      <c r="L40" s="103">
        <v>0.41</v>
      </c>
      <c r="M40" s="103">
        <v>0.41099999999999998</v>
      </c>
    </row>
    <row r="41" spans="1:13" x14ac:dyDescent="0.25">
      <c r="A41" s="98">
        <v>34</v>
      </c>
      <c r="B41" s="103">
        <v>0.41199999999999998</v>
      </c>
      <c r="C41" s="103">
        <v>0.41299999999999998</v>
      </c>
      <c r="D41" s="103">
        <v>0.41399999999999998</v>
      </c>
      <c r="E41" s="103">
        <v>0.41499999999999998</v>
      </c>
      <c r="F41" s="103">
        <v>0.41599999999999998</v>
      </c>
      <c r="G41" s="103">
        <v>0.41699999999999998</v>
      </c>
      <c r="H41" s="103">
        <v>0.41799999999999998</v>
      </c>
      <c r="I41" s="103">
        <v>0.41899999999999998</v>
      </c>
      <c r="J41" s="103">
        <v>0.41899999999999998</v>
      </c>
      <c r="K41" s="103">
        <v>0.42</v>
      </c>
      <c r="L41" s="103">
        <v>0.42099999999999999</v>
      </c>
      <c r="M41" s="103">
        <v>0.42199999999999999</v>
      </c>
    </row>
    <row r="42" spans="1:13" x14ac:dyDescent="0.25">
      <c r="A42" s="98">
        <v>35</v>
      </c>
      <c r="B42" s="103">
        <v>0.42299999999999999</v>
      </c>
      <c r="C42" s="103">
        <v>0.42399999999999999</v>
      </c>
      <c r="D42" s="103">
        <v>0.42499999999999999</v>
      </c>
      <c r="E42" s="103">
        <v>0.42599999999999999</v>
      </c>
      <c r="F42" s="103">
        <v>0.42699999999999999</v>
      </c>
      <c r="G42" s="103">
        <v>0.42799999999999999</v>
      </c>
      <c r="H42" s="103">
        <v>0.42899999999999999</v>
      </c>
      <c r="I42" s="103">
        <v>0.43</v>
      </c>
      <c r="J42" s="103">
        <v>0.43099999999999999</v>
      </c>
      <c r="K42" s="103">
        <v>0.432</v>
      </c>
      <c r="L42" s="103">
        <v>0.433</v>
      </c>
      <c r="M42" s="103">
        <v>0.434</v>
      </c>
    </row>
    <row r="43" spans="1:13" x14ac:dyDescent="0.25">
      <c r="A43" s="98">
        <v>36</v>
      </c>
      <c r="B43" s="103">
        <v>0.435</v>
      </c>
      <c r="C43" s="103">
        <v>0.436</v>
      </c>
      <c r="D43" s="103">
        <v>0.437</v>
      </c>
      <c r="E43" s="103">
        <v>0.438</v>
      </c>
      <c r="F43" s="103">
        <v>0.439</v>
      </c>
      <c r="G43" s="103">
        <v>0.44</v>
      </c>
      <c r="H43" s="103">
        <v>0.441</v>
      </c>
      <c r="I43" s="103">
        <v>0.442</v>
      </c>
      <c r="J43" s="103">
        <v>0.443</v>
      </c>
      <c r="K43" s="103">
        <v>0.44400000000000001</v>
      </c>
      <c r="L43" s="103">
        <v>0.44500000000000001</v>
      </c>
      <c r="M43" s="103">
        <v>0.44600000000000001</v>
      </c>
    </row>
    <row r="44" spans="1:13" x14ac:dyDescent="0.25">
      <c r="A44" s="98">
        <v>37</v>
      </c>
      <c r="B44" s="103">
        <v>0.44700000000000001</v>
      </c>
      <c r="C44" s="103">
        <v>0.44800000000000001</v>
      </c>
      <c r="D44" s="103">
        <v>0.44900000000000001</v>
      </c>
      <c r="E44" s="103">
        <v>0.45</v>
      </c>
      <c r="F44" s="103">
        <v>0.45200000000000001</v>
      </c>
      <c r="G44" s="103">
        <v>0.45300000000000001</v>
      </c>
      <c r="H44" s="103">
        <v>0.45400000000000001</v>
      </c>
      <c r="I44" s="103">
        <v>0.45500000000000002</v>
      </c>
      <c r="J44" s="103">
        <v>0.45600000000000002</v>
      </c>
      <c r="K44" s="103">
        <v>0.45700000000000002</v>
      </c>
      <c r="L44" s="103">
        <v>0.45800000000000002</v>
      </c>
      <c r="M44" s="103">
        <v>0.45900000000000002</v>
      </c>
    </row>
    <row r="45" spans="1:13" x14ac:dyDescent="0.25">
      <c r="A45" s="98">
        <v>38</v>
      </c>
      <c r="B45" s="103">
        <v>0.46</v>
      </c>
      <c r="C45" s="103">
        <v>0.46100000000000002</v>
      </c>
      <c r="D45" s="103">
        <v>0.46200000000000002</v>
      </c>
      <c r="E45" s="103">
        <v>0.46300000000000002</v>
      </c>
      <c r="F45" s="103">
        <v>0.46500000000000002</v>
      </c>
      <c r="G45" s="103">
        <v>0.46600000000000003</v>
      </c>
      <c r="H45" s="103">
        <v>0.46700000000000003</v>
      </c>
      <c r="I45" s="103">
        <v>0.46800000000000003</v>
      </c>
      <c r="J45" s="103">
        <v>0.46899999999999997</v>
      </c>
      <c r="K45" s="103">
        <v>0.47</v>
      </c>
      <c r="L45" s="103">
        <v>0.47099999999999997</v>
      </c>
      <c r="M45" s="103">
        <v>0.47199999999999998</v>
      </c>
    </row>
    <row r="46" spans="1:13" x14ac:dyDescent="0.25">
      <c r="A46" s="98">
        <v>39</v>
      </c>
      <c r="B46" s="103">
        <v>0.47299999999999998</v>
      </c>
      <c r="C46" s="103">
        <v>0.47499999999999998</v>
      </c>
      <c r="D46" s="103">
        <v>0.47599999999999998</v>
      </c>
      <c r="E46" s="103">
        <v>0.47699999999999998</v>
      </c>
      <c r="F46" s="103">
        <v>0.47799999999999998</v>
      </c>
      <c r="G46" s="103">
        <v>0.47899999999999998</v>
      </c>
      <c r="H46" s="103">
        <v>0.48</v>
      </c>
      <c r="I46" s="103">
        <v>0.48199999999999998</v>
      </c>
      <c r="J46" s="103">
        <v>0.48299999999999998</v>
      </c>
      <c r="K46" s="103">
        <v>0.48399999999999999</v>
      </c>
      <c r="L46" s="103">
        <v>0.48499999999999999</v>
      </c>
      <c r="M46" s="103">
        <v>0.48599999999999999</v>
      </c>
    </row>
    <row r="47" spans="1:13" x14ac:dyDescent="0.25">
      <c r="A47" s="98">
        <v>40</v>
      </c>
      <c r="B47" s="103">
        <v>0.48699999999999999</v>
      </c>
      <c r="C47" s="103">
        <v>0.48899999999999999</v>
      </c>
      <c r="D47" s="103">
        <v>0.49</v>
      </c>
      <c r="E47" s="103">
        <v>0.49099999999999999</v>
      </c>
      <c r="F47" s="103">
        <v>0.49199999999999999</v>
      </c>
      <c r="G47" s="103">
        <v>0.49399999999999999</v>
      </c>
      <c r="H47" s="103">
        <v>0.495</v>
      </c>
      <c r="I47" s="103">
        <v>0.496</v>
      </c>
      <c r="J47" s="103">
        <v>0.497</v>
      </c>
      <c r="K47" s="103">
        <v>0.498</v>
      </c>
      <c r="L47" s="103">
        <v>0.5</v>
      </c>
      <c r="M47" s="103">
        <v>0.501</v>
      </c>
    </row>
    <row r="48" spans="1:13" x14ac:dyDescent="0.25">
      <c r="A48" s="98">
        <v>41</v>
      </c>
      <c r="B48" s="103">
        <v>0.502</v>
      </c>
      <c r="C48" s="103">
        <v>0.503</v>
      </c>
      <c r="D48" s="103">
        <v>0.505</v>
      </c>
      <c r="E48" s="103">
        <v>0.50600000000000001</v>
      </c>
      <c r="F48" s="103">
        <v>0.50700000000000001</v>
      </c>
      <c r="G48" s="103">
        <v>0.50800000000000001</v>
      </c>
      <c r="H48" s="103">
        <v>0.51</v>
      </c>
      <c r="I48" s="103">
        <v>0.51100000000000001</v>
      </c>
      <c r="J48" s="103">
        <v>0.51200000000000001</v>
      </c>
      <c r="K48" s="103">
        <v>0.51400000000000001</v>
      </c>
      <c r="L48" s="103">
        <v>0.51500000000000001</v>
      </c>
      <c r="M48" s="103">
        <v>0.51600000000000001</v>
      </c>
    </row>
    <row r="49" spans="1:13" x14ac:dyDescent="0.25">
      <c r="A49" s="98">
        <v>42</v>
      </c>
      <c r="B49" s="103">
        <v>0.51700000000000002</v>
      </c>
      <c r="C49" s="103">
        <v>0.51900000000000002</v>
      </c>
      <c r="D49" s="103">
        <v>0.52</v>
      </c>
      <c r="E49" s="103">
        <v>0.52100000000000002</v>
      </c>
      <c r="F49" s="103">
        <v>0.52300000000000002</v>
      </c>
      <c r="G49" s="103">
        <v>0.52400000000000002</v>
      </c>
      <c r="H49" s="103">
        <v>0.52500000000000002</v>
      </c>
      <c r="I49" s="103">
        <v>0.52700000000000002</v>
      </c>
      <c r="J49" s="103">
        <v>0.52800000000000002</v>
      </c>
      <c r="K49" s="103">
        <v>0.52900000000000003</v>
      </c>
      <c r="L49" s="103">
        <v>0.53100000000000003</v>
      </c>
      <c r="M49" s="103">
        <v>0.53200000000000003</v>
      </c>
    </row>
    <row r="50" spans="1:13" x14ac:dyDescent="0.25">
      <c r="A50" s="98">
        <v>43</v>
      </c>
      <c r="B50" s="103">
        <v>0.53300000000000003</v>
      </c>
      <c r="C50" s="103">
        <v>0.53500000000000003</v>
      </c>
      <c r="D50" s="103">
        <v>0.53600000000000003</v>
      </c>
      <c r="E50" s="103">
        <v>0.53800000000000003</v>
      </c>
      <c r="F50" s="103">
        <v>0.53900000000000003</v>
      </c>
      <c r="G50" s="103">
        <v>0.54</v>
      </c>
      <c r="H50" s="103">
        <v>0.54200000000000004</v>
      </c>
      <c r="I50" s="103">
        <v>0.54300000000000004</v>
      </c>
      <c r="J50" s="103">
        <v>0.54500000000000004</v>
      </c>
      <c r="K50" s="103">
        <v>0.54600000000000004</v>
      </c>
      <c r="L50" s="103">
        <v>0.54700000000000004</v>
      </c>
      <c r="M50" s="103">
        <v>0.54900000000000004</v>
      </c>
    </row>
    <row r="51" spans="1:13" x14ac:dyDescent="0.25">
      <c r="A51" s="98">
        <v>44</v>
      </c>
      <c r="B51" s="103">
        <v>0.55000000000000004</v>
      </c>
      <c r="C51" s="103">
        <v>0.55200000000000005</v>
      </c>
      <c r="D51" s="103">
        <v>0.55300000000000005</v>
      </c>
      <c r="E51" s="103">
        <v>0.55500000000000005</v>
      </c>
      <c r="F51" s="103">
        <v>0.55600000000000005</v>
      </c>
      <c r="G51" s="103">
        <v>0.55800000000000005</v>
      </c>
      <c r="H51" s="103">
        <v>0.55900000000000005</v>
      </c>
      <c r="I51" s="103">
        <v>0.56100000000000005</v>
      </c>
      <c r="J51" s="103">
        <v>0.56200000000000006</v>
      </c>
      <c r="K51" s="103">
        <v>0.56399999999999995</v>
      </c>
      <c r="L51" s="103">
        <v>0.56499999999999995</v>
      </c>
      <c r="M51" s="103">
        <v>0.56699999999999995</v>
      </c>
    </row>
    <row r="52" spans="1:13" x14ac:dyDescent="0.25">
      <c r="A52" s="98">
        <v>45</v>
      </c>
      <c r="B52" s="103">
        <v>0.56799999999999995</v>
      </c>
      <c r="C52" s="103">
        <v>0.56999999999999995</v>
      </c>
      <c r="D52" s="103">
        <v>0.57099999999999995</v>
      </c>
      <c r="E52" s="103">
        <v>0.57299999999999995</v>
      </c>
      <c r="F52" s="103">
        <v>0.57399999999999995</v>
      </c>
      <c r="G52" s="103">
        <v>0.57599999999999996</v>
      </c>
      <c r="H52" s="103">
        <v>0.57699999999999996</v>
      </c>
      <c r="I52" s="103">
        <v>0.57899999999999996</v>
      </c>
      <c r="J52" s="103">
        <v>0.57999999999999996</v>
      </c>
      <c r="K52" s="103">
        <v>0.58199999999999996</v>
      </c>
      <c r="L52" s="103">
        <v>0.58399999999999996</v>
      </c>
      <c r="M52" s="103">
        <v>0.58499999999999996</v>
      </c>
    </row>
    <row r="53" spans="1:13" x14ac:dyDescent="0.25">
      <c r="A53" s="98">
        <v>46</v>
      </c>
      <c r="B53" s="103">
        <v>0.58699999999999997</v>
      </c>
      <c r="C53" s="103">
        <v>0.58799999999999997</v>
      </c>
      <c r="D53" s="103">
        <v>0.59</v>
      </c>
      <c r="E53" s="103">
        <v>0.59199999999999997</v>
      </c>
      <c r="F53" s="103">
        <v>0.59299999999999997</v>
      </c>
      <c r="G53" s="103">
        <v>0.59499999999999997</v>
      </c>
      <c r="H53" s="103">
        <v>0.59599999999999997</v>
      </c>
      <c r="I53" s="103">
        <v>0.59799999999999998</v>
      </c>
      <c r="J53" s="103">
        <v>0.6</v>
      </c>
      <c r="K53" s="103">
        <v>0.60099999999999998</v>
      </c>
      <c r="L53" s="103">
        <v>0.60299999999999998</v>
      </c>
      <c r="M53" s="103">
        <v>0.60499999999999998</v>
      </c>
    </row>
    <row r="54" spans="1:13" x14ac:dyDescent="0.25">
      <c r="A54" s="98">
        <v>47</v>
      </c>
      <c r="B54" s="103">
        <v>0.60599999999999998</v>
      </c>
      <c r="C54" s="103">
        <v>0.60799999999999998</v>
      </c>
      <c r="D54" s="103">
        <v>0.61</v>
      </c>
      <c r="E54" s="103">
        <v>0.61099999999999999</v>
      </c>
      <c r="F54" s="103">
        <v>0.61299999999999999</v>
      </c>
      <c r="G54" s="103">
        <v>0.61499999999999999</v>
      </c>
      <c r="H54" s="103">
        <v>0.61699999999999999</v>
      </c>
      <c r="I54" s="103">
        <v>0.61799999999999999</v>
      </c>
      <c r="J54" s="103">
        <v>0.62</v>
      </c>
      <c r="K54" s="103">
        <v>0.622</v>
      </c>
      <c r="L54" s="103">
        <v>0.623</v>
      </c>
      <c r="M54" s="103">
        <v>0.625</v>
      </c>
    </row>
    <row r="55" spans="1:13" x14ac:dyDescent="0.25">
      <c r="A55" s="98">
        <v>48</v>
      </c>
      <c r="B55" s="103">
        <v>0.627</v>
      </c>
      <c r="C55" s="103">
        <v>0.629</v>
      </c>
      <c r="D55" s="103">
        <v>0.63100000000000001</v>
      </c>
      <c r="E55" s="103">
        <v>0.63200000000000001</v>
      </c>
      <c r="F55" s="103">
        <v>0.63400000000000001</v>
      </c>
      <c r="G55" s="103">
        <v>0.63600000000000001</v>
      </c>
      <c r="H55" s="103">
        <v>0.63800000000000001</v>
      </c>
      <c r="I55" s="103">
        <v>0.64</v>
      </c>
      <c r="J55" s="103">
        <v>0.64100000000000001</v>
      </c>
      <c r="K55" s="103">
        <v>0.64300000000000002</v>
      </c>
      <c r="L55" s="103">
        <v>0.64500000000000002</v>
      </c>
      <c r="M55" s="103">
        <v>0.64700000000000002</v>
      </c>
    </row>
    <row r="56" spans="1:13" x14ac:dyDescent="0.25">
      <c r="A56" s="98">
        <v>49</v>
      </c>
      <c r="B56" s="103">
        <v>0.64900000000000002</v>
      </c>
      <c r="C56" s="103">
        <v>0.65100000000000002</v>
      </c>
      <c r="D56" s="103">
        <v>0.65300000000000002</v>
      </c>
      <c r="E56" s="103">
        <v>0.65400000000000003</v>
      </c>
      <c r="F56" s="103">
        <v>0.65600000000000003</v>
      </c>
      <c r="G56" s="103">
        <v>0.65800000000000003</v>
      </c>
      <c r="H56" s="103">
        <v>0.66</v>
      </c>
      <c r="I56" s="103">
        <v>0.66200000000000003</v>
      </c>
      <c r="J56" s="103">
        <v>0.66400000000000003</v>
      </c>
      <c r="K56" s="103">
        <v>0.66600000000000004</v>
      </c>
      <c r="L56" s="103">
        <v>0.66800000000000004</v>
      </c>
      <c r="M56" s="103">
        <v>0.67</v>
      </c>
    </row>
    <row r="57" spans="1:13" x14ac:dyDescent="0.25">
      <c r="A57" s="98">
        <v>50</v>
      </c>
      <c r="B57" s="103">
        <v>0.67200000000000004</v>
      </c>
      <c r="C57" s="103">
        <v>0.67400000000000004</v>
      </c>
      <c r="D57" s="103">
        <v>0.67600000000000005</v>
      </c>
      <c r="E57" s="103">
        <v>0.67800000000000005</v>
      </c>
      <c r="F57" s="103">
        <v>0.68</v>
      </c>
      <c r="G57" s="103">
        <v>0.68200000000000005</v>
      </c>
      <c r="H57" s="103">
        <v>0.68400000000000005</v>
      </c>
      <c r="I57" s="103">
        <v>0.68600000000000005</v>
      </c>
      <c r="J57" s="103">
        <v>0.68799999999999994</v>
      </c>
      <c r="K57" s="103">
        <v>0.69</v>
      </c>
      <c r="L57" s="103">
        <v>0.69199999999999995</v>
      </c>
      <c r="M57" s="103">
        <v>0.69399999999999995</v>
      </c>
    </row>
    <row r="58" spans="1:13" x14ac:dyDescent="0.25">
      <c r="A58" s="98">
        <v>51</v>
      </c>
      <c r="B58" s="103">
        <v>0.69599999999999995</v>
      </c>
      <c r="C58" s="103">
        <v>0.69799999999999995</v>
      </c>
      <c r="D58" s="103">
        <v>0.70099999999999996</v>
      </c>
      <c r="E58" s="103">
        <v>0.70299999999999996</v>
      </c>
      <c r="F58" s="103">
        <v>0.70499999999999996</v>
      </c>
      <c r="G58" s="103">
        <v>0.70699999999999996</v>
      </c>
      <c r="H58" s="103">
        <v>0.70899999999999996</v>
      </c>
      <c r="I58" s="103">
        <v>0.71099999999999997</v>
      </c>
      <c r="J58" s="103">
        <v>0.71299999999999997</v>
      </c>
      <c r="K58" s="103">
        <v>0.71599999999999997</v>
      </c>
      <c r="L58" s="103">
        <v>0.71799999999999997</v>
      </c>
      <c r="M58" s="103">
        <v>0.72</v>
      </c>
    </row>
    <row r="59" spans="1:13" x14ac:dyDescent="0.25">
      <c r="A59" s="98">
        <v>52</v>
      </c>
      <c r="B59" s="103">
        <v>0.72199999999999998</v>
      </c>
      <c r="C59" s="103">
        <v>0.72399999999999998</v>
      </c>
      <c r="D59" s="103">
        <v>0.72699999999999998</v>
      </c>
      <c r="E59" s="103">
        <v>0.72899999999999998</v>
      </c>
      <c r="F59" s="103">
        <v>0.73099999999999998</v>
      </c>
      <c r="G59" s="103">
        <v>0.73399999999999999</v>
      </c>
      <c r="H59" s="103">
        <v>0.73599999999999999</v>
      </c>
      <c r="I59" s="103">
        <v>0.73799999999999999</v>
      </c>
      <c r="J59" s="103">
        <v>0.74</v>
      </c>
      <c r="K59" s="103">
        <v>0.74299999999999999</v>
      </c>
      <c r="L59" s="103">
        <v>0.745</v>
      </c>
      <c r="M59" s="103">
        <v>0.747</v>
      </c>
    </row>
    <row r="60" spans="1:13" x14ac:dyDescent="0.25">
      <c r="A60" s="98">
        <v>53</v>
      </c>
      <c r="B60" s="103">
        <v>0.75</v>
      </c>
      <c r="C60" s="103">
        <v>0.752</v>
      </c>
      <c r="D60" s="103">
        <v>0.754</v>
      </c>
      <c r="E60" s="103">
        <v>0.75700000000000001</v>
      </c>
      <c r="F60" s="103">
        <v>0.75900000000000001</v>
      </c>
      <c r="G60" s="103">
        <v>0.76200000000000001</v>
      </c>
      <c r="H60" s="103">
        <v>0.76400000000000001</v>
      </c>
      <c r="I60" s="103">
        <v>0.76700000000000002</v>
      </c>
      <c r="J60" s="103">
        <v>0.76900000000000002</v>
      </c>
      <c r="K60" s="103">
        <v>0.77100000000000002</v>
      </c>
      <c r="L60" s="103">
        <v>0.77400000000000002</v>
      </c>
      <c r="M60" s="103">
        <v>0.77600000000000002</v>
      </c>
    </row>
    <row r="61" spans="1:13" x14ac:dyDescent="0.25">
      <c r="A61" s="98">
        <v>54</v>
      </c>
      <c r="B61" s="103">
        <v>0.77900000000000003</v>
      </c>
      <c r="C61" s="103">
        <v>0.78100000000000003</v>
      </c>
      <c r="D61" s="103">
        <v>0.78400000000000003</v>
      </c>
      <c r="E61" s="103">
        <v>0.78700000000000003</v>
      </c>
      <c r="F61" s="103">
        <v>0.78900000000000003</v>
      </c>
      <c r="G61" s="103">
        <v>0.79200000000000004</v>
      </c>
      <c r="H61" s="103">
        <v>0.79400000000000004</v>
      </c>
      <c r="I61" s="103">
        <v>0.79700000000000004</v>
      </c>
      <c r="J61" s="103">
        <v>0.8</v>
      </c>
      <c r="K61" s="103">
        <v>0.80200000000000005</v>
      </c>
      <c r="L61" s="103">
        <v>0.80500000000000005</v>
      </c>
      <c r="M61" s="103">
        <v>0.80700000000000005</v>
      </c>
    </row>
    <row r="62" spans="1:13" x14ac:dyDescent="0.25">
      <c r="A62" s="98">
        <v>55</v>
      </c>
      <c r="B62" s="103">
        <v>0.81</v>
      </c>
      <c r="C62" s="103">
        <v>0.81299999999999994</v>
      </c>
      <c r="D62" s="103">
        <v>0.81599999999999995</v>
      </c>
      <c r="E62" s="103">
        <v>0.81799999999999995</v>
      </c>
      <c r="F62" s="103">
        <v>0.82099999999999995</v>
      </c>
      <c r="G62" s="103">
        <v>0.82399999999999995</v>
      </c>
      <c r="H62" s="103">
        <v>0.82699999999999996</v>
      </c>
      <c r="I62" s="103">
        <v>0.82899999999999996</v>
      </c>
      <c r="J62" s="103">
        <v>0.83199999999999996</v>
      </c>
      <c r="K62" s="103">
        <v>0.83499999999999996</v>
      </c>
      <c r="L62" s="103">
        <v>0.83799999999999997</v>
      </c>
      <c r="M62" s="103">
        <v>0.84</v>
      </c>
    </row>
    <row r="63" spans="1:13" x14ac:dyDescent="0.25">
      <c r="A63" s="98">
        <v>56</v>
      </c>
      <c r="B63" s="103">
        <v>0.84299999999999997</v>
      </c>
      <c r="C63" s="103">
        <v>0.84599999999999997</v>
      </c>
      <c r="D63" s="103">
        <v>0.84899999999999998</v>
      </c>
      <c r="E63" s="103">
        <v>0.85199999999999998</v>
      </c>
      <c r="F63" s="103">
        <v>0.85499999999999998</v>
      </c>
      <c r="G63" s="103">
        <v>0.85799999999999998</v>
      </c>
      <c r="H63" s="103">
        <v>0.86099999999999999</v>
      </c>
      <c r="I63" s="103">
        <v>0.86399999999999999</v>
      </c>
      <c r="J63" s="103">
        <v>0.86699999999999999</v>
      </c>
      <c r="K63" s="103">
        <v>0.87</v>
      </c>
      <c r="L63" s="103">
        <v>0.873</v>
      </c>
      <c r="M63" s="103">
        <v>0.876</v>
      </c>
    </row>
    <row r="64" spans="1:13" x14ac:dyDescent="0.25">
      <c r="A64" s="98">
        <v>57</v>
      </c>
      <c r="B64" s="103">
        <v>0.879</v>
      </c>
      <c r="C64" s="103">
        <v>0.88200000000000001</v>
      </c>
      <c r="D64" s="103">
        <v>0.88500000000000001</v>
      </c>
      <c r="E64" s="103">
        <v>0.88800000000000001</v>
      </c>
      <c r="F64" s="103">
        <v>0.89200000000000002</v>
      </c>
      <c r="G64" s="103">
        <v>0.89500000000000002</v>
      </c>
      <c r="H64" s="103">
        <v>0.89800000000000002</v>
      </c>
      <c r="I64" s="103">
        <v>0.90100000000000002</v>
      </c>
      <c r="J64" s="103">
        <v>0.90400000000000003</v>
      </c>
      <c r="K64" s="103">
        <v>0.90700000000000003</v>
      </c>
      <c r="L64" s="103">
        <v>0.91100000000000003</v>
      </c>
      <c r="M64" s="103">
        <v>0.91400000000000003</v>
      </c>
    </row>
    <row r="65" spans="1:13" x14ac:dyDescent="0.25">
      <c r="A65" s="98">
        <v>58</v>
      </c>
      <c r="B65" s="103">
        <v>0.91700000000000004</v>
      </c>
      <c r="C65" s="103">
        <v>0.92</v>
      </c>
      <c r="D65" s="103">
        <v>0.92400000000000004</v>
      </c>
      <c r="E65" s="103">
        <v>0.92700000000000005</v>
      </c>
      <c r="F65" s="103">
        <v>0.93100000000000005</v>
      </c>
      <c r="G65" s="103">
        <v>0.93400000000000005</v>
      </c>
      <c r="H65" s="103">
        <v>0.93700000000000006</v>
      </c>
      <c r="I65" s="103">
        <v>0.94099999999999995</v>
      </c>
      <c r="J65" s="103">
        <v>0.94399999999999995</v>
      </c>
      <c r="K65" s="103">
        <v>0.94799999999999995</v>
      </c>
      <c r="L65" s="103">
        <v>0.95099999999999996</v>
      </c>
      <c r="M65" s="103">
        <v>0.95399999999999996</v>
      </c>
    </row>
    <row r="66" spans="1:13" x14ac:dyDescent="0.25">
      <c r="A66" s="98">
        <v>59</v>
      </c>
      <c r="B66" s="103">
        <v>0.95799999999999996</v>
      </c>
      <c r="C66" s="103">
        <v>0.96199999999999997</v>
      </c>
      <c r="D66" s="103">
        <v>0.96499999999999997</v>
      </c>
      <c r="E66" s="103">
        <v>0.96899999999999997</v>
      </c>
      <c r="F66" s="103">
        <v>0.97299999999999998</v>
      </c>
      <c r="G66" s="103">
        <v>0.97599999999999998</v>
      </c>
      <c r="H66" s="103">
        <v>0.98</v>
      </c>
      <c r="I66" s="103">
        <v>0.98399999999999999</v>
      </c>
      <c r="J66" s="103">
        <v>0.98699999999999999</v>
      </c>
      <c r="K66" s="103">
        <v>0.99099999999999999</v>
      </c>
      <c r="L66" s="103">
        <v>0.995</v>
      </c>
      <c r="M66" s="103">
        <v>0.998</v>
      </c>
    </row>
    <row r="67" spans="1:13" x14ac:dyDescent="0.25">
      <c r="A67" s="98">
        <v>60</v>
      </c>
      <c r="B67" s="103">
        <v>1</v>
      </c>
      <c r="C67" s="103"/>
      <c r="D67" s="103"/>
      <c r="E67" s="103"/>
      <c r="F67" s="103"/>
      <c r="G67" s="103"/>
      <c r="H67" s="103"/>
      <c r="I67" s="103"/>
      <c r="J67" s="103"/>
      <c r="K67" s="103"/>
      <c r="L67" s="103"/>
      <c r="M67" s="103"/>
    </row>
  </sheetData>
  <sheetProtection algorithmName="SHA-512" hashValue="E0vDQ1a7TeHGAwscr10w1eeijdDsOgeQnrOVuz2x/FRMAd3mzxx6AtFRT6AdjanPJ1dF0fMjYfNZgS2MzVjIaA==" saltValue="/eQzLRyX/SpQ6eR+R2VEBA==" spinCount="100000" sheet="1" objects="1" scenarios="1"/>
  <conditionalFormatting sqref="A6:A21">
    <cfRule type="expression" dxfId="117" priority="11" stopIfTrue="1">
      <formula>MOD(ROW(),2)=0</formula>
    </cfRule>
    <cfRule type="expression" dxfId="116" priority="12" stopIfTrue="1">
      <formula>MOD(ROW(),2)&lt;&gt;0</formula>
    </cfRule>
  </conditionalFormatting>
  <conditionalFormatting sqref="A26:A67">
    <cfRule type="expression" dxfId="115" priority="3" stopIfTrue="1">
      <formula>MOD(ROW(),2)=0</formula>
    </cfRule>
    <cfRule type="expression" dxfId="114" priority="4" stopIfTrue="1">
      <formula>MOD(ROW(),2)&lt;&gt;0</formula>
    </cfRule>
  </conditionalFormatting>
  <conditionalFormatting sqref="B17:B21">
    <cfRule type="expression" dxfId="113" priority="1" stopIfTrue="1">
      <formula>MOD(ROW(),2)=0</formula>
    </cfRule>
    <cfRule type="expression" dxfId="112" priority="2" stopIfTrue="1">
      <formula>MOD(ROW(),2)&lt;&gt;0</formula>
    </cfRule>
  </conditionalFormatting>
  <conditionalFormatting sqref="B6:M21">
    <cfRule type="expression" dxfId="111" priority="19" stopIfTrue="1">
      <formula>MOD(ROW(),2)=0</formula>
    </cfRule>
    <cfRule type="expression" dxfId="110" priority="20" stopIfTrue="1">
      <formula>MOD(ROW(),2)&lt;&gt;0</formula>
    </cfRule>
  </conditionalFormatting>
  <conditionalFormatting sqref="B26:M67">
    <cfRule type="expression" dxfId="109" priority="5" stopIfTrue="1">
      <formula>MOD(ROW(),2)=0</formula>
    </cfRule>
    <cfRule type="expression" dxfId="108" priority="6" stopIfTrue="1">
      <formula>MOD(ROW(),2)&lt;&gt;0</formula>
    </cfRule>
  </conditionalFormatting>
  <hyperlinks>
    <hyperlink ref="B24" location="Assumptions!A1" display="Assumptions" xr:uid="{D9EAFF06-DBC5-4250-B63A-3EE0C286B54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D9388-CAA4-478C-8EE5-3FA6A8AE3F58}">
  <sheetPr codeName="Sheet6"/>
  <dimension ref="A1:I78"/>
  <sheetViews>
    <sheetView showGridLines="0" zoomScale="85" zoomScaleNormal="85" workbookViewId="0"/>
  </sheetViews>
  <sheetFormatPr defaultColWidth="8.6328125" defaultRowHeight="12.5" x14ac:dyDescent="0.25"/>
  <cols>
    <col min="1" max="1" width="30.54296875" style="26" customWidth="1"/>
    <col min="2" max="2" width="30.6328125" style="26" customWidth="1"/>
    <col min="3" max="16384" width="8.6328125" style="26"/>
  </cols>
  <sheetData>
    <row r="1" spans="1:9" ht="20" x14ac:dyDescent="0.4">
      <c r="A1" s="37" t="s">
        <v>0</v>
      </c>
      <c r="B1" s="38"/>
      <c r="C1" s="38"/>
      <c r="D1" s="38"/>
      <c r="E1" s="38"/>
      <c r="F1" s="38"/>
      <c r="G1" s="38"/>
      <c r="H1" s="38"/>
      <c r="I1" s="38"/>
    </row>
    <row r="2" spans="1:9" ht="15.5" x14ac:dyDescent="0.35">
      <c r="A2" s="88"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Club - CARE Benefit Adjustment Factors  - x-103</v>
      </c>
      <c r="B3" s="40"/>
      <c r="C3" s="40"/>
      <c r="D3" s="40"/>
      <c r="E3" s="40"/>
      <c r="F3" s="40"/>
      <c r="G3" s="40"/>
      <c r="H3" s="40"/>
      <c r="I3" s="40"/>
    </row>
    <row r="4" spans="1:9" x14ac:dyDescent="0.25">
      <c r="A4" s="42"/>
    </row>
    <row r="6" spans="1:9" ht="13" x14ac:dyDescent="0.3">
      <c r="A6" s="75" t="s">
        <v>274</v>
      </c>
      <c r="B6" s="114" t="s">
        <v>275</v>
      </c>
      <c r="C6" s="76"/>
      <c r="D6" s="76"/>
      <c r="E6" s="76"/>
      <c r="F6" s="76"/>
    </row>
    <row r="7" spans="1:9" ht="14.15" customHeight="1" x14ac:dyDescent="0.25">
      <c r="A7" s="77" t="s">
        <v>276</v>
      </c>
      <c r="B7" s="114" t="s">
        <v>72</v>
      </c>
      <c r="C7" s="78"/>
      <c r="D7" s="78"/>
      <c r="E7" s="78"/>
      <c r="F7" s="78"/>
    </row>
    <row r="8" spans="1:9" ht="14.15" customHeight="1" x14ac:dyDescent="0.25">
      <c r="A8" s="77" t="s">
        <v>278</v>
      </c>
      <c r="B8" s="114" t="s">
        <v>73</v>
      </c>
      <c r="C8" s="78"/>
      <c r="D8" s="78"/>
      <c r="E8" s="78"/>
      <c r="F8" s="78"/>
    </row>
    <row r="9" spans="1:9" ht="14.15" customHeight="1" x14ac:dyDescent="0.25">
      <c r="A9" s="77" t="s">
        <v>280</v>
      </c>
      <c r="B9" s="114" t="s">
        <v>308</v>
      </c>
      <c r="C9" s="78"/>
      <c r="D9" s="78"/>
      <c r="E9" s="78"/>
      <c r="F9" s="78"/>
    </row>
    <row r="10" spans="1:9" ht="14.15" customHeight="1" x14ac:dyDescent="0.25">
      <c r="A10" s="77" t="s">
        <v>6</v>
      </c>
      <c r="B10" s="114" t="s">
        <v>319</v>
      </c>
      <c r="C10" s="78"/>
      <c r="D10" s="78"/>
      <c r="E10" s="78"/>
      <c r="F10" s="78"/>
    </row>
    <row r="11" spans="1:9" ht="14.15" customHeight="1" x14ac:dyDescent="0.25">
      <c r="A11" s="77" t="s">
        <v>283</v>
      </c>
      <c r="B11" s="114" t="s">
        <v>310</v>
      </c>
      <c r="C11" s="78"/>
      <c r="D11" s="78"/>
      <c r="E11" s="78"/>
      <c r="F11" s="78"/>
    </row>
    <row r="12" spans="1:9" ht="14.15" customHeight="1" x14ac:dyDescent="0.25">
      <c r="A12" s="77" t="s">
        <v>285</v>
      </c>
      <c r="B12" s="114" t="s">
        <v>311</v>
      </c>
      <c r="C12" s="78"/>
      <c r="D12" s="78"/>
      <c r="E12" s="78"/>
      <c r="F12" s="78"/>
    </row>
    <row r="13" spans="1:9" ht="14.15" customHeight="1" x14ac:dyDescent="0.25">
      <c r="A13" s="77" t="s">
        <v>287</v>
      </c>
      <c r="B13" s="114">
        <v>0</v>
      </c>
      <c r="C13" s="78"/>
      <c r="D13" s="78"/>
      <c r="E13" s="78"/>
      <c r="F13" s="78"/>
    </row>
    <row r="14" spans="1:9" ht="14.15" customHeight="1" x14ac:dyDescent="0.25">
      <c r="A14" s="77" t="s">
        <v>289</v>
      </c>
      <c r="B14" s="114">
        <v>103</v>
      </c>
      <c r="C14" s="78"/>
      <c r="D14" s="78"/>
      <c r="E14" s="78"/>
      <c r="F14" s="78"/>
    </row>
    <row r="15" spans="1:9" ht="14.15" customHeight="1" x14ac:dyDescent="0.25">
      <c r="A15" s="77" t="s">
        <v>291</v>
      </c>
      <c r="B15" s="114" t="s">
        <v>320</v>
      </c>
      <c r="C15" s="78"/>
      <c r="D15" s="78"/>
      <c r="E15" s="78"/>
      <c r="F15" s="78"/>
    </row>
    <row r="16" spans="1:9" ht="14.15" customHeight="1" x14ac:dyDescent="0.25">
      <c r="A16" s="77" t="s">
        <v>293</v>
      </c>
      <c r="B16" s="114" t="s">
        <v>321</v>
      </c>
      <c r="C16" s="78"/>
      <c r="D16" s="78"/>
      <c r="E16" s="78"/>
      <c r="F16" s="78"/>
    </row>
    <row r="17" spans="1:6" ht="25.4" customHeight="1" x14ac:dyDescent="0.25">
      <c r="A17" s="74" t="s">
        <v>760</v>
      </c>
      <c r="B17" s="114"/>
      <c r="C17" s="78"/>
      <c r="D17" s="78"/>
      <c r="E17" s="78"/>
      <c r="F17" s="78"/>
    </row>
    <row r="18" spans="1:6" ht="14.15" customHeight="1" x14ac:dyDescent="0.25">
      <c r="A18" s="77" t="s">
        <v>297</v>
      </c>
      <c r="B18" s="162">
        <v>45202</v>
      </c>
      <c r="C18" s="85"/>
      <c r="D18" s="85"/>
      <c r="E18" s="85"/>
      <c r="F18" s="85"/>
    </row>
    <row r="19" spans="1:6" ht="14.15" customHeight="1" x14ac:dyDescent="0.25">
      <c r="A19" s="77" t="s">
        <v>299</v>
      </c>
      <c r="B19" s="162">
        <v>45200</v>
      </c>
      <c r="C19" s="85"/>
      <c r="D19" s="85"/>
      <c r="E19" s="85"/>
      <c r="F19" s="85"/>
    </row>
    <row r="20" spans="1:6" ht="14.15" customHeight="1" x14ac:dyDescent="0.25">
      <c r="A20" s="77" t="s">
        <v>301</v>
      </c>
      <c r="B20" s="114" t="s">
        <v>314</v>
      </c>
      <c r="C20" s="78"/>
      <c r="D20" s="78"/>
      <c r="E20" s="78"/>
      <c r="F20" s="78"/>
    </row>
    <row r="21" spans="1:6" x14ac:dyDescent="0.25">
      <c r="A21" s="77" t="s">
        <v>307</v>
      </c>
      <c r="B21" s="114" t="s">
        <v>315</v>
      </c>
      <c r="C21" s="78"/>
      <c r="D21" s="78"/>
      <c r="E21" s="78"/>
      <c r="F21" s="78"/>
    </row>
    <row r="23" spans="1:6" x14ac:dyDescent="0.25">
      <c r="B23" s="100" t="str">
        <f>HYPERLINK("#'Factor List'!A1","Back to Factor List")</f>
        <v>Back to Factor List</v>
      </c>
    </row>
    <row r="24" spans="1:6" x14ac:dyDescent="0.25">
      <c r="B24" s="100" t="s">
        <v>13</v>
      </c>
    </row>
    <row r="26" spans="1:6" ht="13" x14ac:dyDescent="0.25">
      <c r="A26" s="79" t="s">
        <v>371</v>
      </c>
      <c r="B26" s="79" t="s">
        <v>761</v>
      </c>
    </row>
    <row r="27" spans="1:6" x14ac:dyDescent="0.25">
      <c r="A27" s="80">
        <v>16</v>
      </c>
      <c r="B27" s="81">
        <v>1.0469999999999999</v>
      </c>
    </row>
    <row r="28" spans="1:6" x14ac:dyDescent="0.25">
      <c r="A28" s="80">
        <f>A27+1</f>
        <v>17</v>
      </c>
      <c r="B28" s="81">
        <v>1.0469999999999999</v>
      </c>
    </row>
    <row r="29" spans="1:6" x14ac:dyDescent="0.25">
      <c r="A29" s="80">
        <f t="shared" ref="A29:A78" si="0">A28+1</f>
        <v>18</v>
      </c>
      <c r="B29" s="81">
        <v>1.0469999999999999</v>
      </c>
    </row>
    <row r="30" spans="1:6" x14ac:dyDescent="0.25">
      <c r="A30" s="80">
        <f t="shared" si="0"/>
        <v>19</v>
      </c>
      <c r="B30" s="81">
        <v>1.0469999999999999</v>
      </c>
    </row>
    <row r="31" spans="1:6" x14ac:dyDescent="0.25">
      <c r="A31" s="80">
        <f t="shared" si="0"/>
        <v>20</v>
      </c>
      <c r="B31" s="81">
        <v>1.048</v>
      </c>
    </row>
    <row r="32" spans="1:6" x14ac:dyDescent="0.25">
      <c r="A32" s="80">
        <f t="shared" si="0"/>
        <v>21</v>
      </c>
      <c r="B32" s="81">
        <v>1.048</v>
      </c>
    </row>
    <row r="33" spans="1:2" x14ac:dyDescent="0.25">
      <c r="A33" s="80">
        <f t="shared" si="0"/>
        <v>22</v>
      </c>
      <c r="B33" s="81">
        <v>1.048</v>
      </c>
    </row>
    <row r="34" spans="1:2" x14ac:dyDescent="0.25">
      <c r="A34" s="80">
        <f t="shared" si="0"/>
        <v>23</v>
      </c>
      <c r="B34" s="81">
        <v>1.048</v>
      </c>
    </row>
    <row r="35" spans="1:2" x14ac:dyDescent="0.25">
      <c r="A35" s="80">
        <f t="shared" si="0"/>
        <v>24</v>
      </c>
      <c r="B35" s="81">
        <v>1.048</v>
      </c>
    </row>
    <row r="36" spans="1:2" x14ac:dyDescent="0.25">
      <c r="A36" s="80">
        <f>A35+1</f>
        <v>25</v>
      </c>
      <c r="B36" s="81">
        <v>1.048</v>
      </c>
    </row>
    <row r="37" spans="1:2" x14ac:dyDescent="0.25">
      <c r="A37" s="80">
        <f t="shared" si="0"/>
        <v>26</v>
      </c>
      <c r="B37" s="81">
        <v>1.048</v>
      </c>
    </row>
    <row r="38" spans="1:2" x14ac:dyDescent="0.25">
      <c r="A38" s="80">
        <f t="shared" si="0"/>
        <v>27</v>
      </c>
      <c r="B38" s="81">
        <v>1.048</v>
      </c>
    </row>
    <row r="39" spans="1:2" x14ac:dyDescent="0.25">
      <c r="A39" s="80">
        <f t="shared" si="0"/>
        <v>28</v>
      </c>
      <c r="B39" s="81">
        <v>1.048</v>
      </c>
    </row>
    <row r="40" spans="1:2" x14ac:dyDescent="0.25">
      <c r="A40" s="80">
        <f>A39+1</f>
        <v>29</v>
      </c>
      <c r="B40" s="81">
        <v>1.048</v>
      </c>
    </row>
    <row r="41" spans="1:2" x14ac:dyDescent="0.25">
      <c r="A41" s="80">
        <f t="shared" si="0"/>
        <v>30</v>
      </c>
      <c r="B41" s="81">
        <v>1.048</v>
      </c>
    </row>
    <row r="42" spans="1:2" x14ac:dyDescent="0.25">
      <c r="A42" s="80">
        <f t="shared" si="0"/>
        <v>31</v>
      </c>
      <c r="B42" s="81">
        <v>1.048</v>
      </c>
    </row>
    <row r="43" spans="1:2" x14ac:dyDescent="0.25">
      <c r="A43" s="80">
        <f t="shared" si="0"/>
        <v>32</v>
      </c>
      <c r="B43" s="81">
        <v>1.048</v>
      </c>
    </row>
    <row r="44" spans="1:2" x14ac:dyDescent="0.25">
      <c r="A44" s="80">
        <f t="shared" si="0"/>
        <v>33</v>
      </c>
      <c r="B44" s="81">
        <v>1.048</v>
      </c>
    </row>
    <row r="45" spans="1:2" x14ac:dyDescent="0.25">
      <c r="A45" s="80">
        <f t="shared" si="0"/>
        <v>34</v>
      </c>
      <c r="B45" s="81">
        <v>1.048</v>
      </c>
    </row>
    <row r="46" spans="1:2" x14ac:dyDescent="0.25">
      <c r="A46" s="80">
        <f t="shared" si="0"/>
        <v>35</v>
      </c>
      <c r="B46" s="81">
        <v>1.048</v>
      </c>
    </row>
    <row r="47" spans="1:2" x14ac:dyDescent="0.25">
      <c r="A47" s="80">
        <f t="shared" si="0"/>
        <v>36</v>
      </c>
      <c r="B47" s="81">
        <v>1.048</v>
      </c>
    </row>
    <row r="48" spans="1:2" x14ac:dyDescent="0.25">
      <c r="A48" s="80">
        <f t="shared" si="0"/>
        <v>37</v>
      </c>
      <c r="B48" s="81">
        <v>1.048</v>
      </c>
    </row>
    <row r="49" spans="1:2" x14ac:dyDescent="0.25">
      <c r="A49" s="80">
        <f t="shared" si="0"/>
        <v>38</v>
      </c>
      <c r="B49" s="81">
        <v>1.048</v>
      </c>
    </row>
    <row r="50" spans="1:2" x14ac:dyDescent="0.25">
      <c r="A50" s="80">
        <f t="shared" si="0"/>
        <v>39</v>
      </c>
      <c r="B50" s="81">
        <v>1.048</v>
      </c>
    </row>
    <row r="51" spans="1:2" x14ac:dyDescent="0.25">
      <c r="A51" s="80">
        <f t="shared" si="0"/>
        <v>40</v>
      </c>
      <c r="B51" s="81">
        <v>1.048</v>
      </c>
    </row>
    <row r="52" spans="1:2" x14ac:dyDescent="0.25">
      <c r="A52" s="80">
        <f t="shared" si="0"/>
        <v>41</v>
      </c>
      <c r="B52" s="81">
        <v>1.048</v>
      </c>
    </row>
    <row r="53" spans="1:2" x14ac:dyDescent="0.25">
      <c r="A53" s="80">
        <f t="shared" si="0"/>
        <v>42</v>
      </c>
      <c r="B53" s="81">
        <v>1.0469999999999999</v>
      </c>
    </row>
    <row r="54" spans="1:2" x14ac:dyDescent="0.25">
      <c r="A54" s="80">
        <f t="shared" si="0"/>
        <v>43</v>
      </c>
      <c r="B54" s="81">
        <v>1.0469999999999999</v>
      </c>
    </row>
    <row r="55" spans="1:2" x14ac:dyDescent="0.25">
      <c r="A55" s="80">
        <f t="shared" si="0"/>
        <v>44</v>
      </c>
      <c r="B55" s="81">
        <v>1.0469999999999999</v>
      </c>
    </row>
    <row r="56" spans="1:2" x14ac:dyDescent="0.25">
      <c r="A56" s="80">
        <f t="shared" si="0"/>
        <v>45</v>
      </c>
      <c r="B56" s="81">
        <v>1.0469999999999999</v>
      </c>
    </row>
    <row r="57" spans="1:2" x14ac:dyDescent="0.25">
      <c r="A57" s="80">
        <f t="shared" si="0"/>
        <v>46</v>
      </c>
      <c r="B57" s="81">
        <v>1.046</v>
      </c>
    </row>
    <row r="58" spans="1:2" x14ac:dyDescent="0.25">
      <c r="A58" s="80">
        <f t="shared" si="0"/>
        <v>47</v>
      </c>
      <c r="B58" s="81">
        <v>1.0449999999999999</v>
      </c>
    </row>
    <row r="59" spans="1:2" x14ac:dyDescent="0.25">
      <c r="A59" s="80">
        <f t="shared" si="0"/>
        <v>48</v>
      </c>
      <c r="B59" s="81">
        <v>1.044</v>
      </c>
    </row>
    <row r="60" spans="1:2" x14ac:dyDescent="0.25">
      <c r="A60" s="80">
        <f t="shared" si="0"/>
        <v>49</v>
      </c>
      <c r="B60" s="81">
        <v>1.0429999999999999</v>
      </c>
    </row>
    <row r="61" spans="1:2" x14ac:dyDescent="0.25">
      <c r="A61" s="80">
        <f t="shared" si="0"/>
        <v>50</v>
      </c>
      <c r="B61" s="81">
        <v>1.0429999999999999</v>
      </c>
    </row>
    <row r="62" spans="1:2" x14ac:dyDescent="0.25">
      <c r="A62" s="80">
        <f t="shared" si="0"/>
        <v>51</v>
      </c>
      <c r="B62" s="81">
        <v>1.0429999999999999</v>
      </c>
    </row>
    <row r="63" spans="1:2" x14ac:dyDescent="0.25">
      <c r="A63" s="80">
        <f t="shared" si="0"/>
        <v>52</v>
      </c>
      <c r="B63" s="81">
        <v>1.042</v>
      </c>
    </row>
    <row r="64" spans="1:2" x14ac:dyDescent="0.25">
      <c r="A64" s="80">
        <f t="shared" si="0"/>
        <v>53</v>
      </c>
      <c r="B64" s="81">
        <v>1.042</v>
      </c>
    </row>
    <row r="65" spans="1:2" x14ac:dyDescent="0.25">
      <c r="A65" s="80">
        <f t="shared" si="0"/>
        <v>54</v>
      </c>
      <c r="B65" s="81">
        <v>1.042</v>
      </c>
    </row>
    <row r="66" spans="1:2" x14ac:dyDescent="0.25">
      <c r="A66" s="80">
        <f t="shared" si="0"/>
        <v>55</v>
      </c>
      <c r="B66" s="81">
        <v>1.0409999999999999</v>
      </c>
    </row>
    <row r="67" spans="1:2" x14ac:dyDescent="0.25">
      <c r="A67" s="80">
        <f t="shared" si="0"/>
        <v>56</v>
      </c>
      <c r="B67" s="81">
        <v>1.0409999999999999</v>
      </c>
    </row>
    <row r="68" spans="1:2" x14ac:dyDescent="0.25">
      <c r="A68" s="80">
        <f t="shared" si="0"/>
        <v>57</v>
      </c>
      <c r="B68" s="81">
        <v>1.04</v>
      </c>
    </row>
    <row r="69" spans="1:2" x14ac:dyDescent="0.25">
      <c r="A69" s="80">
        <f t="shared" si="0"/>
        <v>58</v>
      </c>
      <c r="B69" s="81">
        <v>1.04</v>
      </c>
    </row>
    <row r="70" spans="1:2" x14ac:dyDescent="0.25">
      <c r="A70" s="80">
        <f t="shared" si="0"/>
        <v>59</v>
      </c>
      <c r="B70" s="81">
        <v>1.0389999999999999</v>
      </c>
    </row>
    <row r="71" spans="1:2" x14ac:dyDescent="0.25">
      <c r="A71" s="80">
        <f t="shared" si="0"/>
        <v>60</v>
      </c>
      <c r="B71" s="81">
        <v>1.0389999999999999</v>
      </c>
    </row>
    <row r="72" spans="1:2" x14ac:dyDescent="0.25">
      <c r="A72" s="80">
        <f t="shared" si="0"/>
        <v>61</v>
      </c>
      <c r="B72" s="81">
        <v>1.038</v>
      </c>
    </row>
    <row r="73" spans="1:2" x14ac:dyDescent="0.25">
      <c r="A73" s="80">
        <f t="shared" si="0"/>
        <v>62</v>
      </c>
      <c r="B73" s="81">
        <v>1.0369999999999999</v>
      </c>
    </row>
    <row r="74" spans="1:2" x14ac:dyDescent="0.25">
      <c r="A74" s="80">
        <f t="shared" si="0"/>
        <v>63</v>
      </c>
      <c r="B74" s="81">
        <v>1.036</v>
      </c>
    </row>
    <row r="75" spans="1:2" x14ac:dyDescent="0.25">
      <c r="A75" s="80">
        <f t="shared" si="0"/>
        <v>64</v>
      </c>
      <c r="B75" s="81">
        <v>1.0349999999999999</v>
      </c>
    </row>
    <row r="76" spans="1:2" x14ac:dyDescent="0.25">
      <c r="A76" s="80">
        <f t="shared" si="0"/>
        <v>65</v>
      </c>
      <c r="B76" s="81">
        <v>1.0329999999999999</v>
      </c>
    </row>
    <row r="77" spans="1:2" x14ac:dyDescent="0.25">
      <c r="A77" s="80">
        <f t="shared" si="0"/>
        <v>66</v>
      </c>
      <c r="B77" s="81">
        <v>1.0329999999999999</v>
      </c>
    </row>
    <row r="78" spans="1:2" x14ac:dyDescent="0.25">
      <c r="A78" s="80">
        <f t="shared" si="0"/>
        <v>67</v>
      </c>
      <c r="B78" s="81">
        <v>1.0329999999999999</v>
      </c>
    </row>
  </sheetData>
  <sheetProtection algorithmName="SHA-512" hashValue="5Zyp1FHoO7EwnCllwvEmOojWmxR7IzRtIASMYeiu+ZJqUVfM312kDDGfocw1q5Sqo0zJjxY8PR8W/0MhdIcgwg==" saltValue="TEUx0zB1GCFxt8hya0AEOQ==" spinCount="100000" sheet="1" objects="1" scenarios="1"/>
  <conditionalFormatting sqref="A6:A21">
    <cfRule type="expression" dxfId="1197" priority="19" stopIfTrue="1">
      <formula>MOD(ROW(),2)=0</formula>
    </cfRule>
    <cfRule type="expression" dxfId="1196" priority="20" stopIfTrue="1">
      <formula>MOD(ROW(),2)&lt;&gt;0</formula>
    </cfRule>
  </conditionalFormatting>
  <conditionalFormatting sqref="A26:A78">
    <cfRule type="expression" dxfId="1195" priority="26" stopIfTrue="1">
      <formula>MOD(ROW(),2)&lt;&gt;0</formula>
    </cfRule>
    <cfRule type="expression" dxfId="1194" priority="25" stopIfTrue="1">
      <formula>MOD(ROW(),2)=0</formula>
    </cfRule>
  </conditionalFormatting>
  <conditionalFormatting sqref="B6:B21">
    <cfRule type="expression" dxfId="1193" priority="22" stopIfTrue="1">
      <formula>MOD(ROW(),2)&lt;&gt;0</formula>
    </cfRule>
    <cfRule type="expression" dxfId="1192" priority="21" stopIfTrue="1">
      <formula>MOD(ROW(),2)=0</formula>
    </cfRule>
  </conditionalFormatting>
  <conditionalFormatting sqref="B26:B78">
    <cfRule type="expression" dxfId="1191" priority="28" stopIfTrue="1">
      <formula>MOD(ROW(),2)&lt;&gt;0</formula>
    </cfRule>
    <cfRule type="expression" dxfId="1190" priority="27" stopIfTrue="1">
      <formula>MOD(ROW(),2)=0</formula>
    </cfRule>
  </conditionalFormatting>
  <conditionalFormatting sqref="B6:F6 C7:F8">
    <cfRule type="expression" dxfId="1189" priority="43" stopIfTrue="1">
      <formula>MOD(ROW(),2)=0</formula>
    </cfRule>
    <cfRule type="expression" dxfId="1188" priority="44" stopIfTrue="1">
      <formula>MOD(ROW(),2)&lt;&gt;0</formula>
    </cfRule>
  </conditionalFormatting>
  <conditionalFormatting sqref="B9:F16">
    <cfRule type="expression" dxfId="1187" priority="39" stopIfTrue="1">
      <formula>MOD(ROW(),2)=0</formula>
    </cfRule>
    <cfRule type="expression" dxfId="1186" priority="40" stopIfTrue="1">
      <formula>MOD(ROW(),2)&lt;&gt;0</formula>
    </cfRule>
  </conditionalFormatting>
  <conditionalFormatting sqref="B17:F21">
    <cfRule type="expression" dxfId="1185" priority="2" stopIfTrue="1">
      <formula>MOD(ROW(),2)&lt;&gt;0</formula>
    </cfRule>
    <cfRule type="expression" dxfId="1184" priority="1" stopIfTrue="1">
      <formula>MOD(ROW(),2)=0</formula>
    </cfRule>
  </conditionalFormatting>
  <hyperlinks>
    <hyperlink ref="B24" location="Assumptions!A1" display="Assumptions" xr:uid="{224E83A5-03F2-4EA3-BE76-F23597FAE6C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9"/>
  <dimension ref="A1:M72"/>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Abatement - x-818</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657</v>
      </c>
      <c r="C9" s="161"/>
      <c r="D9" s="161"/>
      <c r="E9" s="161"/>
      <c r="F9" s="161"/>
      <c r="G9" s="161"/>
      <c r="H9" s="161"/>
      <c r="I9" s="161"/>
      <c r="J9" s="161"/>
      <c r="K9" s="161"/>
      <c r="L9" s="161"/>
      <c r="M9" s="161"/>
    </row>
    <row r="10" spans="1:13" x14ac:dyDescent="0.25">
      <c r="A10" s="77" t="s">
        <v>6</v>
      </c>
      <c r="B10" s="161" t="s">
        <v>662</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659</v>
      </c>
      <c r="C12" s="161"/>
      <c r="D12" s="161"/>
      <c r="E12" s="161"/>
      <c r="F12" s="161"/>
      <c r="G12" s="161"/>
      <c r="H12" s="161"/>
      <c r="I12" s="161"/>
      <c r="J12" s="161"/>
      <c r="K12" s="161"/>
      <c r="L12" s="161"/>
      <c r="M12" s="161"/>
    </row>
    <row r="13" spans="1:13" x14ac:dyDescent="0.25">
      <c r="A13" s="77" t="s">
        <v>287</v>
      </c>
      <c r="B13" s="161">
        <v>2</v>
      </c>
      <c r="C13" s="161"/>
      <c r="D13" s="161"/>
      <c r="E13" s="161"/>
      <c r="F13" s="161"/>
      <c r="G13" s="161"/>
      <c r="H13" s="161"/>
      <c r="I13" s="161"/>
      <c r="J13" s="161"/>
      <c r="K13" s="161"/>
      <c r="L13" s="161"/>
      <c r="M13" s="161"/>
    </row>
    <row r="14" spans="1:13" x14ac:dyDescent="0.25">
      <c r="A14" s="77" t="s">
        <v>289</v>
      </c>
      <c r="B14" s="161">
        <v>818</v>
      </c>
      <c r="C14" s="161"/>
      <c r="D14" s="161"/>
      <c r="E14" s="161"/>
      <c r="F14" s="161"/>
      <c r="G14" s="161"/>
      <c r="H14" s="161"/>
      <c r="I14" s="161"/>
      <c r="J14" s="161"/>
      <c r="K14" s="161"/>
      <c r="L14" s="161"/>
      <c r="M14" s="161"/>
    </row>
    <row r="15" spans="1:13" x14ac:dyDescent="0.25">
      <c r="A15" s="77" t="s">
        <v>291</v>
      </c>
      <c r="B15" s="161" t="s">
        <v>663</v>
      </c>
      <c r="C15" s="161"/>
      <c r="D15" s="161"/>
      <c r="E15" s="161"/>
      <c r="F15" s="161"/>
      <c r="G15" s="161"/>
      <c r="H15" s="161"/>
      <c r="I15" s="161"/>
      <c r="J15" s="161"/>
      <c r="K15" s="161"/>
      <c r="L15" s="161"/>
      <c r="M15" s="161"/>
    </row>
    <row r="16" spans="1:13" x14ac:dyDescent="0.25">
      <c r="A16" s="77" t="s">
        <v>293</v>
      </c>
      <c r="B16" s="161" t="s">
        <v>664</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20</v>
      </c>
      <c r="B27" s="103">
        <v>0.23300000000000001</v>
      </c>
      <c r="C27" s="103">
        <v>0.23400000000000001</v>
      </c>
      <c r="D27" s="103">
        <v>0.23400000000000001</v>
      </c>
      <c r="E27" s="103">
        <v>0.23499999999999999</v>
      </c>
      <c r="F27" s="103">
        <v>0.23499999999999999</v>
      </c>
      <c r="G27" s="103">
        <v>0.23599999999999999</v>
      </c>
      <c r="H27" s="103">
        <v>0.23599999999999999</v>
      </c>
      <c r="I27" s="103">
        <v>0.23699999999999999</v>
      </c>
      <c r="J27" s="103">
        <v>0.23699999999999999</v>
      </c>
      <c r="K27" s="103">
        <v>0.23699999999999999</v>
      </c>
      <c r="L27" s="103">
        <v>0.23799999999999999</v>
      </c>
      <c r="M27" s="103">
        <v>0.23799999999999999</v>
      </c>
    </row>
    <row r="28" spans="1:13" x14ac:dyDescent="0.25">
      <c r="A28" s="98">
        <v>21</v>
      </c>
      <c r="B28" s="103">
        <v>0.23899999999999999</v>
      </c>
      <c r="C28" s="103">
        <v>0.23899999999999999</v>
      </c>
      <c r="D28" s="103">
        <v>0.24</v>
      </c>
      <c r="E28" s="103">
        <v>0.24</v>
      </c>
      <c r="F28" s="103">
        <v>0.24099999999999999</v>
      </c>
      <c r="G28" s="103">
        <v>0.24099999999999999</v>
      </c>
      <c r="H28" s="103">
        <v>0.24199999999999999</v>
      </c>
      <c r="I28" s="103">
        <v>0.24199999999999999</v>
      </c>
      <c r="J28" s="103">
        <v>0.24199999999999999</v>
      </c>
      <c r="K28" s="103">
        <v>0.24299999999999999</v>
      </c>
      <c r="L28" s="103">
        <v>0.24299999999999999</v>
      </c>
      <c r="M28" s="103">
        <v>0.24399999999999999</v>
      </c>
    </row>
    <row r="29" spans="1:13" x14ac:dyDescent="0.25">
      <c r="A29" s="98">
        <v>22</v>
      </c>
      <c r="B29" s="103">
        <v>0.24399999999999999</v>
      </c>
      <c r="C29" s="103">
        <v>0.245</v>
      </c>
      <c r="D29" s="103">
        <v>0.245</v>
      </c>
      <c r="E29" s="103">
        <v>0.246</v>
      </c>
      <c r="F29" s="103">
        <v>0.246</v>
      </c>
      <c r="G29" s="103">
        <v>0.247</v>
      </c>
      <c r="H29" s="103">
        <v>0.247</v>
      </c>
      <c r="I29" s="103">
        <v>0.248</v>
      </c>
      <c r="J29" s="103">
        <v>0.248</v>
      </c>
      <c r="K29" s="103">
        <v>0.249</v>
      </c>
      <c r="L29" s="103">
        <v>0.249</v>
      </c>
      <c r="M29" s="103">
        <v>0.25</v>
      </c>
    </row>
    <row r="30" spans="1:13" x14ac:dyDescent="0.25">
      <c r="A30" s="98">
        <v>23</v>
      </c>
      <c r="B30" s="103">
        <v>0.25</v>
      </c>
      <c r="C30" s="103">
        <v>0.251</v>
      </c>
      <c r="D30" s="103">
        <v>0.251</v>
      </c>
      <c r="E30" s="103">
        <v>0.252</v>
      </c>
      <c r="F30" s="103">
        <v>0.252</v>
      </c>
      <c r="G30" s="103">
        <v>0.252</v>
      </c>
      <c r="H30" s="103">
        <v>0.253</v>
      </c>
      <c r="I30" s="103">
        <v>0.253</v>
      </c>
      <c r="J30" s="103">
        <v>0.254</v>
      </c>
      <c r="K30" s="103">
        <v>0.254</v>
      </c>
      <c r="L30" s="103">
        <v>0.255</v>
      </c>
      <c r="M30" s="103">
        <v>0.255</v>
      </c>
    </row>
    <row r="31" spans="1:13" x14ac:dyDescent="0.25">
      <c r="A31" s="98">
        <v>24</v>
      </c>
      <c r="B31" s="103">
        <v>0.25600000000000001</v>
      </c>
      <c r="C31" s="103">
        <v>0.25600000000000001</v>
      </c>
      <c r="D31" s="103">
        <v>0.25700000000000001</v>
      </c>
      <c r="E31" s="103">
        <v>0.25700000000000001</v>
      </c>
      <c r="F31" s="103">
        <v>0.25800000000000001</v>
      </c>
      <c r="G31" s="103">
        <v>0.25800000000000001</v>
      </c>
      <c r="H31" s="103">
        <v>0.25900000000000001</v>
      </c>
      <c r="I31" s="103">
        <v>0.25900000000000001</v>
      </c>
      <c r="J31" s="103">
        <v>0.26</v>
      </c>
      <c r="K31" s="103">
        <v>0.26100000000000001</v>
      </c>
      <c r="L31" s="103">
        <v>0.26100000000000001</v>
      </c>
      <c r="M31" s="103">
        <v>0.26200000000000001</v>
      </c>
    </row>
    <row r="32" spans="1:13" x14ac:dyDescent="0.25">
      <c r="A32" s="98">
        <v>25</v>
      </c>
      <c r="B32" s="103">
        <v>0.26200000000000001</v>
      </c>
      <c r="C32" s="103">
        <v>0.26300000000000001</v>
      </c>
      <c r="D32" s="103">
        <v>0.26300000000000001</v>
      </c>
      <c r="E32" s="103">
        <v>0.26400000000000001</v>
      </c>
      <c r="F32" s="103">
        <v>0.26400000000000001</v>
      </c>
      <c r="G32" s="103">
        <v>0.26500000000000001</v>
      </c>
      <c r="H32" s="103">
        <v>0.26500000000000001</v>
      </c>
      <c r="I32" s="103">
        <v>0.26600000000000001</v>
      </c>
      <c r="J32" s="103">
        <v>0.26600000000000001</v>
      </c>
      <c r="K32" s="103">
        <v>0.26700000000000002</v>
      </c>
      <c r="L32" s="103">
        <v>0.26700000000000002</v>
      </c>
      <c r="M32" s="103">
        <v>0.26800000000000002</v>
      </c>
    </row>
    <row r="33" spans="1:13" x14ac:dyDescent="0.25">
      <c r="A33" s="98">
        <v>26</v>
      </c>
      <c r="B33" s="103">
        <v>0.26800000000000002</v>
      </c>
      <c r="C33" s="103">
        <v>0.26900000000000002</v>
      </c>
      <c r="D33" s="103">
        <v>0.26900000000000002</v>
      </c>
      <c r="E33" s="103">
        <v>0.27</v>
      </c>
      <c r="F33" s="103">
        <v>0.27100000000000002</v>
      </c>
      <c r="G33" s="103">
        <v>0.27100000000000002</v>
      </c>
      <c r="H33" s="103">
        <v>0.27200000000000002</v>
      </c>
      <c r="I33" s="103">
        <v>0.27200000000000002</v>
      </c>
      <c r="J33" s="103">
        <v>0.27300000000000002</v>
      </c>
      <c r="K33" s="103">
        <v>0.27300000000000002</v>
      </c>
      <c r="L33" s="103">
        <v>0.27400000000000002</v>
      </c>
      <c r="M33" s="103">
        <v>0.27400000000000002</v>
      </c>
    </row>
    <row r="34" spans="1:13" x14ac:dyDescent="0.25">
      <c r="A34" s="98">
        <v>27</v>
      </c>
      <c r="B34" s="103">
        <v>0.27500000000000002</v>
      </c>
      <c r="C34" s="103">
        <v>0.27500000000000002</v>
      </c>
      <c r="D34" s="103">
        <v>0.27600000000000002</v>
      </c>
      <c r="E34" s="103">
        <v>0.27700000000000002</v>
      </c>
      <c r="F34" s="103">
        <v>0.27700000000000002</v>
      </c>
      <c r="G34" s="103">
        <v>0.27800000000000002</v>
      </c>
      <c r="H34" s="103">
        <v>0.27800000000000002</v>
      </c>
      <c r="I34" s="103">
        <v>0.27900000000000003</v>
      </c>
      <c r="J34" s="103">
        <v>0.27900000000000003</v>
      </c>
      <c r="K34" s="103">
        <v>0.28000000000000003</v>
      </c>
      <c r="L34" s="103">
        <v>0.28100000000000003</v>
      </c>
      <c r="M34" s="103">
        <v>0.28100000000000003</v>
      </c>
    </row>
    <row r="35" spans="1:13" x14ac:dyDescent="0.25">
      <c r="A35" s="98">
        <v>28</v>
      </c>
      <c r="B35" s="103">
        <v>0.28199999999999997</v>
      </c>
      <c r="C35" s="103">
        <v>0.28199999999999997</v>
      </c>
      <c r="D35" s="103">
        <v>0.28299999999999997</v>
      </c>
      <c r="E35" s="103">
        <v>0.28299999999999997</v>
      </c>
      <c r="F35" s="103">
        <v>0.28399999999999997</v>
      </c>
      <c r="G35" s="103">
        <v>0.28499999999999998</v>
      </c>
      <c r="H35" s="103">
        <v>0.28499999999999998</v>
      </c>
      <c r="I35" s="103">
        <v>0.28599999999999998</v>
      </c>
      <c r="J35" s="103">
        <v>0.28599999999999998</v>
      </c>
      <c r="K35" s="103">
        <v>0.28699999999999998</v>
      </c>
      <c r="L35" s="103">
        <v>0.28799999999999998</v>
      </c>
      <c r="M35" s="103">
        <v>0.28799999999999998</v>
      </c>
    </row>
    <row r="36" spans="1:13" x14ac:dyDescent="0.25">
      <c r="A36" s="98">
        <v>29</v>
      </c>
      <c r="B36" s="103">
        <v>0.28899999999999998</v>
      </c>
      <c r="C36" s="103">
        <v>0.28899999999999998</v>
      </c>
      <c r="D36" s="103">
        <v>0.28999999999999998</v>
      </c>
      <c r="E36" s="103">
        <v>0.29099999999999998</v>
      </c>
      <c r="F36" s="103">
        <v>0.29099999999999998</v>
      </c>
      <c r="G36" s="103">
        <v>0.29199999999999998</v>
      </c>
      <c r="H36" s="103">
        <v>0.29199999999999998</v>
      </c>
      <c r="I36" s="103">
        <v>0.29299999999999998</v>
      </c>
      <c r="J36" s="103">
        <v>0.29399999999999998</v>
      </c>
      <c r="K36" s="103">
        <v>0.29399999999999998</v>
      </c>
      <c r="L36" s="103">
        <v>0.29499999999999998</v>
      </c>
      <c r="M36" s="103">
        <v>0.29499999999999998</v>
      </c>
    </row>
    <row r="37" spans="1:13" x14ac:dyDescent="0.25">
      <c r="A37" s="98">
        <v>30</v>
      </c>
      <c r="B37" s="103">
        <v>0.29599999999999999</v>
      </c>
      <c r="C37" s="103">
        <v>0.29699999999999999</v>
      </c>
      <c r="D37" s="103">
        <v>0.29699999999999999</v>
      </c>
      <c r="E37" s="103">
        <v>0.29799999999999999</v>
      </c>
      <c r="F37" s="103">
        <v>0.29899999999999999</v>
      </c>
      <c r="G37" s="103">
        <v>0.29899999999999999</v>
      </c>
      <c r="H37" s="103">
        <v>0.3</v>
      </c>
      <c r="I37" s="103">
        <v>0.3</v>
      </c>
      <c r="J37" s="103">
        <v>0.30099999999999999</v>
      </c>
      <c r="K37" s="103">
        <v>0.30199999999999999</v>
      </c>
      <c r="L37" s="103">
        <v>0.30199999999999999</v>
      </c>
      <c r="M37" s="103">
        <v>0.30299999999999999</v>
      </c>
    </row>
    <row r="38" spans="1:13" x14ac:dyDescent="0.25">
      <c r="A38" s="98">
        <v>31</v>
      </c>
      <c r="B38" s="103">
        <v>0.30399999999999999</v>
      </c>
      <c r="C38" s="103">
        <v>0.30399999999999999</v>
      </c>
      <c r="D38" s="103">
        <v>0.30499999999999999</v>
      </c>
      <c r="E38" s="103">
        <v>0.30599999999999999</v>
      </c>
      <c r="F38" s="103">
        <v>0.30599999999999999</v>
      </c>
      <c r="G38" s="103">
        <v>0.307</v>
      </c>
      <c r="H38" s="103">
        <v>0.307</v>
      </c>
      <c r="I38" s="103">
        <v>0.308</v>
      </c>
      <c r="J38" s="103">
        <v>0.309</v>
      </c>
      <c r="K38" s="103">
        <v>0.309</v>
      </c>
      <c r="L38" s="103">
        <v>0.31</v>
      </c>
      <c r="M38" s="103">
        <v>0.311</v>
      </c>
    </row>
    <row r="39" spans="1:13" x14ac:dyDescent="0.25">
      <c r="A39" s="98">
        <v>32</v>
      </c>
      <c r="B39" s="103">
        <v>0.311</v>
      </c>
      <c r="C39" s="103">
        <v>0.312</v>
      </c>
      <c r="D39" s="103">
        <v>0.313</v>
      </c>
      <c r="E39" s="103">
        <v>0.313</v>
      </c>
      <c r="F39" s="103">
        <v>0.314</v>
      </c>
      <c r="G39" s="103">
        <v>0.315</v>
      </c>
      <c r="H39" s="103">
        <v>0.315</v>
      </c>
      <c r="I39" s="103">
        <v>0.316</v>
      </c>
      <c r="J39" s="103">
        <v>0.317</v>
      </c>
      <c r="K39" s="103">
        <v>0.318</v>
      </c>
      <c r="L39" s="103">
        <v>0.318</v>
      </c>
      <c r="M39" s="103">
        <v>0.31900000000000001</v>
      </c>
    </row>
    <row r="40" spans="1:13" x14ac:dyDescent="0.25">
      <c r="A40" s="98">
        <v>33</v>
      </c>
      <c r="B40" s="103">
        <v>0.32</v>
      </c>
      <c r="C40" s="103">
        <v>0.32</v>
      </c>
      <c r="D40" s="103">
        <v>0.32100000000000001</v>
      </c>
      <c r="E40" s="103">
        <v>0.32200000000000001</v>
      </c>
      <c r="F40" s="103">
        <v>0.32200000000000001</v>
      </c>
      <c r="G40" s="103">
        <v>0.32300000000000001</v>
      </c>
      <c r="H40" s="103">
        <v>0.32400000000000001</v>
      </c>
      <c r="I40" s="103">
        <v>0.32500000000000001</v>
      </c>
      <c r="J40" s="103">
        <v>0.32500000000000001</v>
      </c>
      <c r="K40" s="103">
        <v>0.32600000000000001</v>
      </c>
      <c r="L40" s="103">
        <v>0.32700000000000001</v>
      </c>
      <c r="M40" s="103">
        <v>0.32700000000000001</v>
      </c>
    </row>
    <row r="41" spans="1:13" x14ac:dyDescent="0.25">
      <c r="A41" s="98">
        <v>34</v>
      </c>
      <c r="B41" s="103">
        <v>0.32800000000000001</v>
      </c>
      <c r="C41" s="103">
        <v>0.32900000000000001</v>
      </c>
      <c r="D41" s="103">
        <v>0.33</v>
      </c>
      <c r="E41" s="103">
        <v>0.33</v>
      </c>
      <c r="F41" s="103">
        <v>0.33100000000000002</v>
      </c>
      <c r="G41" s="103">
        <v>0.33200000000000002</v>
      </c>
      <c r="H41" s="103">
        <v>0.33200000000000002</v>
      </c>
      <c r="I41" s="103">
        <v>0.33300000000000002</v>
      </c>
      <c r="J41" s="103">
        <v>0.33400000000000002</v>
      </c>
      <c r="K41" s="103">
        <v>0.33500000000000002</v>
      </c>
      <c r="L41" s="103">
        <v>0.33500000000000002</v>
      </c>
      <c r="M41" s="103">
        <v>0.33600000000000002</v>
      </c>
    </row>
    <row r="42" spans="1:13" x14ac:dyDescent="0.25">
      <c r="A42" s="98">
        <v>35</v>
      </c>
      <c r="B42" s="103">
        <v>0.33700000000000002</v>
      </c>
      <c r="C42" s="103">
        <v>0.33800000000000002</v>
      </c>
      <c r="D42" s="103">
        <v>0.33800000000000002</v>
      </c>
      <c r="E42" s="103">
        <v>0.33900000000000002</v>
      </c>
      <c r="F42" s="103">
        <v>0.34</v>
      </c>
      <c r="G42" s="103">
        <v>0.34100000000000003</v>
      </c>
      <c r="H42" s="103">
        <v>0.34100000000000003</v>
      </c>
      <c r="I42" s="103">
        <v>0.34200000000000003</v>
      </c>
      <c r="J42" s="103">
        <v>0.34300000000000003</v>
      </c>
      <c r="K42" s="103">
        <v>0.34399999999999997</v>
      </c>
      <c r="L42" s="103">
        <v>0.34499999999999997</v>
      </c>
      <c r="M42" s="103">
        <v>0.34499999999999997</v>
      </c>
    </row>
    <row r="43" spans="1:13" x14ac:dyDescent="0.25">
      <c r="A43" s="98">
        <v>36</v>
      </c>
      <c r="B43" s="103">
        <v>0.34599999999999997</v>
      </c>
      <c r="C43" s="103">
        <v>0.34699999999999998</v>
      </c>
      <c r="D43" s="103">
        <v>0.34799999999999998</v>
      </c>
      <c r="E43" s="103">
        <v>0.34799999999999998</v>
      </c>
      <c r="F43" s="103">
        <v>0.34899999999999998</v>
      </c>
      <c r="G43" s="103">
        <v>0.35</v>
      </c>
      <c r="H43" s="103">
        <v>0.35099999999999998</v>
      </c>
      <c r="I43" s="103">
        <v>0.35199999999999998</v>
      </c>
      <c r="J43" s="103">
        <v>0.35199999999999998</v>
      </c>
      <c r="K43" s="103">
        <v>0.35299999999999998</v>
      </c>
      <c r="L43" s="103">
        <v>0.35399999999999998</v>
      </c>
      <c r="M43" s="103">
        <v>0.35499999999999998</v>
      </c>
    </row>
    <row r="44" spans="1:13" x14ac:dyDescent="0.25">
      <c r="A44" s="98">
        <v>37</v>
      </c>
      <c r="B44" s="103">
        <v>0.35599999999999998</v>
      </c>
      <c r="C44" s="103">
        <v>0.35599999999999998</v>
      </c>
      <c r="D44" s="103">
        <v>0.35699999999999998</v>
      </c>
      <c r="E44" s="103">
        <v>0.35799999999999998</v>
      </c>
      <c r="F44" s="103">
        <v>0.35899999999999999</v>
      </c>
      <c r="G44" s="103">
        <v>0.36</v>
      </c>
      <c r="H44" s="103">
        <v>0.36099999999999999</v>
      </c>
      <c r="I44" s="103">
        <v>0.36099999999999999</v>
      </c>
      <c r="J44" s="103">
        <v>0.36199999999999999</v>
      </c>
      <c r="K44" s="103">
        <v>0.36299999999999999</v>
      </c>
      <c r="L44" s="103">
        <v>0.36399999999999999</v>
      </c>
      <c r="M44" s="103">
        <v>0.36499999999999999</v>
      </c>
    </row>
    <row r="45" spans="1:13" x14ac:dyDescent="0.25">
      <c r="A45" s="98">
        <v>38</v>
      </c>
      <c r="B45" s="103">
        <v>0.36599999999999999</v>
      </c>
      <c r="C45" s="103">
        <v>0.36699999999999999</v>
      </c>
      <c r="D45" s="103">
        <v>0.36699999999999999</v>
      </c>
      <c r="E45" s="103">
        <v>0.36799999999999999</v>
      </c>
      <c r="F45" s="103">
        <v>0.36899999999999999</v>
      </c>
      <c r="G45" s="103">
        <v>0.37</v>
      </c>
      <c r="H45" s="103">
        <v>0.371</v>
      </c>
      <c r="I45" s="103">
        <v>0.372</v>
      </c>
      <c r="J45" s="103">
        <v>0.373</v>
      </c>
      <c r="K45" s="103">
        <v>0.373</v>
      </c>
      <c r="L45" s="103">
        <v>0.374</v>
      </c>
      <c r="M45" s="103">
        <v>0.375</v>
      </c>
    </row>
    <row r="46" spans="1:13" x14ac:dyDescent="0.25">
      <c r="A46" s="98">
        <v>39</v>
      </c>
      <c r="B46" s="103">
        <v>0.376</v>
      </c>
      <c r="C46" s="103">
        <v>0.377</v>
      </c>
      <c r="D46" s="103">
        <v>0.378</v>
      </c>
      <c r="E46" s="103">
        <v>0.379</v>
      </c>
      <c r="F46" s="103">
        <v>0.38</v>
      </c>
      <c r="G46" s="103">
        <v>0.38100000000000001</v>
      </c>
      <c r="H46" s="103">
        <v>0.38200000000000001</v>
      </c>
      <c r="I46" s="103">
        <v>0.38200000000000001</v>
      </c>
      <c r="J46" s="103">
        <v>0.38300000000000001</v>
      </c>
      <c r="K46" s="103">
        <v>0.38400000000000001</v>
      </c>
      <c r="L46" s="103">
        <v>0.38500000000000001</v>
      </c>
      <c r="M46" s="103">
        <v>0.38600000000000001</v>
      </c>
    </row>
    <row r="47" spans="1:13" x14ac:dyDescent="0.25">
      <c r="A47" s="98">
        <v>40</v>
      </c>
      <c r="B47" s="103">
        <v>0.38700000000000001</v>
      </c>
      <c r="C47" s="103">
        <v>0.38800000000000001</v>
      </c>
      <c r="D47" s="103">
        <v>0.38900000000000001</v>
      </c>
      <c r="E47" s="103">
        <v>0.39</v>
      </c>
      <c r="F47" s="103">
        <v>0.39100000000000001</v>
      </c>
      <c r="G47" s="103">
        <v>0.39200000000000002</v>
      </c>
      <c r="H47" s="103">
        <v>0.39300000000000002</v>
      </c>
      <c r="I47" s="103">
        <v>0.39400000000000002</v>
      </c>
      <c r="J47" s="103">
        <v>0.39500000000000002</v>
      </c>
      <c r="K47" s="103">
        <v>0.39600000000000002</v>
      </c>
      <c r="L47" s="103">
        <v>0.39600000000000002</v>
      </c>
      <c r="M47" s="103">
        <v>0.39700000000000002</v>
      </c>
    </row>
    <row r="48" spans="1:13" x14ac:dyDescent="0.25">
      <c r="A48" s="98">
        <v>41</v>
      </c>
      <c r="B48" s="103">
        <v>0.39800000000000002</v>
      </c>
      <c r="C48" s="103">
        <v>0.39900000000000002</v>
      </c>
      <c r="D48" s="103">
        <v>0.4</v>
      </c>
      <c r="E48" s="103">
        <v>0.40100000000000002</v>
      </c>
      <c r="F48" s="103">
        <v>0.40200000000000002</v>
      </c>
      <c r="G48" s="103">
        <v>0.40300000000000002</v>
      </c>
      <c r="H48" s="103">
        <v>0.40400000000000003</v>
      </c>
      <c r="I48" s="103">
        <v>0.40500000000000003</v>
      </c>
      <c r="J48" s="103">
        <v>0.40600000000000003</v>
      </c>
      <c r="K48" s="103">
        <v>0.40699999999999997</v>
      </c>
      <c r="L48" s="103">
        <v>0.40799999999999997</v>
      </c>
      <c r="M48" s="103">
        <v>0.40899999999999997</v>
      </c>
    </row>
    <row r="49" spans="1:13" x14ac:dyDescent="0.25">
      <c r="A49" s="98">
        <v>42</v>
      </c>
      <c r="B49" s="103">
        <v>0.41</v>
      </c>
      <c r="C49" s="103">
        <v>0.41099999999999998</v>
      </c>
      <c r="D49" s="103">
        <v>0.41199999999999998</v>
      </c>
      <c r="E49" s="103">
        <v>0.41299999999999998</v>
      </c>
      <c r="F49" s="103">
        <v>0.41399999999999998</v>
      </c>
      <c r="G49" s="103">
        <v>0.41599999999999998</v>
      </c>
      <c r="H49" s="103">
        <v>0.41699999999999998</v>
      </c>
      <c r="I49" s="103">
        <v>0.41799999999999998</v>
      </c>
      <c r="J49" s="103">
        <v>0.41899999999999998</v>
      </c>
      <c r="K49" s="103">
        <v>0.42</v>
      </c>
      <c r="L49" s="103">
        <v>0.42099999999999999</v>
      </c>
      <c r="M49" s="103">
        <v>0.42199999999999999</v>
      </c>
    </row>
    <row r="50" spans="1:13" x14ac:dyDescent="0.25">
      <c r="A50" s="98">
        <v>43</v>
      </c>
      <c r="B50" s="103">
        <v>0.42299999999999999</v>
      </c>
      <c r="C50" s="103">
        <v>0.42399999999999999</v>
      </c>
      <c r="D50" s="103">
        <v>0.42499999999999999</v>
      </c>
      <c r="E50" s="103">
        <v>0.42599999999999999</v>
      </c>
      <c r="F50" s="103">
        <v>0.42699999999999999</v>
      </c>
      <c r="G50" s="103">
        <v>0.42799999999999999</v>
      </c>
      <c r="H50" s="103">
        <v>0.42899999999999999</v>
      </c>
      <c r="I50" s="103">
        <v>0.43</v>
      </c>
      <c r="J50" s="103">
        <v>0.432</v>
      </c>
      <c r="K50" s="103">
        <v>0.433</v>
      </c>
      <c r="L50" s="103">
        <v>0.434</v>
      </c>
      <c r="M50" s="103">
        <v>0.435</v>
      </c>
    </row>
    <row r="51" spans="1:13" x14ac:dyDescent="0.25">
      <c r="A51" s="98">
        <v>44</v>
      </c>
      <c r="B51" s="103">
        <v>0.436</v>
      </c>
      <c r="C51" s="103">
        <v>0.437</v>
      </c>
      <c r="D51" s="103">
        <v>0.438</v>
      </c>
      <c r="E51" s="103">
        <v>0.439</v>
      </c>
      <c r="F51" s="103">
        <v>0.441</v>
      </c>
      <c r="G51" s="103">
        <v>0.442</v>
      </c>
      <c r="H51" s="103">
        <v>0.443</v>
      </c>
      <c r="I51" s="103">
        <v>0.44400000000000001</v>
      </c>
      <c r="J51" s="103">
        <v>0.44500000000000001</v>
      </c>
      <c r="K51" s="103">
        <v>0.44600000000000001</v>
      </c>
      <c r="L51" s="103">
        <v>0.44700000000000001</v>
      </c>
      <c r="M51" s="103">
        <v>0.44900000000000001</v>
      </c>
    </row>
    <row r="52" spans="1:13" x14ac:dyDescent="0.25">
      <c r="A52" s="98">
        <v>45</v>
      </c>
      <c r="B52" s="103">
        <v>0.45</v>
      </c>
      <c r="C52" s="103">
        <v>0.45100000000000001</v>
      </c>
      <c r="D52" s="103">
        <v>0.45200000000000001</v>
      </c>
      <c r="E52" s="103">
        <v>0.45300000000000001</v>
      </c>
      <c r="F52" s="103">
        <v>0.45500000000000002</v>
      </c>
      <c r="G52" s="103">
        <v>0.45600000000000002</v>
      </c>
      <c r="H52" s="103">
        <v>0.45700000000000002</v>
      </c>
      <c r="I52" s="103">
        <v>0.45800000000000002</v>
      </c>
      <c r="J52" s="103">
        <v>0.45900000000000002</v>
      </c>
      <c r="K52" s="103">
        <v>0.46100000000000002</v>
      </c>
      <c r="L52" s="103">
        <v>0.46200000000000002</v>
      </c>
      <c r="M52" s="103">
        <v>0.46300000000000002</v>
      </c>
    </row>
    <row r="53" spans="1:13" x14ac:dyDescent="0.25">
      <c r="A53" s="98">
        <v>46</v>
      </c>
      <c r="B53" s="103">
        <v>0.46400000000000002</v>
      </c>
      <c r="C53" s="103">
        <v>0.46500000000000002</v>
      </c>
      <c r="D53" s="103">
        <v>0.46700000000000003</v>
      </c>
      <c r="E53" s="103">
        <v>0.46800000000000003</v>
      </c>
      <c r="F53" s="103">
        <v>0.46899999999999997</v>
      </c>
      <c r="G53" s="103">
        <v>0.47099999999999997</v>
      </c>
      <c r="H53" s="103">
        <v>0.47199999999999998</v>
      </c>
      <c r="I53" s="103">
        <v>0.47299999999999998</v>
      </c>
      <c r="J53" s="103">
        <v>0.47399999999999998</v>
      </c>
      <c r="K53" s="103">
        <v>0.47599999999999998</v>
      </c>
      <c r="L53" s="103">
        <v>0.47699999999999998</v>
      </c>
      <c r="M53" s="103">
        <v>0.47799999999999998</v>
      </c>
    </row>
    <row r="54" spans="1:13" x14ac:dyDescent="0.25">
      <c r="A54" s="98">
        <v>47</v>
      </c>
      <c r="B54" s="103">
        <v>0.47899999999999998</v>
      </c>
      <c r="C54" s="103">
        <v>0.48099999999999998</v>
      </c>
      <c r="D54" s="103">
        <v>0.48199999999999998</v>
      </c>
      <c r="E54" s="103">
        <v>0.48299999999999998</v>
      </c>
      <c r="F54" s="103">
        <v>0.48499999999999999</v>
      </c>
      <c r="G54" s="103">
        <v>0.48599999999999999</v>
      </c>
      <c r="H54" s="103">
        <v>0.48699999999999999</v>
      </c>
      <c r="I54" s="103">
        <v>0.48899999999999999</v>
      </c>
      <c r="J54" s="103">
        <v>0.49</v>
      </c>
      <c r="K54" s="103">
        <v>0.49099999999999999</v>
      </c>
      <c r="L54" s="103">
        <v>0.49299999999999999</v>
      </c>
      <c r="M54" s="103">
        <v>0.49399999999999999</v>
      </c>
    </row>
    <row r="55" spans="1:13" x14ac:dyDescent="0.25">
      <c r="A55" s="98">
        <v>48</v>
      </c>
      <c r="B55" s="103">
        <v>0.496</v>
      </c>
      <c r="C55" s="103">
        <v>0.497</v>
      </c>
      <c r="D55" s="103">
        <v>0.498</v>
      </c>
      <c r="E55" s="103">
        <v>0.5</v>
      </c>
      <c r="F55" s="103">
        <v>0.501</v>
      </c>
      <c r="G55" s="103">
        <v>0.503</v>
      </c>
      <c r="H55" s="103">
        <v>0.504</v>
      </c>
      <c r="I55" s="103">
        <v>0.505</v>
      </c>
      <c r="J55" s="103">
        <v>0.50700000000000001</v>
      </c>
      <c r="K55" s="103">
        <v>0.50800000000000001</v>
      </c>
      <c r="L55" s="103">
        <v>0.51</v>
      </c>
      <c r="M55" s="103">
        <v>0.51100000000000001</v>
      </c>
    </row>
    <row r="56" spans="1:13" x14ac:dyDescent="0.25">
      <c r="A56" s="98">
        <v>49</v>
      </c>
      <c r="B56" s="103">
        <v>0.51200000000000001</v>
      </c>
      <c r="C56" s="103">
        <v>0.51400000000000001</v>
      </c>
      <c r="D56" s="103">
        <v>0.51500000000000001</v>
      </c>
      <c r="E56" s="103">
        <v>0.51700000000000002</v>
      </c>
      <c r="F56" s="103">
        <v>0.51800000000000002</v>
      </c>
      <c r="G56" s="103">
        <v>0.52</v>
      </c>
      <c r="H56" s="103">
        <v>0.52100000000000002</v>
      </c>
      <c r="I56" s="103">
        <v>0.52300000000000002</v>
      </c>
      <c r="J56" s="103">
        <v>0.52400000000000002</v>
      </c>
      <c r="K56" s="103">
        <v>0.52600000000000002</v>
      </c>
      <c r="L56" s="103">
        <v>0.52700000000000002</v>
      </c>
      <c r="M56" s="103">
        <v>0.52900000000000003</v>
      </c>
    </row>
    <row r="57" spans="1:13" x14ac:dyDescent="0.25">
      <c r="A57" s="98">
        <v>50</v>
      </c>
      <c r="B57" s="103">
        <v>0.53</v>
      </c>
      <c r="C57" s="103">
        <v>0.53200000000000003</v>
      </c>
      <c r="D57" s="103">
        <v>0.53400000000000003</v>
      </c>
      <c r="E57" s="103">
        <v>0.53500000000000003</v>
      </c>
      <c r="F57" s="103">
        <v>0.53700000000000003</v>
      </c>
      <c r="G57" s="103">
        <v>0.53800000000000003</v>
      </c>
      <c r="H57" s="103">
        <v>0.54</v>
      </c>
      <c r="I57" s="103">
        <v>0.54100000000000004</v>
      </c>
      <c r="J57" s="103">
        <v>0.54300000000000004</v>
      </c>
      <c r="K57" s="103">
        <v>0.54500000000000004</v>
      </c>
      <c r="L57" s="103">
        <v>0.54600000000000004</v>
      </c>
      <c r="M57" s="103">
        <v>0.54800000000000004</v>
      </c>
    </row>
    <row r="58" spans="1:13" x14ac:dyDescent="0.25">
      <c r="A58" s="98">
        <v>51</v>
      </c>
      <c r="B58" s="103">
        <v>0.54900000000000004</v>
      </c>
      <c r="C58" s="103">
        <v>0.55100000000000005</v>
      </c>
      <c r="D58" s="103">
        <v>0.55300000000000005</v>
      </c>
      <c r="E58" s="103">
        <v>0.55400000000000005</v>
      </c>
      <c r="F58" s="103">
        <v>0.55600000000000005</v>
      </c>
      <c r="G58" s="103">
        <v>0.55800000000000005</v>
      </c>
      <c r="H58" s="103">
        <v>0.55900000000000005</v>
      </c>
      <c r="I58" s="103">
        <v>0.56100000000000005</v>
      </c>
      <c r="J58" s="103">
        <v>0.56299999999999994</v>
      </c>
      <c r="K58" s="103">
        <v>0.56399999999999995</v>
      </c>
      <c r="L58" s="103">
        <v>0.56599999999999995</v>
      </c>
      <c r="M58" s="103">
        <v>0.56799999999999995</v>
      </c>
    </row>
    <row r="59" spans="1:13" x14ac:dyDescent="0.25">
      <c r="A59" s="98">
        <v>52</v>
      </c>
      <c r="B59" s="103">
        <v>0.56899999999999995</v>
      </c>
      <c r="C59" s="103">
        <v>0.57099999999999995</v>
      </c>
      <c r="D59" s="103">
        <v>0.57299999999999995</v>
      </c>
      <c r="E59" s="103">
        <v>0.57499999999999996</v>
      </c>
      <c r="F59" s="103">
        <v>0.57599999999999996</v>
      </c>
      <c r="G59" s="103">
        <v>0.57799999999999996</v>
      </c>
      <c r="H59" s="103">
        <v>0.57999999999999996</v>
      </c>
      <c r="I59" s="103">
        <v>0.58199999999999996</v>
      </c>
      <c r="J59" s="103">
        <v>0.58399999999999996</v>
      </c>
      <c r="K59" s="103">
        <v>0.58499999999999996</v>
      </c>
      <c r="L59" s="103">
        <v>0.58699999999999997</v>
      </c>
      <c r="M59" s="103">
        <v>0.58899999999999997</v>
      </c>
    </row>
    <row r="60" spans="1:13" x14ac:dyDescent="0.25">
      <c r="A60" s="98">
        <v>53</v>
      </c>
      <c r="B60" s="103">
        <v>0.59099999999999997</v>
      </c>
      <c r="C60" s="103">
        <v>0.59299999999999997</v>
      </c>
      <c r="D60" s="103">
        <v>0.59399999999999997</v>
      </c>
      <c r="E60" s="103">
        <v>0.59599999999999997</v>
      </c>
      <c r="F60" s="103">
        <v>0.59799999999999998</v>
      </c>
      <c r="G60" s="103">
        <v>0.6</v>
      </c>
      <c r="H60" s="103">
        <v>0.60199999999999998</v>
      </c>
      <c r="I60" s="103">
        <v>0.60399999999999998</v>
      </c>
      <c r="J60" s="103">
        <v>0.60599999999999998</v>
      </c>
      <c r="K60" s="103">
        <v>0.60799999999999998</v>
      </c>
      <c r="L60" s="103">
        <v>0.61</v>
      </c>
      <c r="M60" s="103">
        <v>0.61099999999999999</v>
      </c>
    </row>
    <row r="61" spans="1:13" x14ac:dyDescent="0.25">
      <c r="A61" s="98">
        <v>54</v>
      </c>
      <c r="B61" s="103">
        <v>0.61299999999999999</v>
      </c>
      <c r="C61" s="103">
        <v>0.61499999999999999</v>
      </c>
      <c r="D61" s="103">
        <v>0.61699999999999999</v>
      </c>
      <c r="E61" s="103">
        <v>0.61899999999999999</v>
      </c>
      <c r="F61" s="103">
        <v>0.621</v>
      </c>
      <c r="G61" s="103">
        <v>0.623</v>
      </c>
      <c r="H61" s="103">
        <v>0.625</v>
      </c>
      <c r="I61" s="103">
        <v>0.627</v>
      </c>
      <c r="J61" s="103">
        <v>0.629</v>
      </c>
      <c r="K61" s="103">
        <v>0.63100000000000001</v>
      </c>
      <c r="L61" s="103">
        <v>0.63300000000000001</v>
      </c>
      <c r="M61" s="103">
        <v>0.63500000000000001</v>
      </c>
    </row>
    <row r="62" spans="1:13" x14ac:dyDescent="0.25">
      <c r="A62" s="98">
        <v>55</v>
      </c>
      <c r="B62" s="103">
        <v>0.63700000000000001</v>
      </c>
      <c r="C62" s="103">
        <v>0.64</v>
      </c>
      <c r="D62" s="103">
        <v>0.64200000000000002</v>
      </c>
      <c r="E62" s="103">
        <v>0.64400000000000002</v>
      </c>
      <c r="F62" s="103">
        <v>0.64600000000000002</v>
      </c>
      <c r="G62" s="103">
        <v>0.64800000000000002</v>
      </c>
      <c r="H62" s="103">
        <v>0.65</v>
      </c>
      <c r="I62" s="103">
        <v>0.65200000000000002</v>
      </c>
      <c r="J62" s="103">
        <v>0.65500000000000003</v>
      </c>
      <c r="K62" s="103">
        <v>0.65700000000000003</v>
      </c>
      <c r="L62" s="103">
        <v>0.65900000000000003</v>
      </c>
      <c r="M62" s="103">
        <v>0.66100000000000003</v>
      </c>
    </row>
    <row r="63" spans="1:13" x14ac:dyDescent="0.25">
      <c r="A63" s="98">
        <v>56</v>
      </c>
      <c r="B63" s="103">
        <v>0.66300000000000003</v>
      </c>
      <c r="C63" s="103">
        <v>0.66500000000000004</v>
      </c>
      <c r="D63" s="103">
        <v>0.66800000000000004</v>
      </c>
      <c r="E63" s="103">
        <v>0.67</v>
      </c>
      <c r="F63" s="103">
        <v>0.67200000000000004</v>
      </c>
      <c r="G63" s="103">
        <v>0.67500000000000004</v>
      </c>
      <c r="H63" s="103">
        <v>0.67700000000000005</v>
      </c>
      <c r="I63" s="103">
        <v>0.67900000000000005</v>
      </c>
      <c r="J63" s="103">
        <v>0.68100000000000005</v>
      </c>
      <c r="K63" s="103">
        <v>0.68400000000000005</v>
      </c>
      <c r="L63" s="103">
        <v>0.68600000000000005</v>
      </c>
      <c r="M63" s="103">
        <v>0.68799999999999994</v>
      </c>
    </row>
    <row r="64" spans="1:13" x14ac:dyDescent="0.25">
      <c r="A64" s="98">
        <v>57</v>
      </c>
      <c r="B64" s="103">
        <v>0.69099999999999995</v>
      </c>
      <c r="C64" s="103">
        <v>0.69299999999999995</v>
      </c>
      <c r="D64" s="103">
        <v>0.69599999999999995</v>
      </c>
      <c r="E64" s="103">
        <v>0.69799999999999995</v>
      </c>
      <c r="F64" s="103">
        <v>0.7</v>
      </c>
      <c r="G64" s="103">
        <v>0.70299999999999996</v>
      </c>
      <c r="H64" s="103">
        <v>0.70499999999999996</v>
      </c>
      <c r="I64" s="103">
        <v>0.70799999999999996</v>
      </c>
      <c r="J64" s="103">
        <v>0.71</v>
      </c>
      <c r="K64" s="103">
        <v>0.71299999999999997</v>
      </c>
      <c r="L64" s="103">
        <v>0.71499999999999997</v>
      </c>
      <c r="M64" s="103">
        <v>0.71799999999999997</v>
      </c>
    </row>
    <row r="65" spans="1:13" x14ac:dyDescent="0.25">
      <c r="A65" s="98">
        <v>58</v>
      </c>
      <c r="B65" s="103">
        <v>0.72</v>
      </c>
      <c r="C65" s="103">
        <v>0.72299999999999998</v>
      </c>
      <c r="D65" s="103">
        <v>0.72499999999999998</v>
      </c>
      <c r="E65" s="103">
        <v>0.72799999999999998</v>
      </c>
      <c r="F65" s="103">
        <v>0.73099999999999998</v>
      </c>
      <c r="G65" s="103">
        <v>0.73299999999999998</v>
      </c>
      <c r="H65" s="103">
        <v>0.73599999999999999</v>
      </c>
      <c r="I65" s="103">
        <v>0.73899999999999999</v>
      </c>
      <c r="J65" s="103">
        <v>0.74099999999999999</v>
      </c>
      <c r="K65" s="103">
        <v>0.74399999999999999</v>
      </c>
      <c r="L65" s="103">
        <v>0.746</v>
      </c>
      <c r="M65" s="103">
        <v>0.749</v>
      </c>
    </row>
    <row r="66" spans="1:13" x14ac:dyDescent="0.25">
      <c r="A66" s="98">
        <v>59</v>
      </c>
      <c r="B66" s="103">
        <v>0.752</v>
      </c>
      <c r="C66" s="103">
        <v>0.755</v>
      </c>
      <c r="D66" s="103">
        <v>0.75700000000000001</v>
      </c>
      <c r="E66" s="103">
        <v>0.76</v>
      </c>
      <c r="F66" s="103">
        <v>0.76300000000000001</v>
      </c>
      <c r="G66" s="103">
        <v>0.76600000000000001</v>
      </c>
      <c r="H66" s="103">
        <v>0.76900000000000002</v>
      </c>
      <c r="I66" s="103">
        <v>0.77200000000000002</v>
      </c>
      <c r="J66" s="103">
        <v>0.77400000000000002</v>
      </c>
      <c r="K66" s="103">
        <v>0.77700000000000002</v>
      </c>
      <c r="L66" s="103">
        <v>0.78</v>
      </c>
      <c r="M66" s="103">
        <v>0.78300000000000003</v>
      </c>
    </row>
    <row r="67" spans="1:13" x14ac:dyDescent="0.25">
      <c r="A67" s="98">
        <v>60</v>
      </c>
      <c r="B67" s="103">
        <v>0.78600000000000003</v>
      </c>
      <c r="C67" s="103">
        <v>0.78900000000000003</v>
      </c>
      <c r="D67" s="103">
        <v>0.79200000000000004</v>
      </c>
      <c r="E67" s="103">
        <v>0.79500000000000004</v>
      </c>
      <c r="F67" s="103">
        <v>0.79800000000000004</v>
      </c>
      <c r="G67" s="103">
        <v>0.80100000000000005</v>
      </c>
      <c r="H67" s="103">
        <v>0.80400000000000005</v>
      </c>
      <c r="I67" s="103">
        <v>0.80700000000000005</v>
      </c>
      <c r="J67" s="103">
        <v>0.81</v>
      </c>
      <c r="K67" s="103">
        <v>0.81299999999999994</v>
      </c>
      <c r="L67" s="103">
        <v>0.81599999999999995</v>
      </c>
      <c r="M67" s="103">
        <v>0.81899999999999995</v>
      </c>
    </row>
    <row r="68" spans="1:13" x14ac:dyDescent="0.25">
      <c r="A68" s="98">
        <v>61</v>
      </c>
      <c r="B68" s="103">
        <v>0.82199999999999995</v>
      </c>
      <c r="C68" s="103">
        <v>0.82599999999999996</v>
      </c>
      <c r="D68" s="103">
        <v>0.82899999999999996</v>
      </c>
      <c r="E68" s="103">
        <v>0.83199999999999996</v>
      </c>
      <c r="F68" s="103">
        <v>0.83599999999999997</v>
      </c>
      <c r="G68" s="103">
        <v>0.83899999999999997</v>
      </c>
      <c r="H68" s="103">
        <v>0.84199999999999997</v>
      </c>
      <c r="I68" s="103">
        <v>0.84499999999999997</v>
      </c>
      <c r="J68" s="103">
        <v>0.84899999999999998</v>
      </c>
      <c r="K68" s="103">
        <v>0.85199999999999998</v>
      </c>
      <c r="L68" s="103">
        <v>0.85499999999999998</v>
      </c>
      <c r="M68" s="103">
        <v>0.85899999999999999</v>
      </c>
    </row>
    <row r="69" spans="1:13" x14ac:dyDescent="0.25">
      <c r="A69" s="98">
        <v>62</v>
      </c>
      <c r="B69" s="103">
        <v>0.86199999999999999</v>
      </c>
      <c r="C69" s="103">
        <v>0.86599999999999999</v>
      </c>
      <c r="D69" s="103">
        <v>0.86899999999999999</v>
      </c>
      <c r="E69" s="103">
        <v>0.873</v>
      </c>
      <c r="F69" s="103">
        <v>0.876</v>
      </c>
      <c r="G69" s="103">
        <v>0.88</v>
      </c>
      <c r="H69" s="103">
        <v>0.88300000000000001</v>
      </c>
      <c r="I69" s="103">
        <v>0.88700000000000001</v>
      </c>
      <c r="J69" s="103">
        <v>0.89100000000000001</v>
      </c>
      <c r="K69" s="103">
        <v>0.89400000000000002</v>
      </c>
      <c r="L69" s="103">
        <v>0.89800000000000002</v>
      </c>
      <c r="M69" s="103">
        <v>0.90100000000000002</v>
      </c>
    </row>
    <row r="70" spans="1:13" x14ac:dyDescent="0.25">
      <c r="A70" s="98">
        <v>63</v>
      </c>
      <c r="B70" s="103">
        <v>0.90500000000000003</v>
      </c>
      <c r="C70" s="103">
        <v>0.90900000000000003</v>
      </c>
      <c r="D70" s="103">
        <v>0.91300000000000003</v>
      </c>
      <c r="E70" s="103">
        <v>0.91700000000000004</v>
      </c>
      <c r="F70" s="103">
        <v>0.92</v>
      </c>
      <c r="G70" s="103">
        <v>0.92400000000000004</v>
      </c>
      <c r="H70" s="103">
        <v>0.92800000000000005</v>
      </c>
      <c r="I70" s="103">
        <v>0.93200000000000005</v>
      </c>
      <c r="J70" s="103">
        <v>0.93600000000000005</v>
      </c>
      <c r="K70" s="103">
        <v>0.94</v>
      </c>
      <c r="L70" s="103">
        <v>0.94399999999999995</v>
      </c>
      <c r="M70" s="103">
        <v>0.94699999999999995</v>
      </c>
    </row>
    <row r="71" spans="1:13" x14ac:dyDescent="0.25">
      <c r="A71" s="98">
        <v>64</v>
      </c>
      <c r="B71" s="103">
        <v>0.95199999999999996</v>
      </c>
      <c r="C71" s="103">
        <v>0.95599999999999996</v>
      </c>
      <c r="D71" s="103">
        <v>0.96</v>
      </c>
      <c r="E71" s="103">
        <v>0.96399999999999997</v>
      </c>
      <c r="F71" s="103">
        <v>0.96799999999999997</v>
      </c>
      <c r="G71" s="103">
        <v>0.97299999999999998</v>
      </c>
      <c r="H71" s="103">
        <v>0.97699999999999998</v>
      </c>
      <c r="I71" s="103">
        <v>0.98099999999999998</v>
      </c>
      <c r="J71" s="103">
        <v>0.98499999999999999</v>
      </c>
      <c r="K71" s="103">
        <v>0.98899999999999999</v>
      </c>
      <c r="L71" s="103">
        <v>0.99399999999999999</v>
      </c>
      <c r="M71" s="103">
        <v>0.998</v>
      </c>
    </row>
    <row r="72" spans="1:13" x14ac:dyDescent="0.25">
      <c r="A72" s="98">
        <v>65</v>
      </c>
      <c r="B72" s="103">
        <v>1</v>
      </c>
      <c r="C72" s="103"/>
      <c r="D72" s="103"/>
      <c r="E72" s="103"/>
      <c r="F72" s="103"/>
      <c r="G72" s="103"/>
      <c r="H72" s="103"/>
      <c r="I72" s="103"/>
      <c r="J72" s="103"/>
      <c r="K72" s="103"/>
      <c r="L72" s="103"/>
      <c r="M72" s="103"/>
    </row>
  </sheetData>
  <sheetProtection algorithmName="SHA-512" hashValue="SqErpPbMhNDVkvAsouuk9GMzIn3sVobCLb8soNsFDMKO+7gcBqmEmxbD3C6vhZ6Lio5D+Ola4MlU+y6Fo05/+A==" saltValue="gp2HlghVBxhD5i8JYH+/0A==" spinCount="100000" sheet="1" objects="1" scenarios="1"/>
  <conditionalFormatting sqref="A6:A21">
    <cfRule type="expression" dxfId="107" priority="11" stopIfTrue="1">
      <formula>MOD(ROW(),2)=0</formula>
    </cfRule>
    <cfRule type="expression" dxfId="106" priority="12" stopIfTrue="1">
      <formula>MOD(ROW(),2)&lt;&gt;0</formula>
    </cfRule>
  </conditionalFormatting>
  <conditionalFormatting sqref="A26:A72">
    <cfRule type="expression" dxfId="105" priority="3" stopIfTrue="1">
      <formula>MOD(ROW(),2)=0</formula>
    </cfRule>
    <cfRule type="expression" dxfId="104" priority="4" stopIfTrue="1">
      <formula>MOD(ROW(),2)&lt;&gt;0</formula>
    </cfRule>
  </conditionalFormatting>
  <conditionalFormatting sqref="B17:B21">
    <cfRule type="expression" dxfId="103" priority="1" stopIfTrue="1">
      <formula>MOD(ROW(),2)=0</formula>
    </cfRule>
    <cfRule type="expression" dxfId="102" priority="2" stopIfTrue="1">
      <formula>MOD(ROW(),2)&lt;&gt;0</formula>
    </cfRule>
  </conditionalFormatting>
  <conditionalFormatting sqref="B6:M21">
    <cfRule type="expression" dxfId="101" priority="19" stopIfTrue="1">
      <formula>MOD(ROW(),2)=0</formula>
    </cfRule>
    <cfRule type="expression" dxfId="100" priority="20" stopIfTrue="1">
      <formula>MOD(ROW(),2)&lt;&gt;0</formula>
    </cfRule>
  </conditionalFormatting>
  <conditionalFormatting sqref="B26:M72">
    <cfRule type="expression" dxfId="99" priority="5" stopIfTrue="1">
      <formula>MOD(ROW(),2)=0</formula>
    </cfRule>
    <cfRule type="expression" dxfId="98" priority="6" stopIfTrue="1">
      <formula>MOD(ROW(),2)&lt;&gt;0</formula>
    </cfRule>
  </conditionalFormatting>
  <hyperlinks>
    <hyperlink ref="B24" location="Assumptions!A1" display="Assumptions" xr:uid="{A02FDFEE-C7C4-43AD-9894-C0159662468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10"/>
  <dimension ref="A1:M67"/>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Abatement - x-819</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657</v>
      </c>
      <c r="C9" s="161"/>
      <c r="D9" s="161"/>
      <c r="E9" s="161"/>
      <c r="F9" s="161"/>
      <c r="G9" s="161"/>
      <c r="H9" s="161"/>
      <c r="I9" s="161"/>
      <c r="J9" s="161"/>
      <c r="K9" s="161"/>
      <c r="L9" s="161"/>
      <c r="M9" s="161"/>
    </row>
    <row r="10" spans="1:13" x14ac:dyDescent="0.25">
      <c r="A10" s="77" t="s">
        <v>6</v>
      </c>
      <c r="B10" s="161" t="s">
        <v>665</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659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819</v>
      </c>
      <c r="C14" s="161"/>
      <c r="D14" s="161"/>
      <c r="E14" s="161"/>
      <c r="F14" s="161"/>
      <c r="G14" s="161"/>
      <c r="H14" s="161"/>
      <c r="I14" s="161"/>
      <c r="J14" s="161"/>
      <c r="K14" s="161"/>
      <c r="L14" s="161"/>
      <c r="M14" s="161"/>
    </row>
    <row r="15" spans="1:13" x14ac:dyDescent="0.25">
      <c r="A15" s="77" t="s">
        <v>291</v>
      </c>
      <c r="B15" s="161" t="s">
        <v>666</v>
      </c>
      <c r="C15" s="161"/>
      <c r="D15" s="161"/>
      <c r="E15" s="161"/>
      <c r="F15" s="161"/>
      <c r="G15" s="161"/>
      <c r="H15" s="161"/>
      <c r="I15" s="161"/>
      <c r="J15" s="161"/>
      <c r="K15" s="161"/>
      <c r="L15" s="161"/>
      <c r="M15" s="161"/>
    </row>
    <row r="16" spans="1:13" x14ac:dyDescent="0.25">
      <c r="A16" s="77" t="s">
        <v>293</v>
      </c>
      <c r="B16" s="161" t="s">
        <v>667</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20</v>
      </c>
      <c r="B27" s="103">
        <v>0.32200000000000001</v>
      </c>
      <c r="C27" s="103">
        <v>0.32300000000000001</v>
      </c>
      <c r="D27" s="103">
        <v>0.32300000000000001</v>
      </c>
      <c r="E27" s="103">
        <v>0.32400000000000001</v>
      </c>
      <c r="F27" s="103">
        <v>0.32400000000000001</v>
      </c>
      <c r="G27" s="103">
        <v>0.32500000000000001</v>
      </c>
      <c r="H27" s="103">
        <v>0.32600000000000001</v>
      </c>
      <c r="I27" s="103">
        <v>0.32600000000000001</v>
      </c>
      <c r="J27" s="103">
        <v>0.32700000000000001</v>
      </c>
      <c r="K27" s="103">
        <v>0.32700000000000001</v>
      </c>
      <c r="L27" s="103">
        <v>0.32800000000000001</v>
      </c>
      <c r="M27" s="103">
        <v>0.32900000000000001</v>
      </c>
    </row>
    <row r="28" spans="1:13" x14ac:dyDescent="0.25">
      <c r="A28" s="98">
        <v>21</v>
      </c>
      <c r="B28" s="103">
        <v>0.32900000000000001</v>
      </c>
      <c r="C28" s="103">
        <v>0.33</v>
      </c>
      <c r="D28" s="103">
        <v>0.33</v>
      </c>
      <c r="E28" s="103">
        <v>0.33100000000000002</v>
      </c>
      <c r="F28" s="103">
        <v>0.33200000000000002</v>
      </c>
      <c r="G28" s="103">
        <v>0.33200000000000002</v>
      </c>
      <c r="H28" s="103">
        <v>0.33300000000000002</v>
      </c>
      <c r="I28" s="103">
        <v>0.33400000000000002</v>
      </c>
      <c r="J28" s="103">
        <v>0.33400000000000002</v>
      </c>
      <c r="K28" s="103">
        <v>0.33500000000000002</v>
      </c>
      <c r="L28" s="103">
        <v>0.33500000000000002</v>
      </c>
      <c r="M28" s="103">
        <v>0.33600000000000002</v>
      </c>
    </row>
    <row r="29" spans="1:13" x14ac:dyDescent="0.25">
      <c r="A29" s="98">
        <v>22</v>
      </c>
      <c r="B29" s="103">
        <v>0.33700000000000002</v>
      </c>
      <c r="C29" s="103">
        <v>0.33700000000000002</v>
      </c>
      <c r="D29" s="103">
        <v>0.33800000000000002</v>
      </c>
      <c r="E29" s="103">
        <v>0.33900000000000002</v>
      </c>
      <c r="F29" s="103">
        <v>0.33900000000000002</v>
      </c>
      <c r="G29" s="103">
        <v>0.34</v>
      </c>
      <c r="H29" s="103">
        <v>0.34100000000000003</v>
      </c>
      <c r="I29" s="103">
        <v>0.34100000000000003</v>
      </c>
      <c r="J29" s="103">
        <v>0.34200000000000003</v>
      </c>
      <c r="K29" s="103">
        <v>0.34200000000000003</v>
      </c>
      <c r="L29" s="103">
        <v>0.34300000000000003</v>
      </c>
      <c r="M29" s="103">
        <v>0.34399999999999997</v>
      </c>
    </row>
    <row r="30" spans="1:13" x14ac:dyDescent="0.25">
      <c r="A30" s="98">
        <v>23</v>
      </c>
      <c r="B30" s="103">
        <v>0.34399999999999997</v>
      </c>
      <c r="C30" s="103">
        <v>0.34499999999999997</v>
      </c>
      <c r="D30" s="103">
        <v>0.34599999999999997</v>
      </c>
      <c r="E30" s="103">
        <v>0.34599999999999997</v>
      </c>
      <c r="F30" s="103">
        <v>0.34699999999999998</v>
      </c>
      <c r="G30" s="103">
        <v>0.34799999999999998</v>
      </c>
      <c r="H30" s="103">
        <v>0.34799999999999998</v>
      </c>
      <c r="I30" s="103">
        <v>0.34899999999999998</v>
      </c>
      <c r="J30" s="103">
        <v>0.35</v>
      </c>
      <c r="K30" s="103">
        <v>0.35</v>
      </c>
      <c r="L30" s="103">
        <v>0.35099999999999998</v>
      </c>
      <c r="M30" s="103">
        <v>0.35199999999999998</v>
      </c>
    </row>
    <row r="31" spans="1:13" x14ac:dyDescent="0.25">
      <c r="A31" s="98">
        <v>24</v>
      </c>
      <c r="B31" s="103">
        <v>0.35199999999999998</v>
      </c>
      <c r="C31" s="103">
        <v>0.35299999999999998</v>
      </c>
      <c r="D31" s="103">
        <v>0.35399999999999998</v>
      </c>
      <c r="E31" s="103">
        <v>0.35399999999999998</v>
      </c>
      <c r="F31" s="103">
        <v>0.35499999999999998</v>
      </c>
      <c r="G31" s="103">
        <v>0.35599999999999998</v>
      </c>
      <c r="H31" s="103">
        <v>0.35599999999999998</v>
      </c>
      <c r="I31" s="103">
        <v>0.35699999999999998</v>
      </c>
      <c r="J31" s="103">
        <v>0.35799999999999998</v>
      </c>
      <c r="K31" s="103">
        <v>0.35799999999999998</v>
      </c>
      <c r="L31" s="103">
        <v>0.35899999999999999</v>
      </c>
      <c r="M31" s="103">
        <v>0.36</v>
      </c>
    </row>
    <row r="32" spans="1:13" x14ac:dyDescent="0.25">
      <c r="A32" s="98">
        <v>25</v>
      </c>
      <c r="B32" s="103">
        <v>0.36099999999999999</v>
      </c>
      <c r="C32" s="103">
        <v>0.36099999999999999</v>
      </c>
      <c r="D32" s="103">
        <v>0.36199999999999999</v>
      </c>
      <c r="E32" s="103">
        <v>0.36299999999999999</v>
      </c>
      <c r="F32" s="103">
        <v>0.36299999999999999</v>
      </c>
      <c r="G32" s="103">
        <v>0.36399999999999999</v>
      </c>
      <c r="H32" s="103">
        <v>0.36499999999999999</v>
      </c>
      <c r="I32" s="103">
        <v>0.36599999999999999</v>
      </c>
      <c r="J32" s="103">
        <v>0.36599999999999999</v>
      </c>
      <c r="K32" s="103">
        <v>0.36699999999999999</v>
      </c>
      <c r="L32" s="103">
        <v>0.36799999999999999</v>
      </c>
      <c r="M32" s="103">
        <v>0.36799999999999999</v>
      </c>
    </row>
    <row r="33" spans="1:13" x14ac:dyDescent="0.25">
      <c r="A33" s="98">
        <v>26</v>
      </c>
      <c r="B33" s="103">
        <v>0.36899999999999999</v>
      </c>
      <c r="C33" s="103">
        <v>0.37</v>
      </c>
      <c r="D33" s="103">
        <v>0.371</v>
      </c>
      <c r="E33" s="103">
        <v>0.371</v>
      </c>
      <c r="F33" s="103">
        <v>0.372</v>
      </c>
      <c r="G33" s="103">
        <v>0.373</v>
      </c>
      <c r="H33" s="103">
        <v>0.373</v>
      </c>
      <c r="I33" s="103">
        <v>0.374</v>
      </c>
      <c r="J33" s="103">
        <v>0.375</v>
      </c>
      <c r="K33" s="103">
        <v>0.376</v>
      </c>
      <c r="L33" s="103">
        <v>0.376</v>
      </c>
      <c r="M33" s="103">
        <v>0.377</v>
      </c>
    </row>
    <row r="34" spans="1:13" x14ac:dyDescent="0.25">
      <c r="A34" s="98">
        <v>27</v>
      </c>
      <c r="B34" s="103">
        <v>0.378</v>
      </c>
      <c r="C34" s="103">
        <v>0.379</v>
      </c>
      <c r="D34" s="103">
        <v>0.379</v>
      </c>
      <c r="E34" s="103">
        <v>0.38</v>
      </c>
      <c r="F34" s="103">
        <v>0.38100000000000001</v>
      </c>
      <c r="G34" s="103">
        <v>0.38200000000000001</v>
      </c>
      <c r="H34" s="103">
        <v>0.38200000000000001</v>
      </c>
      <c r="I34" s="103">
        <v>0.38300000000000001</v>
      </c>
      <c r="J34" s="103">
        <v>0.38400000000000001</v>
      </c>
      <c r="K34" s="103">
        <v>0.38500000000000001</v>
      </c>
      <c r="L34" s="103">
        <v>0.38500000000000001</v>
      </c>
      <c r="M34" s="103">
        <v>0.38600000000000001</v>
      </c>
    </row>
    <row r="35" spans="1:13" x14ac:dyDescent="0.25">
      <c r="A35" s="98">
        <v>28</v>
      </c>
      <c r="B35" s="103">
        <v>0.38700000000000001</v>
      </c>
      <c r="C35" s="103">
        <v>0.38800000000000001</v>
      </c>
      <c r="D35" s="103">
        <v>0.38900000000000001</v>
      </c>
      <c r="E35" s="103">
        <v>0.38900000000000001</v>
      </c>
      <c r="F35" s="103">
        <v>0.39</v>
      </c>
      <c r="G35" s="103">
        <v>0.39100000000000001</v>
      </c>
      <c r="H35" s="103">
        <v>0.39200000000000002</v>
      </c>
      <c r="I35" s="103">
        <v>0.39200000000000002</v>
      </c>
      <c r="J35" s="103">
        <v>0.39300000000000002</v>
      </c>
      <c r="K35" s="103">
        <v>0.39400000000000002</v>
      </c>
      <c r="L35" s="103">
        <v>0.39500000000000002</v>
      </c>
      <c r="M35" s="103">
        <v>0.39600000000000002</v>
      </c>
    </row>
    <row r="36" spans="1:13" x14ac:dyDescent="0.25">
      <c r="A36" s="98">
        <v>29</v>
      </c>
      <c r="B36" s="103">
        <v>0.39600000000000002</v>
      </c>
      <c r="C36" s="103">
        <v>0.39700000000000002</v>
      </c>
      <c r="D36" s="103">
        <v>0.39800000000000002</v>
      </c>
      <c r="E36" s="103">
        <v>0.39900000000000002</v>
      </c>
      <c r="F36" s="103">
        <v>0.4</v>
      </c>
      <c r="G36" s="103">
        <v>0.40100000000000002</v>
      </c>
      <c r="H36" s="103">
        <v>0.40100000000000002</v>
      </c>
      <c r="I36" s="103">
        <v>0.40200000000000002</v>
      </c>
      <c r="J36" s="103">
        <v>0.40300000000000002</v>
      </c>
      <c r="K36" s="103">
        <v>0.40400000000000003</v>
      </c>
      <c r="L36" s="103">
        <v>0.40500000000000003</v>
      </c>
      <c r="M36" s="103">
        <v>0.40500000000000003</v>
      </c>
    </row>
    <row r="37" spans="1:13" x14ac:dyDescent="0.25">
      <c r="A37" s="98">
        <v>30</v>
      </c>
      <c r="B37" s="103">
        <v>0.40600000000000003</v>
      </c>
      <c r="C37" s="103">
        <v>0.40699999999999997</v>
      </c>
      <c r="D37" s="103">
        <v>0.40799999999999997</v>
      </c>
      <c r="E37" s="103">
        <v>0.40899999999999997</v>
      </c>
      <c r="F37" s="103">
        <v>0.41</v>
      </c>
      <c r="G37" s="103">
        <v>0.41</v>
      </c>
      <c r="H37" s="103">
        <v>0.41099999999999998</v>
      </c>
      <c r="I37" s="103">
        <v>0.41199999999999998</v>
      </c>
      <c r="J37" s="103">
        <v>0.41299999999999998</v>
      </c>
      <c r="K37" s="103">
        <v>0.41399999999999998</v>
      </c>
      <c r="L37" s="103">
        <v>0.41499999999999998</v>
      </c>
      <c r="M37" s="103">
        <v>0.41599999999999998</v>
      </c>
    </row>
    <row r="38" spans="1:13" x14ac:dyDescent="0.25">
      <c r="A38" s="98">
        <v>31</v>
      </c>
      <c r="B38" s="103">
        <v>0.41599999999999998</v>
      </c>
      <c r="C38" s="103">
        <v>0.41699999999999998</v>
      </c>
      <c r="D38" s="103">
        <v>0.41799999999999998</v>
      </c>
      <c r="E38" s="103">
        <v>0.41899999999999998</v>
      </c>
      <c r="F38" s="103">
        <v>0.42</v>
      </c>
      <c r="G38" s="103">
        <v>0.42099999999999999</v>
      </c>
      <c r="H38" s="103">
        <v>0.42199999999999999</v>
      </c>
      <c r="I38" s="103">
        <v>0.42299999999999999</v>
      </c>
      <c r="J38" s="103">
        <v>0.42299999999999999</v>
      </c>
      <c r="K38" s="103">
        <v>0.42399999999999999</v>
      </c>
      <c r="L38" s="103">
        <v>0.42499999999999999</v>
      </c>
      <c r="M38" s="103">
        <v>0.42599999999999999</v>
      </c>
    </row>
    <row r="39" spans="1:13" x14ac:dyDescent="0.25">
      <c r="A39" s="98">
        <v>32</v>
      </c>
      <c r="B39" s="103">
        <v>0.42699999999999999</v>
      </c>
      <c r="C39" s="103">
        <v>0.42799999999999999</v>
      </c>
      <c r="D39" s="103">
        <v>0.42899999999999999</v>
      </c>
      <c r="E39" s="103">
        <v>0.43</v>
      </c>
      <c r="F39" s="103">
        <v>0.43099999999999999</v>
      </c>
      <c r="G39" s="103">
        <v>0.432</v>
      </c>
      <c r="H39" s="103">
        <v>0.432</v>
      </c>
      <c r="I39" s="103">
        <v>0.433</v>
      </c>
      <c r="J39" s="103">
        <v>0.434</v>
      </c>
      <c r="K39" s="103">
        <v>0.435</v>
      </c>
      <c r="L39" s="103">
        <v>0.436</v>
      </c>
      <c r="M39" s="103">
        <v>0.437</v>
      </c>
    </row>
    <row r="40" spans="1:13" x14ac:dyDescent="0.25">
      <c r="A40" s="98">
        <v>33</v>
      </c>
      <c r="B40" s="103">
        <v>0.438</v>
      </c>
      <c r="C40" s="103">
        <v>0.439</v>
      </c>
      <c r="D40" s="103">
        <v>0.44</v>
      </c>
      <c r="E40" s="103">
        <v>0.441</v>
      </c>
      <c r="F40" s="103">
        <v>0.442</v>
      </c>
      <c r="G40" s="103">
        <v>0.443</v>
      </c>
      <c r="H40" s="103">
        <v>0.44400000000000001</v>
      </c>
      <c r="I40" s="103">
        <v>0.44500000000000001</v>
      </c>
      <c r="J40" s="103">
        <v>0.44600000000000001</v>
      </c>
      <c r="K40" s="103">
        <v>0.44600000000000001</v>
      </c>
      <c r="L40" s="103">
        <v>0.44700000000000001</v>
      </c>
      <c r="M40" s="103">
        <v>0.44800000000000001</v>
      </c>
    </row>
    <row r="41" spans="1:13" x14ac:dyDescent="0.25">
      <c r="A41" s="98">
        <v>34</v>
      </c>
      <c r="B41" s="103">
        <v>0.44900000000000001</v>
      </c>
      <c r="C41" s="103">
        <v>0.45</v>
      </c>
      <c r="D41" s="103">
        <v>0.45100000000000001</v>
      </c>
      <c r="E41" s="103">
        <v>0.45200000000000001</v>
      </c>
      <c r="F41" s="103">
        <v>0.45300000000000001</v>
      </c>
      <c r="G41" s="103">
        <v>0.45400000000000001</v>
      </c>
      <c r="H41" s="103">
        <v>0.45500000000000002</v>
      </c>
      <c r="I41" s="103">
        <v>0.45600000000000002</v>
      </c>
      <c r="J41" s="103">
        <v>0.45700000000000002</v>
      </c>
      <c r="K41" s="103">
        <v>0.45800000000000002</v>
      </c>
      <c r="L41" s="103">
        <v>0.45900000000000002</v>
      </c>
      <c r="M41" s="103">
        <v>0.46</v>
      </c>
    </row>
    <row r="42" spans="1:13" x14ac:dyDescent="0.25">
      <c r="A42" s="98">
        <v>35</v>
      </c>
      <c r="B42" s="103">
        <v>0.46100000000000002</v>
      </c>
      <c r="C42" s="103">
        <v>0.46200000000000002</v>
      </c>
      <c r="D42" s="103">
        <v>0.46300000000000002</v>
      </c>
      <c r="E42" s="103">
        <v>0.46400000000000002</v>
      </c>
      <c r="F42" s="103">
        <v>0.46500000000000002</v>
      </c>
      <c r="G42" s="103">
        <v>0.46600000000000003</v>
      </c>
      <c r="H42" s="103">
        <v>0.46700000000000003</v>
      </c>
      <c r="I42" s="103">
        <v>0.46800000000000003</v>
      </c>
      <c r="J42" s="103">
        <v>0.46899999999999997</v>
      </c>
      <c r="K42" s="103">
        <v>0.47</v>
      </c>
      <c r="L42" s="103">
        <v>0.47199999999999998</v>
      </c>
      <c r="M42" s="103">
        <v>0.47299999999999998</v>
      </c>
    </row>
    <row r="43" spans="1:13" x14ac:dyDescent="0.25">
      <c r="A43" s="98">
        <v>36</v>
      </c>
      <c r="B43" s="103">
        <v>0.47399999999999998</v>
      </c>
      <c r="C43" s="103">
        <v>0.47499999999999998</v>
      </c>
      <c r="D43" s="103">
        <v>0.47599999999999998</v>
      </c>
      <c r="E43" s="103">
        <v>0.47699999999999998</v>
      </c>
      <c r="F43" s="103">
        <v>0.47799999999999998</v>
      </c>
      <c r="G43" s="103">
        <v>0.47899999999999998</v>
      </c>
      <c r="H43" s="103">
        <v>0.48</v>
      </c>
      <c r="I43" s="103">
        <v>0.48099999999999998</v>
      </c>
      <c r="J43" s="103">
        <v>0.48199999999999998</v>
      </c>
      <c r="K43" s="103">
        <v>0.48299999999999998</v>
      </c>
      <c r="L43" s="103">
        <v>0.48399999999999999</v>
      </c>
      <c r="M43" s="103">
        <v>0.48499999999999999</v>
      </c>
    </row>
    <row r="44" spans="1:13" x14ac:dyDescent="0.25">
      <c r="A44" s="98">
        <v>37</v>
      </c>
      <c r="B44" s="103">
        <v>0.48599999999999999</v>
      </c>
      <c r="C44" s="103">
        <v>0.48799999999999999</v>
      </c>
      <c r="D44" s="103">
        <v>0.48899999999999999</v>
      </c>
      <c r="E44" s="103">
        <v>0.49</v>
      </c>
      <c r="F44" s="103">
        <v>0.49099999999999999</v>
      </c>
      <c r="G44" s="103">
        <v>0.49199999999999999</v>
      </c>
      <c r="H44" s="103">
        <v>0.49299999999999999</v>
      </c>
      <c r="I44" s="103">
        <v>0.49399999999999999</v>
      </c>
      <c r="J44" s="103">
        <v>0.495</v>
      </c>
      <c r="K44" s="103">
        <v>0.497</v>
      </c>
      <c r="L44" s="103">
        <v>0.498</v>
      </c>
      <c r="M44" s="103">
        <v>0.499</v>
      </c>
    </row>
    <row r="45" spans="1:13" x14ac:dyDescent="0.25">
      <c r="A45" s="98">
        <v>38</v>
      </c>
      <c r="B45" s="103">
        <v>0.5</v>
      </c>
      <c r="C45" s="103">
        <v>0.501</v>
      </c>
      <c r="D45" s="103">
        <v>0.502</v>
      </c>
      <c r="E45" s="103">
        <v>0.503</v>
      </c>
      <c r="F45" s="103">
        <v>0.505</v>
      </c>
      <c r="G45" s="103">
        <v>0.50600000000000001</v>
      </c>
      <c r="H45" s="103">
        <v>0.50700000000000001</v>
      </c>
      <c r="I45" s="103">
        <v>0.50800000000000001</v>
      </c>
      <c r="J45" s="103">
        <v>0.50900000000000001</v>
      </c>
      <c r="K45" s="103">
        <v>0.51</v>
      </c>
      <c r="L45" s="103">
        <v>0.51200000000000001</v>
      </c>
      <c r="M45" s="103">
        <v>0.51300000000000001</v>
      </c>
    </row>
    <row r="46" spans="1:13" x14ac:dyDescent="0.25">
      <c r="A46" s="98">
        <v>39</v>
      </c>
      <c r="B46" s="103">
        <v>0.51400000000000001</v>
      </c>
      <c r="C46" s="103">
        <v>0.51500000000000001</v>
      </c>
      <c r="D46" s="103">
        <v>0.51600000000000001</v>
      </c>
      <c r="E46" s="103">
        <v>0.51800000000000002</v>
      </c>
      <c r="F46" s="103">
        <v>0.51900000000000002</v>
      </c>
      <c r="G46" s="103">
        <v>0.52</v>
      </c>
      <c r="H46" s="103">
        <v>0.52100000000000002</v>
      </c>
      <c r="I46" s="103">
        <v>0.52200000000000002</v>
      </c>
      <c r="J46" s="103">
        <v>0.52400000000000002</v>
      </c>
      <c r="K46" s="103">
        <v>0.52500000000000002</v>
      </c>
      <c r="L46" s="103">
        <v>0.52600000000000002</v>
      </c>
      <c r="M46" s="103">
        <v>0.52700000000000002</v>
      </c>
    </row>
    <row r="47" spans="1:13" x14ac:dyDescent="0.25">
      <c r="A47" s="98">
        <v>40</v>
      </c>
      <c r="B47" s="103">
        <v>0.52900000000000003</v>
      </c>
      <c r="C47" s="103">
        <v>0.53</v>
      </c>
      <c r="D47" s="103">
        <v>0.53100000000000003</v>
      </c>
      <c r="E47" s="103">
        <v>0.53200000000000003</v>
      </c>
      <c r="F47" s="103">
        <v>0.53400000000000003</v>
      </c>
      <c r="G47" s="103">
        <v>0.53500000000000003</v>
      </c>
      <c r="H47" s="103">
        <v>0.53600000000000003</v>
      </c>
      <c r="I47" s="103">
        <v>0.53800000000000003</v>
      </c>
      <c r="J47" s="103">
        <v>0.53900000000000003</v>
      </c>
      <c r="K47" s="103">
        <v>0.54</v>
      </c>
      <c r="L47" s="103">
        <v>0.54100000000000004</v>
      </c>
      <c r="M47" s="103">
        <v>0.54300000000000004</v>
      </c>
    </row>
    <row r="48" spans="1:13" x14ac:dyDescent="0.25">
      <c r="A48" s="98">
        <v>41</v>
      </c>
      <c r="B48" s="103">
        <v>0.54400000000000004</v>
      </c>
      <c r="C48" s="103">
        <v>0.54500000000000004</v>
      </c>
      <c r="D48" s="103">
        <v>0.54700000000000004</v>
      </c>
      <c r="E48" s="103">
        <v>0.54800000000000004</v>
      </c>
      <c r="F48" s="103">
        <v>0.54900000000000004</v>
      </c>
      <c r="G48" s="103">
        <v>0.55100000000000005</v>
      </c>
      <c r="H48" s="103">
        <v>0.55200000000000005</v>
      </c>
      <c r="I48" s="103">
        <v>0.55300000000000005</v>
      </c>
      <c r="J48" s="103">
        <v>0.55500000000000005</v>
      </c>
      <c r="K48" s="103">
        <v>0.55600000000000005</v>
      </c>
      <c r="L48" s="103">
        <v>0.55700000000000005</v>
      </c>
      <c r="M48" s="103">
        <v>0.55900000000000005</v>
      </c>
    </row>
    <row r="49" spans="1:13" x14ac:dyDescent="0.25">
      <c r="A49" s="98">
        <v>42</v>
      </c>
      <c r="B49" s="103">
        <v>0.56000000000000005</v>
      </c>
      <c r="C49" s="103">
        <v>0.56100000000000005</v>
      </c>
      <c r="D49" s="103">
        <v>0.56299999999999994</v>
      </c>
      <c r="E49" s="103">
        <v>0.56399999999999995</v>
      </c>
      <c r="F49" s="103">
        <v>0.56599999999999995</v>
      </c>
      <c r="G49" s="103">
        <v>0.56699999999999995</v>
      </c>
      <c r="H49" s="103">
        <v>0.56799999999999995</v>
      </c>
      <c r="I49" s="103">
        <v>0.56999999999999995</v>
      </c>
      <c r="J49" s="103">
        <v>0.57099999999999995</v>
      </c>
      <c r="K49" s="103">
        <v>0.57299999999999995</v>
      </c>
      <c r="L49" s="103">
        <v>0.57399999999999995</v>
      </c>
      <c r="M49" s="103">
        <v>0.57499999999999996</v>
      </c>
    </row>
    <row r="50" spans="1:13" x14ac:dyDescent="0.25">
      <c r="A50" s="98">
        <v>43</v>
      </c>
      <c r="B50" s="103">
        <v>0.57699999999999996</v>
      </c>
      <c r="C50" s="103">
        <v>0.57799999999999996</v>
      </c>
      <c r="D50" s="103">
        <v>0.57999999999999996</v>
      </c>
      <c r="E50" s="103">
        <v>0.58099999999999996</v>
      </c>
      <c r="F50" s="103">
        <v>0.58299999999999996</v>
      </c>
      <c r="G50" s="103">
        <v>0.58399999999999996</v>
      </c>
      <c r="H50" s="103">
        <v>0.58599999999999997</v>
      </c>
      <c r="I50" s="103">
        <v>0.58699999999999997</v>
      </c>
      <c r="J50" s="103">
        <v>0.58899999999999997</v>
      </c>
      <c r="K50" s="103">
        <v>0.59</v>
      </c>
      <c r="L50" s="103">
        <v>0.59099999999999997</v>
      </c>
      <c r="M50" s="103">
        <v>0.59299999999999997</v>
      </c>
    </row>
    <row r="51" spans="1:13" x14ac:dyDescent="0.25">
      <c r="A51" s="98">
        <v>44</v>
      </c>
      <c r="B51" s="103">
        <v>0.59399999999999997</v>
      </c>
      <c r="C51" s="103">
        <v>0.59599999999999997</v>
      </c>
      <c r="D51" s="103">
        <v>0.59699999999999998</v>
      </c>
      <c r="E51" s="103">
        <v>0.59899999999999998</v>
      </c>
      <c r="F51" s="103">
        <v>0.60099999999999998</v>
      </c>
      <c r="G51" s="103">
        <v>0.60199999999999998</v>
      </c>
      <c r="H51" s="103">
        <v>0.60399999999999998</v>
      </c>
      <c r="I51" s="103">
        <v>0.60499999999999998</v>
      </c>
      <c r="J51" s="103">
        <v>0.60699999999999998</v>
      </c>
      <c r="K51" s="103">
        <v>0.60799999999999998</v>
      </c>
      <c r="L51" s="103">
        <v>0.61</v>
      </c>
      <c r="M51" s="103">
        <v>0.61099999999999999</v>
      </c>
    </row>
    <row r="52" spans="1:13" x14ac:dyDescent="0.25">
      <c r="A52" s="98">
        <v>45</v>
      </c>
      <c r="B52" s="103">
        <v>0.61299999999999999</v>
      </c>
      <c r="C52" s="103">
        <v>0.61499999999999999</v>
      </c>
      <c r="D52" s="103">
        <v>0.61599999999999999</v>
      </c>
      <c r="E52" s="103">
        <v>0.61799999999999999</v>
      </c>
      <c r="F52" s="103">
        <v>0.61899999999999999</v>
      </c>
      <c r="G52" s="103">
        <v>0.621</v>
      </c>
      <c r="H52" s="103">
        <v>0.623</v>
      </c>
      <c r="I52" s="103">
        <v>0.624</v>
      </c>
      <c r="J52" s="103">
        <v>0.626</v>
      </c>
      <c r="K52" s="103">
        <v>0.627</v>
      </c>
      <c r="L52" s="103">
        <v>0.629</v>
      </c>
      <c r="M52" s="103">
        <v>0.63100000000000001</v>
      </c>
    </row>
    <row r="53" spans="1:13" x14ac:dyDescent="0.25">
      <c r="A53" s="98">
        <v>46</v>
      </c>
      <c r="B53" s="103">
        <v>0.63200000000000001</v>
      </c>
      <c r="C53" s="103">
        <v>0.63400000000000001</v>
      </c>
      <c r="D53" s="103">
        <v>0.63600000000000001</v>
      </c>
      <c r="E53" s="103">
        <v>0.63800000000000001</v>
      </c>
      <c r="F53" s="103">
        <v>0.63900000000000001</v>
      </c>
      <c r="G53" s="103">
        <v>0.64100000000000001</v>
      </c>
      <c r="H53" s="103">
        <v>0.64300000000000002</v>
      </c>
      <c r="I53" s="103">
        <v>0.64400000000000002</v>
      </c>
      <c r="J53" s="103">
        <v>0.64600000000000002</v>
      </c>
      <c r="K53" s="103">
        <v>0.64800000000000002</v>
      </c>
      <c r="L53" s="103">
        <v>0.64900000000000002</v>
      </c>
      <c r="M53" s="103">
        <v>0.65100000000000002</v>
      </c>
    </row>
    <row r="54" spans="1:13" x14ac:dyDescent="0.25">
      <c r="A54" s="98">
        <v>47</v>
      </c>
      <c r="B54" s="103">
        <v>0.65300000000000002</v>
      </c>
      <c r="C54" s="103">
        <v>0.65500000000000003</v>
      </c>
      <c r="D54" s="103">
        <v>0.65600000000000003</v>
      </c>
      <c r="E54" s="103">
        <v>0.65800000000000003</v>
      </c>
      <c r="F54" s="103">
        <v>0.66</v>
      </c>
      <c r="G54" s="103">
        <v>0.66200000000000003</v>
      </c>
      <c r="H54" s="103">
        <v>0.66400000000000003</v>
      </c>
      <c r="I54" s="103">
        <v>0.66500000000000004</v>
      </c>
      <c r="J54" s="103">
        <v>0.66700000000000004</v>
      </c>
      <c r="K54" s="103">
        <v>0.66900000000000004</v>
      </c>
      <c r="L54" s="103">
        <v>0.67100000000000004</v>
      </c>
      <c r="M54" s="103">
        <v>0.67300000000000004</v>
      </c>
    </row>
    <row r="55" spans="1:13" x14ac:dyDescent="0.25">
      <c r="A55" s="98">
        <v>48</v>
      </c>
      <c r="B55" s="103">
        <v>0.67400000000000004</v>
      </c>
      <c r="C55" s="103">
        <v>0.67600000000000005</v>
      </c>
      <c r="D55" s="103">
        <v>0.67800000000000005</v>
      </c>
      <c r="E55" s="103">
        <v>0.68</v>
      </c>
      <c r="F55" s="103">
        <v>0.68200000000000005</v>
      </c>
      <c r="G55" s="103">
        <v>0.68400000000000005</v>
      </c>
      <c r="H55" s="103">
        <v>0.68600000000000005</v>
      </c>
      <c r="I55" s="103">
        <v>0.68799999999999994</v>
      </c>
      <c r="J55" s="103">
        <v>0.69</v>
      </c>
      <c r="K55" s="103">
        <v>0.69199999999999995</v>
      </c>
      <c r="L55" s="103">
        <v>0.69299999999999995</v>
      </c>
      <c r="M55" s="103">
        <v>0.69499999999999995</v>
      </c>
    </row>
    <row r="56" spans="1:13" x14ac:dyDescent="0.25">
      <c r="A56" s="98">
        <v>49</v>
      </c>
      <c r="B56" s="103">
        <v>0.69699999999999995</v>
      </c>
      <c r="C56" s="103">
        <v>0.69899999999999995</v>
      </c>
      <c r="D56" s="103">
        <v>0.70099999999999996</v>
      </c>
      <c r="E56" s="103">
        <v>0.70299999999999996</v>
      </c>
      <c r="F56" s="103">
        <v>0.70499999999999996</v>
      </c>
      <c r="G56" s="103">
        <v>0.70699999999999996</v>
      </c>
      <c r="H56" s="103">
        <v>0.70899999999999996</v>
      </c>
      <c r="I56" s="103">
        <v>0.71099999999999997</v>
      </c>
      <c r="J56" s="103">
        <v>0.71299999999999997</v>
      </c>
      <c r="K56" s="103">
        <v>0.71499999999999997</v>
      </c>
      <c r="L56" s="103">
        <v>0.71699999999999997</v>
      </c>
      <c r="M56" s="103">
        <v>0.71899999999999997</v>
      </c>
    </row>
    <row r="57" spans="1:13" x14ac:dyDescent="0.25">
      <c r="A57" s="98">
        <v>50</v>
      </c>
      <c r="B57" s="103">
        <v>0.72099999999999997</v>
      </c>
      <c r="C57" s="103">
        <v>0.72299999999999998</v>
      </c>
      <c r="D57" s="103">
        <v>0.72599999999999998</v>
      </c>
      <c r="E57" s="103">
        <v>0.72799999999999998</v>
      </c>
      <c r="F57" s="103">
        <v>0.73</v>
      </c>
      <c r="G57" s="103">
        <v>0.73199999999999998</v>
      </c>
      <c r="H57" s="103">
        <v>0.73399999999999999</v>
      </c>
      <c r="I57" s="103">
        <v>0.73599999999999999</v>
      </c>
      <c r="J57" s="103">
        <v>0.73799999999999999</v>
      </c>
      <c r="K57" s="103">
        <v>0.74</v>
      </c>
      <c r="L57" s="103">
        <v>0.74299999999999999</v>
      </c>
      <c r="M57" s="103">
        <v>0.745</v>
      </c>
    </row>
    <row r="58" spans="1:13" x14ac:dyDescent="0.25">
      <c r="A58" s="98">
        <v>51</v>
      </c>
      <c r="B58" s="103">
        <v>0.747</v>
      </c>
      <c r="C58" s="103">
        <v>0.749</v>
      </c>
      <c r="D58" s="103">
        <v>0.751</v>
      </c>
      <c r="E58" s="103">
        <v>0.754</v>
      </c>
      <c r="F58" s="103">
        <v>0.75600000000000001</v>
      </c>
      <c r="G58" s="103">
        <v>0.75800000000000001</v>
      </c>
      <c r="H58" s="103">
        <v>0.76</v>
      </c>
      <c r="I58" s="103">
        <v>0.76300000000000001</v>
      </c>
      <c r="J58" s="103">
        <v>0.76500000000000001</v>
      </c>
      <c r="K58" s="103">
        <v>0.76700000000000002</v>
      </c>
      <c r="L58" s="103">
        <v>0.76900000000000002</v>
      </c>
      <c r="M58" s="103">
        <v>0.77200000000000002</v>
      </c>
    </row>
    <row r="59" spans="1:13" x14ac:dyDescent="0.25">
      <c r="A59" s="98">
        <v>52</v>
      </c>
      <c r="B59" s="103">
        <v>0.77400000000000002</v>
      </c>
      <c r="C59" s="103">
        <v>0.77600000000000002</v>
      </c>
      <c r="D59" s="103">
        <v>0.77900000000000003</v>
      </c>
      <c r="E59" s="103">
        <v>0.78100000000000003</v>
      </c>
      <c r="F59" s="103">
        <v>0.78300000000000003</v>
      </c>
      <c r="G59" s="103">
        <v>0.78600000000000003</v>
      </c>
      <c r="H59" s="103">
        <v>0.78800000000000003</v>
      </c>
      <c r="I59" s="103">
        <v>0.79100000000000004</v>
      </c>
      <c r="J59" s="103">
        <v>0.79300000000000004</v>
      </c>
      <c r="K59" s="103">
        <v>0.79500000000000004</v>
      </c>
      <c r="L59" s="103">
        <v>0.79800000000000004</v>
      </c>
      <c r="M59" s="103">
        <v>0.8</v>
      </c>
    </row>
    <row r="60" spans="1:13" x14ac:dyDescent="0.25">
      <c r="A60" s="98">
        <v>53</v>
      </c>
      <c r="B60" s="103">
        <v>0.80300000000000005</v>
      </c>
      <c r="C60" s="103">
        <v>0.80500000000000005</v>
      </c>
      <c r="D60" s="103">
        <v>0.80800000000000005</v>
      </c>
      <c r="E60" s="103">
        <v>0.81</v>
      </c>
      <c r="F60" s="103">
        <v>0.81299999999999994</v>
      </c>
      <c r="G60" s="103">
        <v>0.81499999999999995</v>
      </c>
      <c r="H60" s="103">
        <v>0.81799999999999995</v>
      </c>
      <c r="I60" s="103">
        <v>0.82</v>
      </c>
      <c r="J60" s="103">
        <v>0.82299999999999995</v>
      </c>
      <c r="K60" s="103">
        <v>0.82499999999999996</v>
      </c>
      <c r="L60" s="103">
        <v>0.82799999999999996</v>
      </c>
      <c r="M60" s="103">
        <v>0.83</v>
      </c>
    </row>
    <row r="61" spans="1:13" x14ac:dyDescent="0.25">
      <c r="A61" s="98">
        <v>54</v>
      </c>
      <c r="B61" s="103">
        <v>0.83299999999999996</v>
      </c>
      <c r="C61" s="103">
        <v>0.83499999999999996</v>
      </c>
      <c r="D61" s="103">
        <v>0.83699999999999997</v>
      </c>
      <c r="E61" s="103">
        <v>0.83899999999999997</v>
      </c>
      <c r="F61" s="103">
        <v>0.84</v>
      </c>
      <c r="G61" s="103">
        <v>0.84199999999999997</v>
      </c>
      <c r="H61" s="103">
        <v>0.84399999999999997</v>
      </c>
      <c r="I61" s="103">
        <v>0.84599999999999997</v>
      </c>
      <c r="J61" s="103">
        <v>0.84799999999999998</v>
      </c>
      <c r="K61" s="103">
        <v>0.85</v>
      </c>
      <c r="L61" s="103">
        <v>0.85199999999999998</v>
      </c>
      <c r="M61" s="103">
        <v>0.85399999999999998</v>
      </c>
    </row>
    <row r="62" spans="1:13" x14ac:dyDescent="0.25">
      <c r="A62" s="98">
        <v>55</v>
      </c>
      <c r="B62" s="103">
        <v>0.85599999999999998</v>
      </c>
      <c r="C62" s="103">
        <v>0.85799999999999998</v>
      </c>
      <c r="D62" s="103">
        <v>0.86</v>
      </c>
      <c r="E62" s="103">
        <v>0.86299999999999999</v>
      </c>
      <c r="F62" s="103">
        <v>0.86499999999999999</v>
      </c>
      <c r="G62" s="103">
        <v>0.86699999999999999</v>
      </c>
      <c r="H62" s="103">
        <v>0.86899999999999999</v>
      </c>
      <c r="I62" s="103">
        <v>0.871</v>
      </c>
      <c r="J62" s="103">
        <v>0.873</v>
      </c>
      <c r="K62" s="103">
        <v>0.875</v>
      </c>
      <c r="L62" s="103">
        <v>0.877</v>
      </c>
      <c r="M62" s="103">
        <v>0.879</v>
      </c>
    </row>
    <row r="63" spans="1:13" x14ac:dyDescent="0.25">
      <c r="A63" s="98">
        <v>56</v>
      </c>
      <c r="B63" s="103">
        <v>0.88200000000000001</v>
      </c>
      <c r="C63" s="103">
        <v>0.88400000000000001</v>
      </c>
      <c r="D63" s="103">
        <v>0.88600000000000001</v>
      </c>
      <c r="E63" s="103">
        <v>0.88800000000000001</v>
      </c>
      <c r="F63" s="103">
        <v>0.89</v>
      </c>
      <c r="G63" s="103">
        <v>0.89300000000000002</v>
      </c>
      <c r="H63" s="103">
        <v>0.89500000000000002</v>
      </c>
      <c r="I63" s="103">
        <v>0.89700000000000002</v>
      </c>
      <c r="J63" s="103">
        <v>0.89900000000000002</v>
      </c>
      <c r="K63" s="103">
        <v>0.90200000000000002</v>
      </c>
      <c r="L63" s="103">
        <v>0.90400000000000003</v>
      </c>
      <c r="M63" s="103">
        <v>0.90600000000000003</v>
      </c>
    </row>
    <row r="64" spans="1:13" x14ac:dyDescent="0.25">
      <c r="A64" s="98">
        <v>57</v>
      </c>
      <c r="B64" s="103">
        <v>0.90800000000000003</v>
      </c>
      <c r="C64" s="103">
        <v>0.91100000000000003</v>
      </c>
      <c r="D64" s="103">
        <v>0.91300000000000003</v>
      </c>
      <c r="E64" s="103">
        <v>0.91600000000000004</v>
      </c>
      <c r="F64" s="103">
        <v>0.91800000000000004</v>
      </c>
      <c r="G64" s="103">
        <v>0.92</v>
      </c>
      <c r="H64" s="103">
        <v>0.92300000000000004</v>
      </c>
      <c r="I64" s="103">
        <v>0.92500000000000004</v>
      </c>
      <c r="J64" s="103">
        <v>0.92800000000000005</v>
      </c>
      <c r="K64" s="103">
        <v>0.93</v>
      </c>
      <c r="L64" s="103">
        <v>0.93200000000000005</v>
      </c>
      <c r="M64" s="103">
        <v>0.93500000000000005</v>
      </c>
    </row>
    <row r="65" spans="1:13" x14ac:dyDescent="0.25">
      <c r="A65" s="98">
        <v>58</v>
      </c>
      <c r="B65" s="103">
        <v>0.93700000000000006</v>
      </c>
      <c r="C65" s="103">
        <v>0.94</v>
      </c>
      <c r="D65" s="103">
        <v>0.94199999999999995</v>
      </c>
      <c r="E65" s="103">
        <v>0.94499999999999995</v>
      </c>
      <c r="F65" s="103">
        <v>0.94799999999999995</v>
      </c>
      <c r="G65" s="103">
        <v>0.95</v>
      </c>
      <c r="H65" s="103">
        <v>0.95299999999999996</v>
      </c>
      <c r="I65" s="103">
        <v>0.95499999999999996</v>
      </c>
      <c r="J65" s="103">
        <v>0.95799999999999996</v>
      </c>
      <c r="K65" s="103">
        <v>0.96</v>
      </c>
      <c r="L65" s="103">
        <v>0.96299999999999997</v>
      </c>
      <c r="M65" s="103">
        <v>0.96599999999999997</v>
      </c>
    </row>
    <row r="66" spans="1:13" x14ac:dyDescent="0.25">
      <c r="A66" s="98">
        <v>59</v>
      </c>
      <c r="B66" s="103">
        <v>0.96799999999999997</v>
      </c>
      <c r="C66" s="103">
        <v>0.97099999999999997</v>
      </c>
      <c r="D66" s="103">
        <v>0.97399999999999998</v>
      </c>
      <c r="E66" s="103">
        <v>0.97699999999999998</v>
      </c>
      <c r="F66" s="103">
        <v>0.97899999999999998</v>
      </c>
      <c r="G66" s="103">
        <v>0.98199999999999998</v>
      </c>
      <c r="H66" s="103">
        <v>0.98499999999999999</v>
      </c>
      <c r="I66" s="103">
        <v>0.98799999999999999</v>
      </c>
      <c r="J66" s="103">
        <v>0.99</v>
      </c>
      <c r="K66" s="103">
        <v>0.99299999999999999</v>
      </c>
      <c r="L66" s="103">
        <v>0.996</v>
      </c>
      <c r="M66" s="103">
        <v>0.999</v>
      </c>
    </row>
    <row r="67" spans="1:13" x14ac:dyDescent="0.25">
      <c r="A67" s="98">
        <v>60</v>
      </c>
      <c r="B67" s="103">
        <v>1</v>
      </c>
      <c r="C67" s="103"/>
      <c r="D67" s="103"/>
      <c r="E67" s="103"/>
      <c r="F67" s="103"/>
      <c r="G67" s="103"/>
      <c r="H67" s="103"/>
      <c r="I67" s="103"/>
      <c r="J67" s="103"/>
      <c r="K67" s="103"/>
      <c r="L67" s="103"/>
      <c r="M67" s="103"/>
    </row>
  </sheetData>
  <sheetProtection algorithmName="SHA-512" hashValue="230siXQre4itKO5oUR4LORgDkX3lGdOmuZ7kN19cAOfn61BCNWWQvR+k7K/jDUN7HpRRytxDwTjAzZGs79DjFw==" saltValue="PeQJTKSOdaBxUnyMm16K2w==" spinCount="100000" sheet="1" objects="1" scenarios="1"/>
  <conditionalFormatting sqref="A6:A21">
    <cfRule type="expression" dxfId="97" priority="11" stopIfTrue="1">
      <formula>MOD(ROW(),2)=0</formula>
    </cfRule>
    <cfRule type="expression" dxfId="96" priority="12" stopIfTrue="1">
      <formula>MOD(ROW(),2)&lt;&gt;0</formula>
    </cfRule>
  </conditionalFormatting>
  <conditionalFormatting sqref="A26:A67">
    <cfRule type="expression" dxfId="95" priority="3" stopIfTrue="1">
      <formula>MOD(ROW(),2)=0</formula>
    </cfRule>
    <cfRule type="expression" dxfId="94" priority="4" stopIfTrue="1">
      <formula>MOD(ROW(),2)&lt;&gt;0</formula>
    </cfRule>
  </conditionalFormatting>
  <conditionalFormatting sqref="B17:B21">
    <cfRule type="expression" dxfId="93" priority="1" stopIfTrue="1">
      <formula>MOD(ROW(),2)=0</formula>
    </cfRule>
    <cfRule type="expression" dxfId="92" priority="2" stopIfTrue="1">
      <formula>MOD(ROW(),2)&lt;&gt;0</formula>
    </cfRule>
  </conditionalFormatting>
  <conditionalFormatting sqref="B6:M21">
    <cfRule type="expression" dxfId="91" priority="19" stopIfTrue="1">
      <formula>MOD(ROW(),2)=0</formula>
    </cfRule>
    <cfRule type="expression" dxfId="90" priority="20" stopIfTrue="1">
      <formula>MOD(ROW(),2)&lt;&gt;0</formula>
    </cfRule>
  </conditionalFormatting>
  <conditionalFormatting sqref="B26:M67">
    <cfRule type="expression" dxfId="89" priority="5" stopIfTrue="1">
      <formula>MOD(ROW(),2)=0</formula>
    </cfRule>
    <cfRule type="expression" dxfId="88" priority="6" stopIfTrue="1">
      <formula>MOD(ROW(),2)&lt;&gt;0</formula>
    </cfRule>
  </conditionalFormatting>
  <hyperlinks>
    <hyperlink ref="B24" location="Assumptions!A1" display="Assumptions" xr:uid="{886EAFB1-19D0-4694-9669-CE160EC29F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1"/>
  <dimension ref="A1:M72"/>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Abatement - x-820</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657</v>
      </c>
      <c r="C9" s="161"/>
      <c r="D9" s="161"/>
      <c r="E9" s="161"/>
      <c r="F9" s="161"/>
      <c r="G9" s="161"/>
      <c r="H9" s="161"/>
      <c r="I9" s="161"/>
      <c r="J9" s="161"/>
      <c r="K9" s="161"/>
      <c r="L9" s="161"/>
      <c r="M9" s="161"/>
    </row>
    <row r="10" spans="1:13" x14ac:dyDescent="0.25">
      <c r="A10" s="77" t="s">
        <v>6</v>
      </c>
      <c r="B10" s="161" t="s">
        <v>668</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659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820</v>
      </c>
      <c r="C14" s="161"/>
      <c r="D14" s="161"/>
      <c r="E14" s="161"/>
      <c r="F14" s="161"/>
      <c r="G14" s="161"/>
      <c r="H14" s="161"/>
      <c r="I14" s="161"/>
      <c r="J14" s="161"/>
      <c r="K14" s="161"/>
      <c r="L14" s="161"/>
      <c r="M14" s="161"/>
    </row>
    <row r="15" spans="1:13" x14ac:dyDescent="0.25">
      <c r="A15" s="77" t="s">
        <v>291</v>
      </c>
      <c r="B15" s="161" t="s">
        <v>669</v>
      </c>
      <c r="C15" s="161"/>
      <c r="D15" s="161"/>
      <c r="E15" s="161"/>
      <c r="F15" s="161"/>
      <c r="G15" s="161"/>
      <c r="H15" s="161"/>
      <c r="I15" s="161"/>
      <c r="J15" s="161"/>
      <c r="K15" s="161"/>
      <c r="L15" s="161"/>
      <c r="M15" s="161"/>
    </row>
    <row r="16" spans="1:13" x14ac:dyDescent="0.25">
      <c r="A16" s="77" t="s">
        <v>293</v>
      </c>
      <c r="B16" s="161" t="s">
        <v>670</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20</v>
      </c>
      <c r="B27" s="103">
        <v>0.25900000000000001</v>
      </c>
      <c r="C27" s="103">
        <v>0.26</v>
      </c>
      <c r="D27" s="103">
        <v>0.26</v>
      </c>
      <c r="E27" s="103">
        <v>0.26100000000000001</v>
      </c>
      <c r="F27" s="103">
        <v>0.26100000000000001</v>
      </c>
      <c r="G27" s="103">
        <v>0.26200000000000001</v>
      </c>
      <c r="H27" s="103">
        <v>0.26200000000000001</v>
      </c>
      <c r="I27" s="103">
        <v>0.26300000000000001</v>
      </c>
      <c r="J27" s="103">
        <v>0.26300000000000001</v>
      </c>
      <c r="K27" s="103">
        <v>0.26400000000000001</v>
      </c>
      <c r="L27" s="103">
        <v>0.26400000000000001</v>
      </c>
      <c r="M27" s="103">
        <v>0.26500000000000001</v>
      </c>
    </row>
    <row r="28" spans="1:13" x14ac:dyDescent="0.25">
      <c r="A28" s="98">
        <v>21</v>
      </c>
      <c r="B28" s="103">
        <v>0.26500000000000001</v>
      </c>
      <c r="C28" s="103">
        <v>0.26600000000000001</v>
      </c>
      <c r="D28" s="103">
        <v>0.26600000000000001</v>
      </c>
      <c r="E28" s="103">
        <v>0.26700000000000002</v>
      </c>
      <c r="F28" s="103">
        <v>0.26700000000000002</v>
      </c>
      <c r="G28" s="103">
        <v>0.26800000000000002</v>
      </c>
      <c r="H28" s="103">
        <v>0.26800000000000002</v>
      </c>
      <c r="I28" s="103">
        <v>0.26900000000000002</v>
      </c>
      <c r="J28" s="103">
        <v>0.26900000000000002</v>
      </c>
      <c r="K28" s="103">
        <v>0.27</v>
      </c>
      <c r="L28" s="103">
        <v>0.27</v>
      </c>
      <c r="M28" s="103">
        <v>0.27100000000000002</v>
      </c>
    </row>
    <row r="29" spans="1:13" x14ac:dyDescent="0.25">
      <c r="A29" s="98">
        <v>22</v>
      </c>
      <c r="B29" s="103">
        <v>0.27100000000000002</v>
      </c>
      <c r="C29" s="103">
        <v>0.27200000000000002</v>
      </c>
      <c r="D29" s="103">
        <v>0.27200000000000002</v>
      </c>
      <c r="E29" s="103">
        <v>0.27300000000000002</v>
      </c>
      <c r="F29" s="103">
        <v>0.27300000000000002</v>
      </c>
      <c r="G29" s="103">
        <v>0.27400000000000002</v>
      </c>
      <c r="H29" s="103">
        <v>0.27400000000000002</v>
      </c>
      <c r="I29" s="103">
        <v>0.27500000000000002</v>
      </c>
      <c r="J29" s="103">
        <v>0.27500000000000002</v>
      </c>
      <c r="K29" s="103">
        <v>0.27600000000000002</v>
      </c>
      <c r="L29" s="103">
        <v>0.27600000000000002</v>
      </c>
      <c r="M29" s="103">
        <v>0.27700000000000002</v>
      </c>
    </row>
    <row r="30" spans="1:13" x14ac:dyDescent="0.25">
      <c r="A30" s="98">
        <v>23</v>
      </c>
      <c r="B30" s="103">
        <v>0.27700000000000002</v>
      </c>
      <c r="C30" s="103">
        <v>0.27800000000000002</v>
      </c>
      <c r="D30" s="103">
        <v>0.27800000000000002</v>
      </c>
      <c r="E30" s="103">
        <v>0.27900000000000003</v>
      </c>
      <c r="F30" s="103">
        <v>0.27900000000000003</v>
      </c>
      <c r="G30" s="103">
        <v>0.28000000000000003</v>
      </c>
      <c r="H30" s="103">
        <v>0.28000000000000003</v>
      </c>
      <c r="I30" s="103">
        <v>0.28100000000000003</v>
      </c>
      <c r="J30" s="103">
        <v>0.28100000000000003</v>
      </c>
      <c r="K30" s="103">
        <v>0.28199999999999997</v>
      </c>
      <c r="L30" s="103">
        <v>0.28199999999999997</v>
      </c>
      <c r="M30" s="103">
        <v>0.28299999999999997</v>
      </c>
    </row>
    <row r="31" spans="1:13" x14ac:dyDescent="0.25">
      <c r="A31" s="98">
        <v>24</v>
      </c>
      <c r="B31" s="103">
        <v>0.28299999999999997</v>
      </c>
      <c r="C31" s="103">
        <v>0.28399999999999997</v>
      </c>
      <c r="D31" s="103">
        <v>0.28399999999999997</v>
      </c>
      <c r="E31" s="103">
        <v>0.28499999999999998</v>
      </c>
      <c r="F31" s="103">
        <v>0.28499999999999998</v>
      </c>
      <c r="G31" s="103">
        <v>0.28599999999999998</v>
      </c>
      <c r="H31" s="103">
        <v>0.28699999999999998</v>
      </c>
      <c r="I31" s="103">
        <v>0.28699999999999998</v>
      </c>
      <c r="J31" s="103">
        <v>0.28799999999999998</v>
      </c>
      <c r="K31" s="103">
        <v>0.28799999999999998</v>
      </c>
      <c r="L31" s="103">
        <v>0.28899999999999998</v>
      </c>
      <c r="M31" s="103">
        <v>0.28899999999999998</v>
      </c>
    </row>
    <row r="32" spans="1:13" x14ac:dyDescent="0.25">
      <c r="A32" s="98">
        <v>25</v>
      </c>
      <c r="B32" s="103">
        <v>0.28999999999999998</v>
      </c>
      <c r="C32" s="103">
        <v>0.28999999999999998</v>
      </c>
      <c r="D32" s="103">
        <v>0.29099999999999998</v>
      </c>
      <c r="E32" s="103">
        <v>0.29099999999999998</v>
      </c>
      <c r="F32" s="103">
        <v>0.29199999999999998</v>
      </c>
      <c r="G32" s="103">
        <v>0.29299999999999998</v>
      </c>
      <c r="H32" s="103">
        <v>0.29299999999999998</v>
      </c>
      <c r="I32" s="103">
        <v>0.29399999999999998</v>
      </c>
      <c r="J32" s="103">
        <v>0.29399999999999998</v>
      </c>
      <c r="K32" s="103">
        <v>0.29499999999999998</v>
      </c>
      <c r="L32" s="103">
        <v>0.29499999999999998</v>
      </c>
      <c r="M32" s="103">
        <v>0.29599999999999999</v>
      </c>
    </row>
    <row r="33" spans="1:13" x14ac:dyDescent="0.25">
      <c r="A33" s="98">
        <v>26</v>
      </c>
      <c r="B33" s="103">
        <v>0.29599999999999999</v>
      </c>
      <c r="C33" s="103">
        <v>0.29699999999999999</v>
      </c>
      <c r="D33" s="103">
        <v>0.29799999999999999</v>
      </c>
      <c r="E33" s="103">
        <v>0.29799999999999999</v>
      </c>
      <c r="F33" s="103">
        <v>0.29899999999999999</v>
      </c>
      <c r="G33" s="103">
        <v>0.29899999999999999</v>
      </c>
      <c r="H33" s="103">
        <v>0.3</v>
      </c>
      <c r="I33" s="103">
        <v>0.30099999999999999</v>
      </c>
      <c r="J33" s="103">
        <v>0.30099999999999999</v>
      </c>
      <c r="K33" s="103">
        <v>0.30199999999999999</v>
      </c>
      <c r="L33" s="103">
        <v>0.30199999999999999</v>
      </c>
      <c r="M33" s="103">
        <v>0.30299999999999999</v>
      </c>
    </row>
    <row r="34" spans="1:13" x14ac:dyDescent="0.25">
      <c r="A34" s="98">
        <v>27</v>
      </c>
      <c r="B34" s="103">
        <v>0.30299999999999999</v>
      </c>
      <c r="C34" s="103">
        <v>0.30399999999999999</v>
      </c>
      <c r="D34" s="103">
        <v>0.30499999999999999</v>
      </c>
      <c r="E34" s="103">
        <v>0.30499999999999999</v>
      </c>
      <c r="F34" s="103">
        <v>0.30599999999999999</v>
      </c>
      <c r="G34" s="103">
        <v>0.30599999999999999</v>
      </c>
      <c r="H34" s="103">
        <v>0.307</v>
      </c>
      <c r="I34" s="103">
        <v>0.308</v>
      </c>
      <c r="J34" s="103">
        <v>0.308</v>
      </c>
      <c r="K34" s="103">
        <v>0.309</v>
      </c>
      <c r="L34" s="103">
        <v>0.309</v>
      </c>
      <c r="M34" s="103">
        <v>0.31</v>
      </c>
    </row>
    <row r="35" spans="1:13" x14ac:dyDescent="0.25">
      <c r="A35" s="98">
        <v>28</v>
      </c>
      <c r="B35" s="103">
        <v>0.311</v>
      </c>
      <c r="C35" s="103">
        <v>0.311</v>
      </c>
      <c r="D35" s="103">
        <v>0.312</v>
      </c>
      <c r="E35" s="103">
        <v>0.312</v>
      </c>
      <c r="F35" s="103">
        <v>0.313</v>
      </c>
      <c r="G35" s="103">
        <v>0.314</v>
      </c>
      <c r="H35" s="103">
        <v>0.314</v>
      </c>
      <c r="I35" s="103">
        <v>0.315</v>
      </c>
      <c r="J35" s="103">
        <v>0.316</v>
      </c>
      <c r="K35" s="103">
        <v>0.316</v>
      </c>
      <c r="L35" s="103">
        <v>0.317</v>
      </c>
      <c r="M35" s="103">
        <v>0.317</v>
      </c>
    </row>
    <row r="36" spans="1:13" x14ac:dyDescent="0.25">
      <c r="A36" s="98">
        <v>29</v>
      </c>
      <c r="B36" s="103">
        <v>0.318</v>
      </c>
      <c r="C36" s="103">
        <v>0.31900000000000001</v>
      </c>
      <c r="D36" s="103">
        <v>0.31900000000000001</v>
      </c>
      <c r="E36" s="103">
        <v>0.32</v>
      </c>
      <c r="F36" s="103">
        <v>0.32100000000000001</v>
      </c>
      <c r="G36" s="103">
        <v>0.32100000000000001</v>
      </c>
      <c r="H36" s="103">
        <v>0.32200000000000001</v>
      </c>
      <c r="I36" s="103">
        <v>0.32300000000000001</v>
      </c>
      <c r="J36" s="103">
        <v>0.32300000000000001</v>
      </c>
      <c r="K36" s="103">
        <v>0.32400000000000001</v>
      </c>
      <c r="L36" s="103">
        <v>0.32400000000000001</v>
      </c>
      <c r="M36" s="103">
        <v>0.32500000000000001</v>
      </c>
    </row>
    <row r="37" spans="1:13" x14ac:dyDescent="0.25">
      <c r="A37" s="98">
        <v>30</v>
      </c>
      <c r="B37" s="103">
        <v>0.32600000000000001</v>
      </c>
      <c r="C37" s="103">
        <v>0.32600000000000001</v>
      </c>
      <c r="D37" s="103">
        <v>0.32700000000000001</v>
      </c>
      <c r="E37" s="103">
        <v>0.32800000000000001</v>
      </c>
      <c r="F37" s="103">
        <v>0.32800000000000001</v>
      </c>
      <c r="G37" s="103">
        <v>0.32900000000000001</v>
      </c>
      <c r="H37" s="103">
        <v>0.33</v>
      </c>
      <c r="I37" s="103">
        <v>0.33</v>
      </c>
      <c r="J37" s="103">
        <v>0.33100000000000002</v>
      </c>
      <c r="K37" s="103">
        <v>0.33200000000000002</v>
      </c>
      <c r="L37" s="103">
        <v>0.33200000000000002</v>
      </c>
      <c r="M37" s="103">
        <v>0.33300000000000002</v>
      </c>
    </row>
    <row r="38" spans="1:13" x14ac:dyDescent="0.25">
      <c r="A38" s="98">
        <v>31</v>
      </c>
      <c r="B38" s="103">
        <v>0.33400000000000002</v>
      </c>
      <c r="C38" s="103">
        <v>0.33400000000000002</v>
      </c>
      <c r="D38" s="103">
        <v>0.33500000000000002</v>
      </c>
      <c r="E38" s="103">
        <v>0.33600000000000002</v>
      </c>
      <c r="F38" s="103">
        <v>0.33600000000000002</v>
      </c>
      <c r="G38" s="103">
        <v>0.33700000000000002</v>
      </c>
      <c r="H38" s="103">
        <v>0.33800000000000002</v>
      </c>
      <c r="I38" s="103">
        <v>0.33900000000000002</v>
      </c>
      <c r="J38" s="103">
        <v>0.33900000000000002</v>
      </c>
      <c r="K38" s="103">
        <v>0.34</v>
      </c>
      <c r="L38" s="103">
        <v>0.34100000000000003</v>
      </c>
      <c r="M38" s="103">
        <v>0.34100000000000003</v>
      </c>
    </row>
    <row r="39" spans="1:13" x14ac:dyDescent="0.25">
      <c r="A39" s="98">
        <v>32</v>
      </c>
      <c r="B39" s="103">
        <v>0.34200000000000003</v>
      </c>
      <c r="C39" s="103">
        <v>0.34300000000000003</v>
      </c>
      <c r="D39" s="103">
        <v>0.34300000000000003</v>
      </c>
      <c r="E39" s="103">
        <v>0.34399999999999997</v>
      </c>
      <c r="F39" s="103">
        <v>0.34499999999999997</v>
      </c>
      <c r="G39" s="103">
        <v>0.34599999999999997</v>
      </c>
      <c r="H39" s="103">
        <v>0.34599999999999997</v>
      </c>
      <c r="I39" s="103">
        <v>0.34699999999999998</v>
      </c>
      <c r="J39" s="103">
        <v>0.34799999999999998</v>
      </c>
      <c r="K39" s="103">
        <v>0.34799999999999998</v>
      </c>
      <c r="L39" s="103">
        <v>0.34899999999999998</v>
      </c>
      <c r="M39" s="103">
        <v>0.35</v>
      </c>
    </row>
    <row r="40" spans="1:13" x14ac:dyDescent="0.25">
      <c r="A40" s="98">
        <v>33</v>
      </c>
      <c r="B40" s="103">
        <v>0.35099999999999998</v>
      </c>
      <c r="C40" s="103">
        <v>0.35099999999999998</v>
      </c>
      <c r="D40" s="103">
        <v>0.35199999999999998</v>
      </c>
      <c r="E40" s="103">
        <v>0.35299999999999998</v>
      </c>
      <c r="F40" s="103">
        <v>0.35399999999999998</v>
      </c>
      <c r="G40" s="103">
        <v>0.35399999999999998</v>
      </c>
      <c r="H40" s="103">
        <v>0.35499999999999998</v>
      </c>
      <c r="I40" s="103">
        <v>0.35599999999999998</v>
      </c>
      <c r="J40" s="103">
        <v>0.35699999999999998</v>
      </c>
      <c r="K40" s="103">
        <v>0.35699999999999998</v>
      </c>
      <c r="L40" s="103">
        <v>0.35799999999999998</v>
      </c>
      <c r="M40" s="103">
        <v>0.35899999999999999</v>
      </c>
    </row>
    <row r="41" spans="1:13" x14ac:dyDescent="0.25">
      <c r="A41" s="98">
        <v>34</v>
      </c>
      <c r="B41" s="103">
        <v>0.36</v>
      </c>
      <c r="C41" s="103">
        <v>0.36</v>
      </c>
      <c r="D41" s="103">
        <v>0.36099999999999999</v>
      </c>
      <c r="E41" s="103">
        <v>0.36199999999999999</v>
      </c>
      <c r="F41" s="103">
        <v>0.36299999999999999</v>
      </c>
      <c r="G41" s="103">
        <v>0.36299999999999999</v>
      </c>
      <c r="H41" s="103">
        <v>0.36399999999999999</v>
      </c>
      <c r="I41" s="103">
        <v>0.36499999999999999</v>
      </c>
      <c r="J41" s="103">
        <v>0.36599999999999999</v>
      </c>
      <c r="K41" s="103">
        <v>0.36699999999999999</v>
      </c>
      <c r="L41" s="103">
        <v>0.36699999999999999</v>
      </c>
      <c r="M41" s="103">
        <v>0.36799999999999999</v>
      </c>
    </row>
    <row r="42" spans="1:13" x14ac:dyDescent="0.25">
      <c r="A42" s="98">
        <v>35</v>
      </c>
      <c r="B42" s="103">
        <v>0.36899999999999999</v>
      </c>
      <c r="C42" s="103">
        <v>0.37</v>
      </c>
      <c r="D42" s="103">
        <v>0.371</v>
      </c>
      <c r="E42" s="103">
        <v>0.371</v>
      </c>
      <c r="F42" s="103">
        <v>0.372</v>
      </c>
      <c r="G42" s="103">
        <v>0.373</v>
      </c>
      <c r="H42" s="103">
        <v>0.374</v>
      </c>
      <c r="I42" s="103">
        <v>0.375</v>
      </c>
      <c r="J42" s="103">
        <v>0.375</v>
      </c>
      <c r="K42" s="103">
        <v>0.376</v>
      </c>
      <c r="L42" s="103">
        <v>0.377</v>
      </c>
      <c r="M42" s="103">
        <v>0.378</v>
      </c>
    </row>
    <row r="43" spans="1:13" x14ac:dyDescent="0.25">
      <c r="A43" s="98">
        <v>36</v>
      </c>
      <c r="B43" s="103">
        <v>0.379</v>
      </c>
      <c r="C43" s="103">
        <v>0.379</v>
      </c>
      <c r="D43" s="103">
        <v>0.38</v>
      </c>
      <c r="E43" s="103">
        <v>0.38100000000000001</v>
      </c>
      <c r="F43" s="103">
        <v>0.38200000000000001</v>
      </c>
      <c r="G43" s="103">
        <v>0.38300000000000001</v>
      </c>
      <c r="H43" s="103">
        <v>0.38400000000000001</v>
      </c>
      <c r="I43" s="103">
        <v>0.38400000000000001</v>
      </c>
      <c r="J43" s="103">
        <v>0.38500000000000001</v>
      </c>
      <c r="K43" s="103">
        <v>0.38600000000000001</v>
      </c>
      <c r="L43" s="103">
        <v>0.38700000000000001</v>
      </c>
      <c r="M43" s="103">
        <v>0.38800000000000001</v>
      </c>
    </row>
    <row r="44" spans="1:13" x14ac:dyDescent="0.25">
      <c r="A44" s="98">
        <v>37</v>
      </c>
      <c r="B44" s="103">
        <v>0.38900000000000001</v>
      </c>
      <c r="C44" s="103">
        <v>0.39</v>
      </c>
      <c r="D44" s="103">
        <v>0.39</v>
      </c>
      <c r="E44" s="103">
        <v>0.39100000000000001</v>
      </c>
      <c r="F44" s="103">
        <v>0.39200000000000002</v>
      </c>
      <c r="G44" s="103">
        <v>0.39300000000000002</v>
      </c>
      <c r="H44" s="103">
        <v>0.39400000000000002</v>
      </c>
      <c r="I44" s="103">
        <v>0.39500000000000002</v>
      </c>
      <c r="J44" s="103">
        <v>0.39600000000000002</v>
      </c>
      <c r="K44" s="103">
        <v>0.39700000000000002</v>
      </c>
      <c r="L44" s="103">
        <v>0.39700000000000002</v>
      </c>
      <c r="M44" s="103">
        <v>0.39800000000000002</v>
      </c>
    </row>
    <row r="45" spans="1:13" x14ac:dyDescent="0.25">
      <c r="A45" s="98">
        <v>38</v>
      </c>
      <c r="B45" s="103">
        <v>0.39900000000000002</v>
      </c>
      <c r="C45" s="103">
        <v>0.4</v>
      </c>
      <c r="D45" s="103">
        <v>0.40100000000000002</v>
      </c>
      <c r="E45" s="103">
        <v>0.40200000000000002</v>
      </c>
      <c r="F45" s="103">
        <v>0.40300000000000002</v>
      </c>
      <c r="G45" s="103">
        <v>0.40400000000000003</v>
      </c>
      <c r="H45" s="103">
        <v>0.40500000000000003</v>
      </c>
      <c r="I45" s="103">
        <v>0.40600000000000003</v>
      </c>
      <c r="J45" s="103">
        <v>0.40699999999999997</v>
      </c>
      <c r="K45" s="103">
        <v>0.40699999999999997</v>
      </c>
      <c r="L45" s="103">
        <v>0.40799999999999997</v>
      </c>
      <c r="M45" s="103">
        <v>0.40899999999999997</v>
      </c>
    </row>
    <row r="46" spans="1:13" x14ac:dyDescent="0.25">
      <c r="A46" s="98">
        <v>39</v>
      </c>
      <c r="B46" s="103">
        <v>0.41</v>
      </c>
      <c r="C46" s="103">
        <v>0.41099999999999998</v>
      </c>
      <c r="D46" s="103">
        <v>0.41199999999999998</v>
      </c>
      <c r="E46" s="103">
        <v>0.41299999999999998</v>
      </c>
      <c r="F46" s="103">
        <v>0.41399999999999998</v>
      </c>
      <c r="G46" s="103">
        <v>0.41499999999999998</v>
      </c>
      <c r="H46" s="103">
        <v>0.41599999999999998</v>
      </c>
      <c r="I46" s="103">
        <v>0.41699999999999998</v>
      </c>
      <c r="J46" s="103">
        <v>0.41799999999999998</v>
      </c>
      <c r="K46" s="103">
        <v>0.41899999999999998</v>
      </c>
      <c r="L46" s="103">
        <v>0.42</v>
      </c>
      <c r="M46" s="103">
        <v>0.42099999999999999</v>
      </c>
    </row>
    <row r="47" spans="1:13" x14ac:dyDescent="0.25">
      <c r="A47" s="98">
        <v>40</v>
      </c>
      <c r="B47" s="103">
        <v>0.42199999999999999</v>
      </c>
      <c r="C47" s="103">
        <v>0.42299999999999999</v>
      </c>
      <c r="D47" s="103">
        <v>0.42399999999999999</v>
      </c>
      <c r="E47" s="103">
        <v>0.42499999999999999</v>
      </c>
      <c r="F47" s="103">
        <v>0.42599999999999999</v>
      </c>
      <c r="G47" s="103">
        <v>0.42699999999999999</v>
      </c>
      <c r="H47" s="103">
        <v>0.42799999999999999</v>
      </c>
      <c r="I47" s="103">
        <v>0.42899999999999999</v>
      </c>
      <c r="J47" s="103">
        <v>0.43</v>
      </c>
      <c r="K47" s="103">
        <v>0.43099999999999999</v>
      </c>
      <c r="L47" s="103">
        <v>0.432</v>
      </c>
      <c r="M47" s="103">
        <v>0.433</v>
      </c>
    </row>
    <row r="48" spans="1:13" x14ac:dyDescent="0.25">
      <c r="A48" s="98">
        <v>41</v>
      </c>
      <c r="B48" s="103">
        <v>0.434</v>
      </c>
      <c r="C48" s="103">
        <v>0.435</v>
      </c>
      <c r="D48" s="103">
        <v>0.436</v>
      </c>
      <c r="E48" s="103">
        <v>0.437</v>
      </c>
      <c r="F48" s="103">
        <v>0.438</v>
      </c>
      <c r="G48" s="103">
        <v>0.439</v>
      </c>
      <c r="H48" s="103">
        <v>0.44</v>
      </c>
      <c r="I48" s="103">
        <v>0.441</v>
      </c>
      <c r="J48" s="103">
        <v>0.442</v>
      </c>
      <c r="K48" s="103">
        <v>0.443</v>
      </c>
      <c r="L48" s="103">
        <v>0.44400000000000001</v>
      </c>
      <c r="M48" s="103">
        <v>0.44500000000000001</v>
      </c>
    </row>
    <row r="49" spans="1:13" x14ac:dyDescent="0.25">
      <c r="A49" s="98">
        <v>42</v>
      </c>
      <c r="B49" s="103">
        <v>0.44600000000000001</v>
      </c>
      <c r="C49" s="103">
        <v>0.44700000000000001</v>
      </c>
      <c r="D49" s="103">
        <v>0.44800000000000001</v>
      </c>
      <c r="E49" s="103">
        <v>0.45</v>
      </c>
      <c r="F49" s="103">
        <v>0.45100000000000001</v>
      </c>
      <c r="G49" s="103">
        <v>0.45200000000000001</v>
      </c>
      <c r="H49" s="103">
        <v>0.45300000000000001</v>
      </c>
      <c r="I49" s="103">
        <v>0.45400000000000001</v>
      </c>
      <c r="J49" s="103">
        <v>0.45500000000000002</v>
      </c>
      <c r="K49" s="103">
        <v>0.45600000000000002</v>
      </c>
      <c r="L49" s="103">
        <v>0.45700000000000002</v>
      </c>
      <c r="M49" s="103">
        <v>0.45800000000000002</v>
      </c>
    </row>
    <row r="50" spans="1:13" x14ac:dyDescent="0.25">
      <c r="A50" s="98">
        <v>43</v>
      </c>
      <c r="B50" s="103">
        <v>0.45900000000000002</v>
      </c>
      <c r="C50" s="103">
        <v>0.46100000000000002</v>
      </c>
      <c r="D50" s="103">
        <v>0.46200000000000002</v>
      </c>
      <c r="E50" s="103">
        <v>0.46300000000000002</v>
      </c>
      <c r="F50" s="103">
        <v>0.46400000000000002</v>
      </c>
      <c r="G50" s="103">
        <v>0.46500000000000002</v>
      </c>
      <c r="H50" s="103">
        <v>0.46600000000000003</v>
      </c>
      <c r="I50" s="103">
        <v>0.46700000000000003</v>
      </c>
      <c r="J50" s="103">
        <v>0.46899999999999997</v>
      </c>
      <c r="K50" s="103">
        <v>0.47</v>
      </c>
      <c r="L50" s="103">
        <v>0.47099999999999997</v>
      </c>
      <c r="M50" s="103">
        <v>0.47199999999999998</v>
      </c>
    </row>
    <row r="51" spans="1:13" x14ac:dyDescent="0.25">
      <c r="A51" s="98">
        <v>44</v>
      </c>
      <c r="B51" s="103">
        <v>0.47299999999999998</v>
      </c>
      <c r="C51" s="103">
        <v>0.47399999999999998</v>
      </c>
      <c r="D51" s="103">
        <v>0.47599999999999998</v>
      </c>
      <c r="E51" s="103">
        <v>0.47699999999999998</v>
      </c>
      <c r="F51" s="103">
        <v>0.47799999999999998</v>
      </c>
      <c r="G51" s="103">
        <v>0.47899999999999998</v>
      </c>
      <c r="H51" s="103">
        <v>0.48</v>
      </c>
      <c r="I51" s="103">
        <v>0.48199999999999998</v>
      </c>
      <c r="J51" s="103">
        <v>0.48299999999999998</v>
      </c>
      <c r="K51" s="103">
        <v>0.48399999999999999</v>
      </c>
      <c r="L51" s="103">
        <v>0.48499999999999999</v>
      </c>
      <c r="M51" s="103">
        <v>0.48599999999999999</v>
      </c>
    </row>
    <row r="52" spans="1:13" x14ac:dyDescent="0.25">
      <c r="A52" s="98">
        <v>45</v>
      </c>
      <c r="B52" s="103">
        <v>0.48799999999999999</v>
      </c>
      <c r="C52" s="103">
        <v>0.48899999999999999</v>
      </c>
      <c r="D52" s="103">
        <v>0.49</v>
      </c>
      <c r="E52" s="103">
        <v>0.49099999999999999</v>
      </c>
      <c r="F52" s="103">
        <v>0.49299999999999999</v>
      </c>
      <c r="G52" s="103">
        <v>0.49399999999999999</v>
      </c>
      <c r="H52" s="103">
        <v>0.495</v>
      </c>
      <c r="I52" s="103">
        <v>0.497</v>
      </c>
      <c r="J52" s="103">
        <v>0.498</v>
      </c>
      <c r="K52" s="103">
        <v>0.499</v>
      </c>
      <c r="L52" s="103">
        <v>0.5</v>
      </c>
      <c r="M52" s="103">
        <v>0.502</v>
      </c>
    </row>
    <row r="53" spans="1:13" x14ac:dyDescent="0.25">
      <c r="A53" s="98">
        <v>46</v>
      </c>
      <c r="B53" s="103">
        <v>0.503</v>
      </c>
      <c r="C53" s="103">
        <v>0.504</v>
      </c>
      <c r="D53" s="103">
        <v>0.50600000000000001</v>
      </c>
      <c r="E53" s="103">
        <v>0.50700000000000001</v>
      </c>
      <c r="F53" s="103">
        <v>0.50800000000000001</v>
      </c>
      <c r="G53" s="103">
        <v>0.51</v>
      </c>
      <c r="H53" s="103">
        <v>0.51100000000000001</v>
      </c>
      <c r="I53" s="103">
        <v>0.51200000000000001</v>
      </c>
      <c r="J53" s="103">
        <v>0.51400000000000001</v>
      </c>
      <c r="K53" s="103">
        <v>0.51500000000000001</v>
      </c>
      <c r="L53" s="103">
        <v>0.51600000000000001</v>
      </c>
      <c r="M53" s="103">
        <v>0.51800000000000002</v>
      </c>
    </row>
    <row r="54" spans="1:13" x14ac:dyDescent="0.25">
      <c r="A54" s="98">
        <v>47</v>
      </c>
      <c r="B54" s="103">
        <v>0.51900000000000002</v>
      </c>
      <c r="C54" s="103">
        <v>0.52</v>
      </c>
      <c r="D54" s="103">
        <v>0.52200000000000002</v>
      </c>
      <c r="E54" s="103">
        <v>0.52300000000000002</v>
      </c>
      <c r="F54" s="103">
        <v>0.52400000000000002</v>
      </c>
      <c r="G54" s="103">
        <v>0.52600000000000002</v>
      </c>
      <c r="H54" s="103">
        <v>0.52700000000000002</v>
      </c>
      <c r="I54" s="103">
        <v>0.52900000000000003</v>
      </c>
      <c r="J54" s="103">
        <v>0.53</v>
      </c>
      <c r="K54" s="103">
        <v>0.53100000000000003</v>
      </c>
      <c r="L54" s="103">
        <v>0.53300000000000003</v>
      </c>
      <c r="M54" s="103">
        <v>0.53400000000000003</v>
      </c>
    </row>
    <row r="55" spans="1:13" x14ac:dyDescent="0.25">
      <c r="A55" s="98">
        <v>48</v>
      </c>
      <c r="B55" s="103">
        <v>0.53600000000000003</v>
      </c>
      <c r="C55" s="103">
        <v>0.53700000000000003</v>
      </c>
      <c r="D55" s="103">
        <v>0.53900000000000003</v>
      </c>
      <c r="E55" s="103">
        <v>0.54</v>
      </c>
      <c r="F55" s="103">
        <v>0.54200000000000004</v>
      </c>
      <c r="G55" s="103">
        <v>0.54300000000000004</v>
      </c>
      <c r="H55" s="103">
        <v>0.54500000000000004</v>
      </c>
      <c r="I55" s="103">
        <v>0.54600000000000004</v>
      </c>
      <c r="J55" s="103">
        <v>0.54800000000000004</v>
      </c>
      <c r="K55" s="103">
        <v>0.54900000000000004</v>
      </c>
      <c r="L55" s="103">
        <v>0.55100000000000005</v>
      </c>
      <c r="M55" s="103">
        <v>0.55200000000000005</v>
      </c>
    </row>
    <row r="56" spans="1:13" x14ac:dyDescent="0.25">
      <c r="A56" s="98">
        <v>49</v>
      </c>
      <c r="B56" s="103">
        <v>0.55400000000000005</v>
      </c>
      <c r="C56" s="103">
        <v>0.55500000000000005</v>
      </c>
      <c r="D56" s="103">
        <v>0.55700000000000005</v>
      </c>
      <c r="E56" s="103">
        <v>0.55800000000000005</v>
      </c>
      <c r="F56" s="103">
        <v>0.56000000000000005</v>
      </c>
      <c r="G56" s="103">
        <v>0.56100000000000005</v>
      </c>
      <c r="H56" s="103">
        <v>0.56299999999999994</v>
      </c>
      <c r="I56" s="103">
        <v>0.56399999999999995</v>
      </c>
      <c r="J56" s="103">
        <v>0.56599999999999995</v>
      </c>
      <c r="K56" s="103">
        <v>0.56799999999999995</v>
      </c>
      <c r="L56" s="103">
        <v>0.56899999999999995</v>
      </c>
      <c r="M56" s="103">
        <v>0.57099999999999995</v>
      </c>
    </row>
    <row r="57" spans="1:13" x14ac:dyDescent="0.25">
      <c r="A57" s="98">
        <v>50</v>
      </c>
      <c r="B57" s="103">
        <v>0.57199999999999995</v>
      </c>
      <c r="C57" s="103">
        <v>0.57399999999999995</v>
      </c>
      <c r="D57" s="103">
        <v>0.57599999999999996</v>
      </c>
      <c r="E57" s="103">
        <v>0.57699999999999996</v>
      </c>
      <c r="F57" s="103">
        <v>0.57899999999999996</v>
      </c>
      <c r="G57" s="103">
        <v>0.58099999999999996</v>
      </c>
      <c r="H57" s="103">
        <v>0.58199999999999996</v>
      </c>
      <c r="I57" s="103">
        <v>0.58399999999999996</v>
      </c>
      <c r="J57" s="103">
        <v>0.58499999999999996</v>
      </c>
      <c r="K57" s="103">
        <v>0.58699999999999997</v>
      </c>
      <c r="L57" s="103">
        <v>0.58899999999999997</v>
      </c>
      <c r="M57" s="103">
        <v>0.59</v>
      </c>
    </row>
    <row r="58" spans="1:13" x14ac:dyDescent="0.25">
      <c r="A58" s="98">
        <v>51</v>
      </c>
      <c r="B58" s="103">
        <v>0.59199999999999997</v>
      </c>
      <c r="C58" s="103">
        <v>0.59399999999999997</v>
      </c>
      <c r="D58" s="103">
        <v>0.59599999999999997</v>
      </c>
      <c r="E58" s="103">
        <v>0.59699999999999998</v>
      </c>
      <c r="F58" s="103">
        <v>0.59899999999999998</v>
      </c>
      <c r="G58" s="103">
        <v>0.60099999999999998</v>
      </c>
      <c r="H58" s="103">
        <v>0.60299999999999998</v>
      </c>
      <c r="I58" s="103">
        <v>0.60399999999999998</v>
      </c>
      <c r="J58" s="103">
        <v>0.60599999999999998</v>
      </c>
      <c r="K58" s="103">
        <v>0.60799999999999998</v>
      </c>
      <c r="L58" s="103">
        <v>0.61</v>
      </c>
      <c r="M58" s="103">
        <v>0.61099999999999999</v>
      </c>
    </row>
    <row r="59" spans="1:13" x14ac:dyDescent="0.25">
      <c r="A59" s="98">
        <v>52</v>
      </c>
      <c r="B59" s="103">
        <v>0.61299999999999999</v>
      </c>
      <c r="C59" s="103">
        <v>0.61499999999999999</v>
      </c>
      <c r="D59" s="103">
        <v>0.61699999999999999</v>
      </c>
      <c r="E59" s="103">
        <v>0.61899999999999999</v>
      </c>
      <c r="F59" s="103">
        <v>0.621</v>
      </c>
      <c r="G59" s="103">
        <v>0.622</v>
      </c>
      <c r="H59" s="103">
        <v>0.624</v>
      </c>
      <c r="I59" s="103">
        <v>0.626</v>
      </c>
      <c r="J59" s="103">
        <v>0.628</v>
      </c>
      <c r="K59" s="103">
        <v>0.63</v>
      </c>
      <c r="L59" s="103">
        <v>0.63200000000000001</v>
      </c>
      <c r="M59" s="103">
        <v>0.63400000000000001</v>
      </c>
    </row>
    <row r="60" spans="1:13" x14ac:dyDescent="0.25">
      <c r="A60" s="98">
        <v>53</v>
      </c>
      <c r="B60" s="103">
        <v>0.63600000000000001</v>
      </c>
      <c r="C60" s="103">
        <v>0.63700000000000001</v>
      </c>
      <c r="D60" s="103">
        <v>0.63900000000000001</v>
      </c>
      <c r="E60" s="103">
        <v>0.64100000000000001</v>
      </c>
      <c r="F60" s="103">
        <v>0.64300000000000002</v>
      </c>
      <c r="G60" s="103">
        <v>0.64500000000000002</v>
      </c>
      <c r="H60" s="103">
        <v>0.64700000000000002</v>
      </c>
      <c r="I60" s="103">
        <v>0.64900000000000002</v>
      </c>
      <c r="J60" s="103">
        <v>0.65100000000000002</v>
      </c>
      <c r="K60" s="103">
        <v>0.65300000000000002</v>
      </c>
      <c r="L60" s="103">
        <v>0.65500000000000003</v>
      </c>
      <c r="M60" s="103">
        <v>0.65700000000000003</v>
      </c>
    </row>
    <row r="61" spans="1:13" x14ac:dyDescent="0.25">
      <c r="A61" s="98">
        <v>54</v>
      </c>
      <c r="B61" s="103">
        <v>0.65900000000000003</v>
      </c>
      <c r="C61" s="103">
        <v>0.66100000000000003</v>
      </c>
      <c r="D61" s="103">
        <v>0.66300000000000003</v>
      </c>
      <c r="E61" s="103">
        <v>0.66600000000000004</v>
      </c>
      <c r="F61" s="103">
        <v>0.66800000000000004</v>
      </c>
      <c r="G61" s="103">
        <v>0.67</v>
      </c>
      <c r="H61" s="103">
        <v>0.67200000000000004</v>
      </c>
      <c r="I61" s="103">
        <v>0.67400000000000004</v>
      </c>
      <c r="J61" s="103">
        <v>0.67600000000000005</v>
      </c>
      <c r="K61" s="103">
        <v>0.67800000000000005</v>
      </c>
      <c r="L61" s="103">
        <v>0.68</v>
      </c>
      <c r="M61" s="103">
        <v>0.68200000000000005</v>
      </c>
    </row>
    <row r="62" spans="1:13" x14ac:dyDescent="0.25">
      <c r="A62" s="98">
        <v>55</v>
      </c>
      <c r="B62" s="103">
        <v>0.68400000000000005</v>
      </c>
      <c r="C62" s="103">
        <v>0.68700000000000006</v>
      </c>
      <c r="D62" s="103">
        <v>0.68899999999999995</v>
      </c>
      <c r="E62" s="103">
        <v>0.69099999999999995</v>
      </c>
      <c r="F62" s="103">
        <v>0.69299999999999995</v>
      </c>
      <c r="G62" s="103">
        <v>0.69599999999999995</v>
      </c>
      <c r="H62" s="103">
        <v>0.69799999999999995</v>
      </c>
      <c r="I62" s="103">
        <v>0.7</v>
      </c>
      <c r="J62" s="103">
        <v>0.70199999999999996</v>
      </c>
      <c r="K62" s="103">
        <v>0.70499999999999996</v>
      </c>
      <c r="L62" s="103">
        <v>0.70699999999999996</v>
      </c>
      <c r="M62" s="103">
        <v>0.70899999999999996</v>
      </c>
    </row>
    <row r="63" spans="1:13" x14ac:dyDescent="0.25">
      <c r="A63" s="98">
        <v>56</v>
      </c>
      <c r="B63" s="103">
        <v>0.71099999999999997</v>
      </c>
      <c r="C63" s="103">
        <v>0.71399999999999997</v>
      </c>
      <c r="D63" s="103">
        <v>0.71599999999999997</v>
      </c>
      <c r="E63" s="103">
        <v>0.71899999999999997</v>
      </c>
      <c r="F63" s="103">
        <v>0.72099999999999997</v>
      </c>
      <c r="G63" s="103">
        <v>0.72299999999999998</v>
      </c>
      <c r="H63" s="103">
        <v>0.72599999999999998</v>
      </c>
      <c r="I63" s="103">
        <v>0.72799999999999998</v>
      </c>
      <c r="J63" s="103">
        <v>0.73099999999999998</v>
      </c>
      <c r="K63" s="103">
        <v>0.73299999999999998</v>
      </c>
      <c r="L63" s="103">
        <v>0.73499999999999999</v>
      </c>
      <c r="M63" s="103">
        <v>0.73799999999999999</v>
      </c>
    </row>
    <row r="64" spans="1:13" x14ac:dyDescent="0.25">
      <c r="A64" s="98">
        <v>57</v>
      </c>
      <c r="B64" s="103">
        <v>0.74</v>
      </c>
      <c r="C64" s="103">
        <v>0.74299999999999999</v>
      </c>
      <c r="D64" s="103">
        <v>0.745</v>
      </c>
      <c r="E64" s="103">
        <v>0.748</v>
      </c>
      <c r="F64" s="103">
        <v>0.75</v>
      </c>
      <c r="G64" s="103">
        <v>0.753</v>
      </c>
      <c r="H64" s="103">
        <v>0.75600000000000001</v>
      </c>
      <c r="I64" s="103">
        <v>0.75800000000000001</v>
      </c>
      <c r="J64" s="103">
        <v>0.76100000000000001</v>
      </c>
      <c r="K64" s="103">
        <v>0.76300000000000001</v>
      </c>
      <c r="L64" s="103">
        <v>0.76600000000000001</v>
      </c>
      <c r="M64" s="103">
        <v>0.76800000000000002</v>
      </c>
    </row>
    <row r="65" spans="1:13" x14ac:dyDescent="0.25">
      <c r="A65" s="98">
        <v>58</v>
      </c>
      <c r="B65" s="103">
        <v>0.77100000000000002</v>
      </c>
      <c r="C65" s="103">
        <v>0.77400000000000002</v>
      </c>
      <c r="D65" s="103">
        <v>0.77600000000000002</v>
      </c>
      <c r="E65" s="103">
        <v>0.77900000000000003</v>
      </c>
      <c r="F65" s="103">
        <v>0.78200000000000003</v>
      </c>
      <c r="G65" s="103">
        <v>0.78500000000000003</v>
      </c>
      <c r="H65" s="103">
        <v>0.78700000000000003</v>
      </c>
      <c r="I65" s="103">
        <v>0.79</v>
      </c>
      <c r="J65" s="103">
        <v>0.79300000000000004</v>
      </c>
      <c r="K65" s="103">
        <v>0.79600000000000004</v>
      </c>
      <c r="L65" s="103">
        <v>0.79800000000000004</v>
      </c>
      <c r="M65" s="103">
        <v>0.80100000000000005</v>
      </c>
    </row>
    <row r="66" spans="1:13" x14ac:dyDescent="0.25">
      <c r="A66" s="98">
        <v>59</v>
      </c>
      <c r="B66" s="103">
        <v>0.80400000000000005</v>
      </c>
      <c r="C66" s="103">
        <v>0.80600000000000005</v>
      </c>
      <c r="D66" s="103">
        <v>0.80800000000000005</v>
      </c>
      <c r="E66" s="103">
        <v>0.81</v>
      </c>
      <c r="F66" s="103">
        <v>0.81200000000000006</v>
      </c>
      <c r="G66" s="103">
        <v>0.81499999999999995</v>
      </c>
      <c r="H66" s="103">
        <v>0.81699999999999995</v>
      </c>
      <c r="I66" s="103">
        <v>0.81899999999999995</v>
      </c>
      <c r="J66" s="103">
        <v>0.82099999999999995</v>
      </c>
      <c r="K66" s="103">
        <v>0.82299999999999995</v>
      </c>
      <c r="L66" s="103">
        <v>0.82499999999999996</v>
      </c>
      <c r="M66" s="103">
        <v>0.82799999999999996</v>
      </c>
    </row>
    <row r="67" spans="1:13" x14ac:dyDescent="0.25">
      <c r="A67" s="98">
        <v>60</v>
      </c>
      <c r="B67" s="103">
        <v>0.83</v>
      </c>
      <c r="C67" s="103">
        <v>0.83199999999999996</v>
      </c>
      <c r="D67" s="103">
        <v>0.83499999999999996</v>
      </c>
      <c r="E67" s="103">
        <v>0.83699999999999997</v>
      </c>
      <c r="F67" s="103">
        <v>0.83899999999999997</v>
      </c>
      <c r="G67" s="103">
        <v>0.84199999999999997</v>
      </c>
      <c r="H67" s="103">
        <v>0.84399999999999997</v>
      </c>
      <c r="I67" s="103">
        <v>0.84599999999999997</v>
      </c>
      <c r="J67" s="103">
        <v>0.84899999999999998</v>
      </c>
      <c r="K67" s="103">
        <v>0.85099999999999998</v>
      </c>
      <c r="L67" s="103">
        <v>0.85399999999999998</v>
      </c>
      <c r="M67" s="103">
        <v>0.85599999999999998</v>
      </c>
    </row>
    <row r="68" spans="1:13" x14ac:dyDescent="0.25">
      <c r="A68" s="98">
        <v>61</v>
      </c>
      <c r="B68" s="103">
        <v>0.85799999999999998</v>
      </c>
      <c r="C68" s="103">
        <v>0.86099999999999999</v>
      </c>
      <c r="D68" s="103">
        <v>0.86399999999999999</v>
      </c>
      <c r="E68" s="103">
        <v>0.86599999999999999</v>
      </c>
      <c r="F68" s="103">
        <v>0.86899999999999999</v>
      </c>
      <c r="G68" s="103">
        <v>0.871</v>
      </c>
      <c r="H68" s="103">
        <v>0.874</v>
      </c>
      <c r="I68" s="103">
        <v>0.877</v>
      </c>
      <c r="J68" s="103">
        <v>0.879</v>
      </c>
      <c r="K68" s="103">
        <v>0.88200000000000001</v>
      </c>
      <c r="L68" s="103">
        <v>0.88400000000000001</v>
      </c>
      <c r="M68" s="103">
        <v>0.88700000000000001</v>
      </c>
    </row>
    <row r="69" spans="1:13" x14ac:dyDescent="0.25">
      <c r="A69" s="98">
        <v>62</v>
      </c>
      <c r="B69" s="103">
        <v>0.89</v>
      </c>
      <c r="C69" s="103">
        <v>0.89200000000000002</v>
      </c>
      <c r="D69" s="103">
        <v>0.89500000000000002</v>
      </c>
      <c r="E69" s="103">
        <v>0.89800000000000002</v>
      </c>
      <c r="F69" s="103">
        <v>0.90100000000000002</v>
      </c>
      <c r="G69" s="103">
        <v>0.90400000000000003</v>
      </c>
      <c r="H69" s="103">
        <v>0.90700000000000003</v>
      </c>
      <c r="I69" s="103">
        <v>0.91</v>
      </c>
      <c r="J69" s="103">
        <v>0.91200000000000003</v>
      </c>
      <c r="K69" s="103">
        <v>0.91500000000000004</v>
      </c>
      <c r="L69" s="103">
        <v>0.91800000000000004</v>
      </c>
      <c r="M69" s="103">
        <v>0.92100000000000004</v>
      </c>
    </row>
    <row r="70" spans="1:13" x14ac:dyDescent="0.25">
      <c r="A70" s="98">
        <v>63</v>
      </c>
      <c r="B70" s="103">
        <v>0.92400000000000004</v>
      </c>
      <c r="C70" s="103">
        <v>0.92700000000000005</v>
      </c>
      <c r="D70" s="103">
        <v>0.93</v>
      </c>
      <c r="E70" s="103">
        <v>0.93300000000000005</v>
      </c>
      <c r="F70" s="103">
        <v>0.93700000000000006</v>
      </c>
      <c r="G70" s="103">
        <v>0.94</v>
      </c>
      <c r="H70" s="103">
        <v>0.94299999999999995</v>
      </c>
      <c r="I70" s="103">
        <v>0.94599999999999995</v>
      </c>
      <c r="J70" s="103">
        <v>0.94899999999999995</v>
      </c>
      <c r="K70" s="103">
        <v>0.95199999999999996</v>
      </c>
      <c r="L70" s="103">
        <v>0.95499999999999996</v>
      </c>
      <c r="M70" s="103">
        <v>0.95899999999999996</v>
      </c>
    </row>
    <row r="71" spans="1:13" x14ac:dyDescent="0.25">
      <c r="A71" s="98">
        <v>64</v>
      </c>
      <c r="B71" s="103">
        <v>0.96199999999999997</v>
      </c>
      <c r="C71" s="103">
        <v>0.96499999999999997</v>
      </c>
      <c r="D71" s="103">
        <v>0.96799999999999997</v>
      </c>
      <c r="E71" s="103">
        <v>0.97199999999999998</v>
      </c>
      <c r="F71" s="103">
        <v>0.97499999999999998</v>
      </c>
      <c r="G71" s="103">
        <v>0.97799999999999998</v>
      </c>
      <c r="H71" s="103">
        <v>0.98199999999999998</v>
      </c>
      <c r="I71" s="103">
        <v>0.98499999999999999</v>
      </c>
      <c r="J71" s="103">
        <v>0.98799999999999999</v>
      </c>
      <c r="K71" s="103">
        <v>0.99199999999999999</v>
      </c>
      <c r="L71" s="103">
        <v>0.995</v>
      </c>
      <c r="M71" s="103">
        <v>0.998</v>
      </c>
    </row>
    <row r="72" spans="1:13" x14ac:dyDescent="0.25">
      <c r="A72" s="98">
        <v>65</v>
      </c>
      <c r="B72" s="103">
        <v>1</v>
      </c>
      <c r="C72" s="103"/>
      <c r="D72" s="103"/>
      <c r="E72" s="103"/>
      <c r="F72" s="103"/>
      <c r="G72" s="103"/>
      <c r="H72" s="103"/>
      <c r="I72" s="103"/>
      <c r="J72" s="103"/>
      <c r="K72" s="103"/>
      <c r="L72" s="103"/>
      <c r="M72" s="103"/>
    </row>
  </sheetData>
  <sheetProtection algorithmName="SHA-512" hashValue="0KnsPm2RwBYlTStR4FVAjDqaBKqXzfQalOw42oGQkHCoD/zKAAdlmVRx90tW3ZiUwaUHFibPuLqjH/oDcT2JzQ==" saltValue="8yO26fT1/qi6KLaPCjGYYg==" spinCount="100000" sheet="1" objects="1" scenarios="1"/>
  <conditionalFormatting sqref="A6:A21">
    <cfRule type="expression" dxfId="87" priority="11" stopIfTrue="1">
      <formula>MOD(ROW(),2)=0</formula>
    </cfRule>
    <cfRule type="expression" dxfId="86" priority="12" stopIfTrue="1">
      <formula>MOD(ROW(),2)&lt;&gt;0</formula>
    </cfRule>
  </conditionalFormatting>
  <conditionalFormatting sqref="A26:A72">
    <cfRule type="expression" dxfId="85" priority="3" stopIfTrue="1">
      <formula>MOD(ROW(),2)=0</formula>
    </cfRule>
    <cfRule type="expression" dxfId="84" priority="4" stopIfTrue="1">
      <formula>MOD(ROW(),2)&lt;&gt;0</formula>
    </cfRule>
  </conditionalFormatting>
  <conditionalFormatting sqref="B17:B21">
    <cfRule type="expression" dxfId="83" priority="1" stopIfTrue="1">
      <formula>MOD(ROW(),2)=0</formula>
    </cfRule>
    <cfRule type="expression" dxfId="82" priority="2" stopIfTrue="1">
      <formula>MOD(ROW(),2)&lt;&gt;0</formula>
    </cfRule>
  </conditionalFormatting>
  <conditionalFormatting sqref="B6:M21">
    <cfRule type="expression" dxfId="81" priority="19" stopIfTrue="1">
      <formula>MOD(ROW(),2)=0</formula>
    </cfRule>
    <cfRule type="expression" dxfId="80" priority="20" stopIfTrue="1">
      <formula>MOD(ROW(),2)&lt;&gt;0</formula>
    </cfRule>
  </conditionalFormatting>
  <conditionalFormatting sqref="B26:M72">
    <cfRule type="expression" dxfId="79" priority="5" stopIfTrue="1">
      <formula>MOD(ROW(),2)=0</formula>
    </cfRule>
    <cfRule type="expression" dxfId="78" priority="6" stopIfTrue="1">
      <formula>MOD(ROW(),2)&lt;&gt;0</formula>
    </cfRule>
  </conditionalFormatting>
  <hyperlinks>
    <hyperlink ref="B24" location="Assumptions!A1" display="Assumptions" xr:uid="{B266B9CB-DDE7-41BA-912D-E2A2185B159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2"/>
  <dimension ref="A1:M62"/>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Abatement - x-821</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657</v>
      </c>
      <c r="C9" s="161"/>
      <c r="D9" s="161"/>
      <c r="E9" s="161"/>
      <c r="F9" s="161"/>
      <c r="G9" s="161"/>
      <c r="H9" s="161"/>
      <c r="I9" s="161"/>
      <c r="J9" s="161"/>
      <c r="K9" s="161"/>
      <c r="L9" s="161"/>
      <c r="M9" s="161"/>
    </row>
    <row r="10" spans="1:13" x14ac:dyDescent="0.25">
      <c r="A10" s="77" t="s">
        <v>6</v>
      </c>
      <c r="B10" s="161" t="s">
        <v>671</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659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821</v>
      </c>
      <c r="C14" s="161"/>
      <c r="D14" s="161"/>
      <c r="E14" s="161"/>
      <c r="F14" s="161"/>
      <c r="G14" s="161"/>
      <c r="H14" s="161"/>
      <c r="I14" s="161"/>
      <c r="J14" s="161"/>
      <c r="K14" s="161"/>
      <c r="L14" s="161"/>
      <c r="M14" s="161"/>
    </row>
    <row r="15" spans="1:13" x14ac:dyDescent="0.25">
      <c r="A15" s="77" t="s">
        <v>291</v>
      </c>
      <c r="B15" s="161" t="s">
        <v>672</v>
      </c>
      <c r="C15" s="161"/>
      <c r="D15" s="161"/>
      <c r="E15" s="161"/>
      <c r="F15" s="161"/>
      <c r="G15" s="161"/>
      <c r="H15" s="161"/>
      <c r="I15" s="161"/>
      <c r="J15" s="161"/>
      <c r="K15" s="161"/>
      <c r="L15" s="161"/>
      <c r="M15" s="161"/>
    </row>
    <row r="16" spans="1:13" x14ac:dyDescent="0.25">
      <c r="A16" s="77" t="s">
        <v>293</v>
      </c>
      <c r="B16" s="161" t="s">
        <v>673</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20</v>
      </c>
      <c r="B27" s="103">
        <v>0.35499999999999998</v>
      </c>
      <c r="C27" s="103">
        <v>0.35599999999999998</v>
      </c>
      <c r="D27" s="103">
        <v>0.35599999999999998</v>
      </c>
      <c r="E27" s="103">
        <v>0.35699999999999998</v>
      </c>
      <c r="F27" s="103">
        <v>0.35799999999999998</v>
      </c>
      <c r="G27" s="103">
        <v>0.35899999999999999</v>
      </c>
      <c r="H27" s="103">
        <v>0.35899999999999999</v>
      </c>
      <c r="I27" s="103">
        <v>0.36</v>
      </c>
      <c r="J27" s="103">
        <v>0.36099999999999999</v>
      </c>
      <c r="K27" s="103">
        <v>0.36099999999999999</v>
      </c>
      <c r="L27" s="103">
        <v>0.36199999999999999</v>
      </c>
      <c r="M27" s="103">
        <v>0.36299999999999999</v>
      </c>
    </row>
    <row r="28" spans="1:13" x14ac:dyDescent="0.25">
      <c r="A28" s="98">
        <v>21</v>
      </c>
      <c r="B28" s="103">
        <v>0.36299999999999999</v>
      </c>
      <c r="C28" s="103">
        <v>0.36399999999999999</v>
      </c>
      <c r="D28" s="103">
        <v>0.36499999999999999</v>
      </c>
      <c r="E28" s="103">
        <v>0.36599999999999999</v>
      </c>
      <c r="F28" s="103">
        <v>0.36599999999999999</v>
      </c>
      <c r="G28" s="103">
        <v>0.36699999999999999</v>
      </c>
      <c r="H28" s="103">
        <v>0.36799999999999999</v>
      </c>
      <c r="I28" s="103">
        <v>0.36899999999999999</v>
      </c>
      <c r="J28" s="103">
        <v>0.36899999999999999</v>
      </c>
      <c r="K28" s="103">
        <v>0.37</v>
      </c>
      <c r="L28" s="103">
        <v>0.371</v>
      </c>
      <c r="M28" s="103">
        <v>0.371</v>
      </c>
    </row>
    <row r="29" spans="1:13" x14ac:dyDescent="0.25">
      <c r="A29" s="98">
        <v>22</v>
      </c>
      <c r="B29" s="103">
        <v>0.372</v>
      </c>
      <c r="C29" s="103">
        <v>0.373</v>
      </c>
      <c r="D29" s="103">
        <v>0.374</v>
      </c>
      <c r="E29" s="103">
        <v>0.374</v>
      </c>
      <c r="F29" s="103">
        <v>0.375</v>
      </c>
      <c r="G29" s="103">
        <v>0.376</v>
      </c>
      <c r="H29" s="103">
        <v>0.377</v>
      </c>
      <c r="I29" s="103">
        <v>0.377</v>
      </c>
      <c r="J29" s="103">
        <v>0.378</v>
      </c>
      <c r="K29" s="103">
        <v>0.379</v>
      </c>
      <c r="L29" s="103">
        <v>0.38</v>
      </c>
      <c r="M29" s="103">
        <v>0.38</v>
      </c>
    </row>
    <row r="30" spans="1:13" x14ac:dyDescent="0.25">
      <c r="A30" s="98">
        <v>23</v>
      </c>
      <c r="B30" s="103">
        <v>0.38100000000000001</v>
      </c>
      <c r="C30" s="103">
        <v>0.38200000000000001</v>
      </c>
      <c r="D30" s="103">
        <v>0.38300000000000001</v>
      </c>
      <c r="E30" s="103">
        <v>0.38400000000000001</v>
      </c>
      <c r="F30" s="103">
        <v>0.38400000000000001</v>
      </c>
      <c r="G30" s="103">
        <v>0.38500000000000001</v>
      </c>
      <c r="H30" s="103">
        <v>0.38600000000000001</v>
      </c>
      <c r="I30" s="103">
        <v>0.38700000000000001</v>
      </c>
      <c r="J30" s="103">
        <v>0.38700000000000001</v>
      </c>
      <c r="K30" s="103">
        <v>0.38800000000000001</v>
      </c>
      <c r="L30" s="103">
        <v>0.38900000000000001</v>
      </c>
      <c r="M30" s="103">
        <v>0.39</v>
      </c>
    </row>
    <row r="31" spans="1:13" x14ac:dyDescent="0.25">
      <c r="A31" s="98">
        <v>24</v>
      </c>
      <c r="B31" s="103">
        <v>0.39100000000000001</v>
      </c>
      <c r="C31" s="103">
        <v>0.39100000000000001</v>
      </c>
      <c r="D31" s="103">
        <v>0.39200000000000002</v>
      </c>
      <c r="E31" s="103">
        <v>0.39300000000000002</v>
      </c>
      <c r="F31" s="103">
        <v>0.39400000000000002</v>
      </c>
      <c r="G31" s="103">
        <v>0.39500000000000002</v>
      </c>
      <c r="H31" s="103">
        <v>0.39500000000000002</v>
      </c>
      <c r="I31" s="103">
        <v>0.39600000000000002</v>
      </c>
      <c r="J31" s="103">
        <v>0.39700000000000002</v>
      </c>
      <c r="K31" s="103">
        <v>0.39800000000000002</v>
      </c>
      <c r="L31" s="103">
        <v>0.39900000000000002</v>
      </c>
      <c r="M31" s="103">
        <v>0.39900000000000002</v>
      </c>
    </row>
    <row r="32" spans="1:13" x14ac:dyDescent="0.25">
      <c r="A32" s="98">
        <v>25</v>
      </c>
      <c r="B32" s="103">
        <v>0.4</v>
      </c>
      <c r="C32" s="103">
        <v>0.40100000000000002</v>
      </c>
      <c r="D32" s="103">
        <v>0.40200000000000002</v>
      </c>
      <c r="E32" s="103">
        <v>0.40300000000000002</v>
      </c>
      <c r="F32" s="103">
        <v>0.40400000000000003</v>
      </c>
      <c r="G32" s="103">
        <v>0.40400000000000003</v>
      </c>
      <c r="H32" s="103">
        <v>0.40500000000000003</v>
      </c>
      <c r="I32" s="103">
        <v>0.40600000000000003</v>
      </c>
      <c r="J32" s="103">
        <v>0.40699999999999997</v>
      </c>
      <c r="K32" s="103">
        <v>0.40799999999999997</v>
      </c>
      <c r="L32" s="103">
        <v>0.40899999999999997</v>
      </c>
      <c r="M32" s="103">
        <v>0.40899999999999997</v>
      </c>
    </row>
    <row r="33" spans="1:13" x14ac:dyDescent="0.25">
      <c r="A33" s="98">
        <v>26</v>
      </c>
      <c r="B33" s="103">
        <v>0.41</v>
      </c>
      <c r="C33" s="103">
        <v>0.41099999999999998</v>
      </c>
      <c r="D33" s="103">
        <v>0.41199999999999998</v>
      </c>
      <c r="E33" s="103">
        <v>0.41299999999999998</v>
      </c>
      <c r="F33" s="103">
        <v>0.41399999999999998</v>
      </c>
      <c r="G33" s="103">
        <v>0.41399999999999998</v>
      </c>
      <c r="H33" s="103">
        <v>0.41499999999999998</v>
      </c>
      <c r="I33" s="103">
        <v>0.41599999999999998</v>
      </c>
      <c r="J33" s="103">
        <v>0.41699999999999998</v>
      </c>
      <c r="K33" s="103">
        <v>0.41799999999999998</v>
      </c>
      <c r="L33" s="103">
        <v>0.41899999999999998</v>
      </c>
      <c r="M33" s="103">
        <v>0.42</v>
      </c>
    </row>
    <row r="34" spans="1:13" x14ac:dyDescent="0.25">
      <c r="A34" s="98">
        <v>27</v>
      </c>
      <c r="B34" s="103">
        <v>0.42099999999999999</v>
      </c>
      <c r="C34" s="103">
        <v>0.42099999999999999</v>
      </c>
      <c r="D34" s="103">
        <v>0.42199999999999999</v>
      </c>
      <c r="E34" s="103">
        <v>0.42299999999999999</v>
      </c>
      <c r="F34" s="103">
        <v>0.42399999999999999</v>
      </c>
      <c r="G34" s="103">
        <v>0.42499999999999999</v>
      </c>
      <c r="H34" s="103">
        <v>0.42599999999999999</v>
      </c>
      <c r="I34" s="103">
        <v>0.42699999999999999</v>
      </c>
      <c r="J34" s="103">
        <v>0.42799999999999999</v>
      </c>
      <c r="K34" s="103">
        <v>0.42899999999999999</v>
      </c>
      <c r="L34" s="103">
        <v>0.42899999999999999</v>
      </c>
      <c r="M34" s="103">
        <v>0.43</v>
      </c>
    </row>
    <row r="35" spans="1:13" x14ac:dyDescent="0.25">
      <c r="A35" s="98">
        <v>28</v>
      </c>
      <c r="B35" s="103">
        <v>0.43099999999999999</v>
      </c>
      <c r="C35" s="103">
        <v>0.432</v>
      </c>
      <c r="D35" s="103">
        <v>0.433</v>
      </c>
      <c r="E35" s="103">
        <v>0.434</v>
      </c>
      <c r="F35" s="103">
        <v>0.435</v>
      </c>
      <c r="G35" s="103">
        <v>0.436</v>
      </c>
      <c r="H35" s="103">
        <v>0.437</v>
      </c>
      <c r="I35" s="103">
        <v>0.438</v>
      </c>
      <c r="J35" s="103">
        <v>0.439</v>
      </c>
      <c r="K35" s="103">
        <v>0.44</v>
      </c>
      <c r="L35" s="103">
        <v>0.441</v>
      </c>
      <c r="M35" s="103">
        <v>0.441</v>
      </c>
    </row>
    <row r="36" spans="1:13" x14ac:dyDescent="0.25">
      <c r="A36" s="98">
        <v>29</v>
      </c>
      <c r="B36" s="103">
        <v>0.442</v>
      </c>
      <c r="C36" s="103">
        <v>0.443</v>
      </c>
      <c r="D36" s="103">
        <v>0.44400000000000001</v>
      </c>
      <c r="E36" s="103">
        <v>0.44500000000000001</v>
      </c>
      <c r="F36" s="103">
        <v>0.44600000000000001</v>
      </c>
      <c r="G36" s="103">
        <v>0.44700000000000001</v>
      </c>
      <c r="H36" s="103">
        <v>0.44800000000000001</v>
      </c>
      <c r="I36" s="103">
        <v>0.44900000000000001</v>
      </c>
      <c r="J36" s="103">
        <v>0.45</v>
      </c>
      <c r="K36" s="103">
        <v>0.45100000000000001</v>
      </c>
      <c r="L36" s="103">
        <v>0.45200000000000001</v>
      </c>
      <c r="M36" s="103">
        <v>0.45300000000000001</v>
      </c>
    </row>
    <row r="37" spans="1:13" x14ac:dyDescent="0.25">
      <c r="A37" s="98">
        <v>30</v>
      </c>
      <c r="B37" s="103">
        <v>0.45400000000000001</v>
      </c>
      <c r="C37" s="103">
        <v>0.45500000000000002</v>
      </c>
      <c r="D37" s="103">
        <v>0.45600000000000002</v>
      </c>
      <c r="E37" s="103">
        <v>0.45700000000000002</v>
      </c>
      <c r="F37" s="103">
        <v>0.45800000000000002</v>
      </c>
      <c r="G37" s="103">
        <v>0.45900000000000002</v>
      </c>
      <c r="H37" s="103">
        <v>0.46</v>
      </c>
      <c r="I37" s="103">
        <v>0.46100000000000002</v>
      </c>
      <c r="J37" s="103">
        <v>0.46200000000000002</v>
      </c>
      <c r="K37" s="103">
        <v>0.46300000000000002</v>
      </c>
      <c r="L37" s="103">
        <v>0.46400000000000002</v>
      </c>
      <c r="M37" s="103">
        <v>0.46500000000000002</v>
      </c>
    </row>
    <row r="38" spans="1:13" x14ac:dyDescent="0.25">
      <c r="A38" s="98">
        <v>31</v>
      </c>
      <c r="B38" s="103">
        <v>0.46600000000000003</v>
      </c>
      <c r="C38" s="103">
        <v>0.46700000000000003</v>
      </c>
      <c r="D38" s="103">
        <v>0.46800000000000003</v>
      </c>
      <c r="E38" s="103">
        <v>0.46899999999999997</v>
      </c>
      <c r="F38" s="103">
        <v>0.47</v>
      </c>
      <c r="G38" s="103">
        <v>0.47099999999999997</v>
      </c>
      <c r="H38" s="103">
        <v>0.47199999999999998</v>
      </c>
      <c r="I38" s="103">
        <v>0.47299999999999998</v>
      </c>
      <c r="J38" s="103">
        <v>0.47399999999999998</v>
      </c>
      <c r="K38" s="103">
        <v>0.47499999999999998</v>
      </c>
      <c r="L38" s="103">
        <v>0.47599999999999998</v>
      </c>
      <c r="M38" s="103">
        <v>0.47699999999999998</v>
      </c>
    </row>
    <row r="39" spans="1:13" x14ac:dyDescent="0.25">
      <c r="A39" s="98">
        <v>32</v>
      </c>
      <c r="B39" s="103">
        <v>0.47799999999999998</v>
      </c>
      <c r="C39" s="103">
        <v>0.48</v>
      </c>
      <c r="D39" s="103">
        <v>0.48099999999999998</v>
      </c>
      <c r="E39" s="103">
        <v>0.48199999999999998</v>
      </c>
      <c r="F39" s="103">
        <v>0.48299999999999998</v>
      </c>
      <c r="G39" s="103">
        <v>0.48399999999999999</v>
      </c>
      <c r="H39" s="103">
        <v>0.48499999999999999</v>
      </c>
      <c r="I39" s="103">
        <v>0.48599999999999999</v>
      </c>
      <c r="J39" s="103">
        <v>0.48699999999999999</v>
      </c>
      <c r="K39" s="103">
        <v>0.48799999999999999</v>
      </c>
      <c r="L39" s="103">
        <v>0.48899999999999999</v>
      </c>
      <c r="M39" s="103">
        <v>0.49</v>
      </c>
    </row>
    <row r="40" spans="1:13" x14ac:dyDescent="0.25">
      <c r="A40" s="98">
        <v>33</v>
      </c>
      <c r="B40" s="103">
        <v>0.49099999999999999</v>
      </c>
      <c r="C40" s="103">
        <v>0.49299999999999999</v>
      </c>
      <c r="D40" s="103">
        <v>0.49399999999999999</v>
      </c>
      <c r="E40" s="103">
        <v>0.495</v>
      </c>
      <c r="F40" s="103">
        <v>0.496</v>
      </c>
      <c r="G40" s="103">
        <v>0.497</v>
      </c>
      <c r="H40" s="103">
        <v>0.498</v>
      </c>
      <c r="I40" s="103">
        <v>0.499</v>
      </c>
      <c r="J40" s="103">
        <v>0.5</v>
      </c>
      <c r="K40" s="103">
        <v>0.502</v>
      </c>
      <c r="L40" s="103">
        <v>0.503</v>
      </c>
      <c r="M40" s="103">
        <v>0.504</v>
      </c>
    </row>
    <row r="41" spans="1:13" x14ac:dyDescent="0.25">
      <c r="A41" s="98">
        <v>34</v>
      </c>
      <c r="B41" s="103">
        <v>0.505</v>
      </c>
      <c r="C41" s="103">
        <v>0.50600000000000001</v>
      </c>
      <c r="D41" s="103">
        <v>0.50700000000000001</v>
      </c>
      <c r="E41" s="103">
        <v>0.50800000000000001</v>
      </c>
      <c r="F41" s="103">
        <v>0.51</v>
      </c>
      <c r="G41" s="103">
        <v>0.51100000000000001</v>
      </c>
      <c r="H41" s="103">
        <v>0.51200000000000001</v>
      </c>
      <c r="I41" s="103">
        <v>0.51300000000000001</v>
      </c>
      <c r="J41" s="103">
        <v>0.51400000000000001</v>
      </c>
      <c r="K41" s="103">
        <v>0.51500000000000001</v>
      </c>
      <c r="L41" s="103">
        <v>0.51700000000000002</v>
      </c>
      <c r="M41" s="103">
        <v>0.51800000000000002</v>
      </c>
    </row>
    <row r="42" spans="1:13" x14ac:dyDescent="0.25">
      <c r="A42" s="98">
        <v>35</v>
      </c>
      <c r="B42" s="103">
        <v>0.51900000000000002</v>
      </c>
      <c r="C42" s="103">
        <v>0.52</v>
      </c>
      <c r="D42" s="103">
        <v>0.52100000000000002</v>
      </c>
      <c r="E42" s="103">
        <v>0.52300000000000002</v>
      </c>
      <c r="F42" s="103">
        <v>0.52400000000000002</v>
      </c>
      <c r="G42" s="103">
        <v>0.52500000000000002</v>
      </c>
      <c r="H42" s="103">
        <v>0.52600000000000002</v>
      </c>
      <c r="I42" s="103">
        <v>0.52800000000000002</v>
      </c>
      <c r="J42" s="103">
        <v>0.52900000000000003</v>
      </c>
      <c r="K42" s="103">
        <v>0.53</v>
      </c>
      <c r="L42" s="103">
        <v>0.53100000000000003</v>
      </c>
      <c r="M42" s="103">
        <v>0.53200000000000003</v>
      </c>
    </row>
    <row r="43" spans="1:13" x14ac:dyDescent="0.25">
      <c r="A43" s="98">
        <v>36</v>
      </c>
      <c r="B43" s="103">
        <v>0.53400000000000003</v>
      </c>
      <c r="C43" s="103">
        <v>0.53500000000000003</v>
      </c>
      <c r="D43" s="103">
        <v>0.53600000000000003</v>
      </c>
      <c r="E43" s="103">
        <v>0.53700000000000003</v>
      </c>
      <c r="F43" s="103">
        <v>0.53900000000000003</v>
      </c>
      <c r="G43" s="103">
        <v>0.54</v>
      </c>
      <c r="H43" s="103">
        <v>0.54100000000000004</v>
      </c>
      <c r="I43" s="103">
        <v>0.54300000000000004</v>
      </c>
      <c r="J43" s="103">
        <v>0.54400000000000004</v>
      </c>
      <c r="K43" s="103">
        <v>0.54500000000000004</v>
      </c>
      <c r="L43" s="103">
        <v>0.54600000000000004</v>
      </c>
      <c r="M43" s="103">
        <v>0.54800000000000004</v>
      </c>
    </row>
    <row r="44" spans="1:13" x14ac:dyDescent="0.25">
      <c r="A44" s="98">
        <v>37</v>
      </c>
      <c r="B44" s="103">
        <v>0.54900000000000004</v>
      </c>
      <c r="C44" s="103">
        <v>0.55000000000000004</v>
      </c>
      <c r="D44" s="103">
        <v>0.55200000000000005</v>
      </c>
      <c r="E44" s="103">
        <v>0.55300000000000005</v>
      </c>
      <c r="F44" s="103">
        <v>0.55400000000000005</v>
      </c>
      <c r="G44" s="103">
        <v>0.55600000000000005</v>
      </c>
      <c r="H44" s="103">
        <v>0.55700000000000005</v>
      </c>
      <c r="I44" s="103">
        <v>0.55800000000000005</v>
      </c>
      <c r="J44" s="103">
        <v>0.56000000000000005</v>
      </c>
      <c r="K44" s="103">
        <v>0.56100000000000005</v>
      </c>
      <c r="L44" s="103">
        <v>0.56200000000000006</v>
      </c>
      <c r="M44" s="103">
        <v>0.56399999999999995</v>
      </c>
    </row>
    <row r="45" spans="1:13" x14ac:dyDescent="0.25">
      <c r="A45" s="98">
        <v>38</v>
      </c>
      <c r="B45" s="103">
        <v>0.56499999999999995</v>
      </c>
      <c r="C45" s="103">
        <v>0.56599999999999995</v>
      </c>
      <c r="D45" s="103">
        <v>0.56799999999999995</v>
      </c>
      <c r="E45" s="103">
        <v>0.56899999999999995</v>
      </c>
      <c r="F45" s="103">
        <v>0.56999999999999995</v>
      </c>
      <c r="G45" s="103">
        <v>0.57199999999999995</v>
      </c>
      <c r="H45" s="103">
        <v>0.57299999999999995</v>
      </c>
      <c r="I45" s="103">
        <v>0.57499999999999996</v>
      </c>
      <c r="J45" s="103">
        <v>0.57599999999999996</v>
      </c>
      <c r="K45" s="103">
        <v>0.57699999999999996</v>
      </c>
      <c r="L45" s="103">
        <v>0.57899999999999996</v>
      </c>
      <c r="M45" s="103">
        <v>0.57999999999999996</v>
      </c>
    </row>
    <row r="46" spans="1:13" x14ac:dyDescent="0.25">
      <c r="A46" s="98">
        <v>39</v>
      </c>
      <c r="B46" s="103">
        <v>0.58199999999999996</v>
      </c>
      <c r="C46" s="103">
        <v>0.58299999999999996</v>
      </c>
      <c r="D46" s="103">
        <v>0.58399999999999996</v>
      </c>
      <c r="E46" s="103">
        <v>0.58599999999999997</v>
      </c>
      <c r="F46" s="103">
        <v>0.58699999999999997</v>
      </c>
      <c r="G46" s="103">
        <v>0.58899999999999997</v>
      </c>
      <c r="H46" s="103">
        <v>0.59</v>
      </c>
      <c r="I46" s="103">
        <v>0.59199999999999997</v>
      </c>
      <c r="J46" s="103">
        <v>0.59299999999999997</v>
      </c>
      <c r="K46" s="103">
        <v>0.59499999999999997</v>
      </c>
      <c r="L46" s="103">
        <v>0.59599999999999997</v>
      </c>
      <c r="M46" s="103">
        <v>0.59699999999999998</v>
      </c>
    </row>
    <row r="47" spans="1:13" x14ac:dyDescent="0.25">
      <c r="A47" s="98">
        <v>40</v>
      </c>
      <c r="B47" s="103">
        <v>0.59899999999999998</v>
      </c>
      <c r="C47" s="103">
        <v>0.6</v>
      </c>
      <c r="D47" s="103">
        <v>0.60199999999999998</v>
      </c>
      <c r="E47" s="103">
        <v>0.60299999999999998</v>
      </c>
      <c r="F47" s="103">
        <v>0.60499999999999998</v>
      </c>
      <c r="G47" s="103">
        <v>0.60699999999999998</v>
      </c>
      <c r="H47" s="103">
        <v>0.60799999999999998</v>
      </c>
      <c r="I47" s="103">
        <v>0.61</v>
      </c>
      <c r="J47" s="103">
        <v>0.61099999999999999</v>
      </c>
      <c r="K47" s="103">
        <v>0.61299999999999999</v>
      </c>
      <c r="L47" s="103">
        <v>0.61399999999999999</v>
      </c>
      <c r="M47" s="103">
        <v>0.61599999999999999</v>
      </c>
    </row>
    <row r="48" spans="1:13" x14ac:dyDescent="0.25">
      <c r="A48" s="98">
        <v>41</v>
      </c>
      <c r="B48" s="103">
        <v>0.61699999999999999</v>
      </c>
      <c r="C48" s="103">
        <v>0.61899999999999999</v>
      </c>
      <c r="D48" s="103">
        <v>0.62</v>
      </c>
      <c r="E48" s="103">
        <v>0.622</v>
      </c>
      <c r="F48" s="103">
        <v>0.624</v>
      </c>
      <c r="G48" s="103">
        <v>0.625</v>
      </c>
      <c r="H48" s="103">
        <v>0.627</v>
      </c>
      <c r="I48" s="103">
        <v>0.628</v>
      </c>
      <c r="J48" s="103">
        <v>0.63</v>
      </c>
      <c r="K48" s="103">
        <v>0.63100000000000001</v>
      </c>
      <c r="L48" s="103">
        <v>0.63300000000000001</v>
      </c>
      <c r="M48" s="103">
        <v>0.63500000000000001</v>
      </c>
    </row>
    <row r="49" spans="1:13" x14ac:dyDescent="0.25">
      <c r="A49" s="98">
        <v>42</v>
      </c>
      <c r="B49" s="103">
        <v>0.63600000000000001</v>
      </c>
      <c r="C49" s="103">
        <v>0.63800000000000001</v>
      </c>
      <c r="D49" s="103">
        <v>0.64</v>
      </c>
      <c r="E49" s="103">
        <v>0.64100000000000001</v>
      </c>
      <c r="F49" s="103">
        <v>0.64300000000000002</v>
      </c>
      <c r="G49" s="103">
        <v>0.64500000000000002</v>
      </c>
      <c r="H49" s="103">
        <v>0.64600000000000002</v>
      </c>
      <c r="I49" s="103">
        <v>0.64800000000000002</v>
      </c>
      <c r="J49" s="103">
        <v>0.65</v>
      </c>
      <c r="K49" s="103">
        <v>0.65100000000000002</v>
      </c>
      <c r="L49" s="103">
        <v>0.65300000000000002</v>
      </c>
      <c r="M49" s="103">
        <v>0.65500000000000003</v>
      </c>
    </row>
    <row r="50" spans="1:13" x14ac:dyDescent="0.25">
      <c r="A50" s="98">
        <v>43</v>
      </c>
      <c r="B50" s="103">
        <v>0.65600000000000003</v>
      </c>
      <c r="C50" s="103">
        <v>0.65800000000000003</v>
      </c>
      <c r="D50" s="103">
        <v>0.66</v>
      </c>
      <c r="E50" s="103">
        <v>0.66200000000000003</v>
      </c>
      <c r="F50" s="103">
        <v>0.66300000000000003</v>
      </c>
      <c r="G50" s="103">
        <v>0.66500000000000004</v>
      </c>
      <c r="H50" s="103">
        <v>0.66700000000000004</v>
      </c>
      <c r="I50" s="103">
        <v>0.66900000000000004</v>
      </c>
      <c r="J50" s="103">
        <v>0.67</v>
      </c>
      <c r="K50" s="103">
        <v>0.67200000000000004</v>
      </c>
      <c r="L50" s="103">
        <v>0.67400000000000004</v>
      </c>
      <c r="M50" s="103">
        <v>0.67600000000000005</v>
      </c>
    </row>
    <row r="51" spans="1:13" x14ac:dyDescent="0.25">
      <c r="A51" s="98">
        <v>44</v>
      </c>
      <c r="B51" s="103">
        <v>0.67700000000000005</v>
      </c>
      <c r="C51" s="103">
        <v>0.67900000000000005</v>
      </c>
      <c r="D51" s="103">
        <v>0.68100000000000005</v>
      </c>
      <c r="E51" s="103">
        <v>0.68300000000000005</v>
      </c>
      <c r="F51" s="103">
        <v>0.68500000000000005</v>
      </c>
      <c r="G51" s="103">
        <v>0.68600000000000005</v>
      </c>
      <c r="H51" s="103">
        <v>0.68799999999999994</v>
      </c>
      <c r="I51" s="103">
        <v>0.69</v>
      </c>
      <c r="J51" s="103">
        <v>0.69199999999999995</v>
      </c>
      <c r="K51" s="103">
        <v>0.69399999999999995</v>
      </c>
      <c r="L51" s="103">
        <v>0.69599999999999995</v>
      </c>
      <c r="M51" s="103">
        <v>0.69799999999999995</v>
      </c>
    </row>
    <row r="52" spans="1:13" x14ac:dyDescent="0.25">
      <c r="A52" s="98">
        <v>45</v>
      </c>
      <c r="B52" s="103">
        <v>0.69899999999999995</v>
      </c>
      <c r="C52" s="103">
        <v>0.70099999999999996</v>
      </c>
      <c r="D52" s="103">
        <v>0.70299999999999996</v>
      </c>
      <c r="E52" s="103">
        <v>0.70499999999999996</v>
      </c>
      <c r="F52" s="103">
        <v>0.70699999999999996</v>
      </c>
      <c r="G52" s="103">
        <v>0.70899999999999996</v>
      </c>
      <c r="H52" s="103">
        <v>0.71099999999999997</v>
      </c>
      <c r="I52" s="103">
        <v>0.71299999999999997</v>
      </c>
      <c r="J52" s="103">
        <v>0.71499999999999997</v>
      </c>
      <c r="K52" s="103">
        <v>0.71699999999999997</v>
      </c>
      <c r="L52" s="103">
        <v>0.71899999999999997</v>
      </c>
      <c r="M52" s="103">
        <v>0.72099999999999997</v>
      </c>
    </row>
    <row r="53" spans="1:13" x14ac:dyDescent="0.25">
      <c r="A53" s="98">
        <v>46</v>
      </c>
      <c r="B53" s="103">
        <v>0.72299999999999998</v>
      </c>
      <c r="C53" s="103">
        <v>0.72499999999999998</v>
      </c>
      <c r="D53" s="103">
        <v>0.72699999999999998</v>
      </c>
      <c r="E53" s="103">
        <v>0.72899999999999998</v>
      </c>
      <c r="F53" s="103">
        <v>0.73099999999999998</v>
      </c>
      <c r="G53" s="103">
        <v>0.73299999999999998</v>
      </c>
      <c r="H53" s="103">
        <v>0.73499999999999999</v>
      </c>
      <c r="I53" s="103">
        <v>0.73699999999999999</v>
      </c>
      <c r="J53" s="103">
        <v>0.73899999999999999</v>
      </c>
      <c r="K53" s="103">
        <v>0.74099999999999999</v>
      </c>
      <c r="L53" s="103">
        <v>0.74299999999999999</v>
      </c>
      <c r="M53" s="103">
        <v>0.745</v>
      </c>
    </row>
    <row r="54" spans="1:13" x14ac:dyDescent="0.25">
      <c r="A54" s="98">
        <v>47</v>
      </c>
      <c r="B54" s="103">
        <v>0.747</v>
      </c>
      <c r="C54" s="103">
        <v>0.749</v>
      </c>
      <c r="D54" s="103">
        <v>0.751</v>
      </c>
      <c r="E54" s="103">
        <v>0.754</v>
      </c>
      <c r="F54" s="103">
        <v>0.75600000000000001</v>
      </c>
      <c r="G54" s="103">
        <v>0.75800000000000001</v>
      </c>
      <c r="H54" s="103">
        <v>0.76</v>
      </c>
      <c r="I54" s="103">
        <v>0.76200000000000001</v>
      </c>
      <c r="J54" s="103">
        <v>0.76400000000000001</v>
      </c>
      <c r="K54" s="103">
        <v>0.76600000000000001</v>
      </c>
      <c r="L54" s="103">
        <v>0.76900000000000002</v>
      </c>
      <c r="M54" s="103">
        <v>0.77100000000000002</v>
      </c>
    </row>
    <row r="55" spans="1:13" x14ac:dyDescent="0.25">
      <c r="A55" s="98">
        <v>48</v>
      </c>
      <c r="B55" s="103">
        <v>0.77300000000000002</v>
      </c>
      <c r="C55" s="103">
        <v>0.77500000000000002</v>
      </c>
      <c r="D55" s="103">
        <v>0.77700000000000002</v>
      </c>
      <c r="E55" s="103">
        <v>0.78</v>
      </c>
      <c r="F55" s="103">
        <v>0.78200000000000003</v>
      </c>
      <c r="G55" s="103">
        <v>0.78400000000000003</v>
      </c>
      <c r="H55" s="103">
        <v>0.78700000000000003</v>
      </c>
      <c r="I55" s="103">
        <v>0.78900000000000003</v>
      </c>
      <c r="J55" s="103">
        <v>0.79100000000000004</v>
      </c>
      <c r="K55" s="103">
        <v>0.79300000000000004</v>
      </c>
      <c r="L55" s="103">
        <v>0.79600000000000004</v>
      </c>
      <c r="M55" s="103">
        <v>0.79800000000000004</v>
      </c>
    </row>
    <row r="56" spans="1:13" x14ac:dyDescent="0.25">
      <c r="A56" s="98">
        <v>49</v>
      </c>
      <c r="B56" s="103">
        <v>0.8</v>
      </c>
      <c r="C56" s="103">
        <v>0.80300000000000005</v>
      </c>
      <c r="D56" s="103">
        <v>0.80500000000000005</v>
      </c>
      <c r="E56" s="103">
        <v>0.80700000000000005</v>
      </c>
      <c r="F56" s="103">
        <v>0.81</v>
      </c>
      <c r="G56" s="103">
        <v>0.81200000000000006</v>
      </c>
      <c r="H56" s="103">
        <v>0.81499999999999995</v>
      </c>
      <c r="I56" s="103">
        <v>0.81699999999999995</v>
      </c>
      <c r="J56" s="103">
        <v>0.81899999999999995</v>
      </c>
      <c r="K56" s="103">
        <v>0.82199999999999995</v>
      </c>
      <c r="L56" s="103">
        <v>0.82399999999999995</v>
      </c>
      <c r="M56" s="103">
        <v>0.82699999999999996</v>
      </c>
    </row>
    <row r="57" spans="1:13" x14ac:dyDescent="0.25">
      <c r="A57" s="98">
        <v>50</v>
      </c>
      <c r="B57" s="103">
        <v>0.82899999999999996</v>
      </c>
      <c r="C57" s="103">
        <v>0.83199999999999996</v>
      </c>
      <c r="D57" s="103">
        <v>0.83399999999999996</v>
      </c>
      <c r="E57" s="103">
        <v>0.83699999999999997</v>
      </c>
      <c r="F57" s="103">
        <v>0.83899999999999997</v>
      </c>
      <c r="G57" s="103">
        <v>0.84199999999999997</v>
      </c>
      <c r="H57" s="103">
        <v>0.84399999999999997</v>
      </c>
      <c r="I57" s="103">
        <v>0.84699999999999998</v>
      </c>
      <c r="J57" s="103">
        <v>0.84899999999999998</v>
      </c>
      <c r="K57" s="103">
        <v>0.85199999999999998</v>
      </c>
      <c r="L57" s="103">
        <v>0.85399999999999998</v>
      </c>
      <c r="M57" s="103">
        <v>0.85699999999999998</v>
      </c>
    </row>
    <row r="58" spans="1:13" x14ac:dyDescent="0.25">
      <c r="A58" s="98">
        <v>51</v>
      </c>
      <c r="B58" s="103">
        <v>0.85899999999999999</v>
      </c>
      <c r="C58" s="103">
        <v>0.86199999999999999</v>
      </c>
      <c r="D58" s="103">
        <v>0.86499999999999999</v>
      </c>
      <c r="E58" s="103">
        <v>0.86799999999999999</v>
      </c>
      <c r="F58" s="103">
        <v>0.87</v>
      </c>
      <c r="G58" s="103">
        <v>0.873</v>
      </c>
      <c r="H58" s="103">
        <v>0.876</v>
      </c>
      <c r="I58" s="103">
        <v>0.878</v>
      </c>
      <c r="J58" s="103">
        <v>0.88100000000000001</v>
      </c>
      <c r="K58" s="103">
        <v>0.88400000000000001</v>
      </c>
      <c r="L58" s="103">
        <v>0.88600000000000001</v>
      </c>
      <c r="M58" s="103">
        <v>0.88900000000000001</v>
      </c>
    </row>
    <row r="59" spans="1:13" x14ac:dyDescent="0.25">
      <c r="A59" s="98">
        <v>52</v>
      </c>
      <c r="B59" s="103">
        <v>0.89200000000000002</v>
      </c>
      <c r="C59" s="103">
        <v>0.89500000000000002</v>
      </c>
      <c r="D59" s="103">
        <v>0.89800000000000002</v>
      </c>
      <c r="E59" s="103">
        <v>0.9</v>
      </c>
      <c r="F59" s="103">
        <v>0.90300000000000002</v>
      </c>
      <c r="G59" s="103">
        <v>0.90600000000000003</v>
      </c>
      <c r="H59" s="103">
        <v>0.90900000000000003</v>
      </c>
      <c r="I59" s="103">
        <v>0.91200000000000003</v>
      </c>
      <c r="J59" s="103">
        <v>0.91500000000000004</v>
      </c>
      <c r="K59" s="103">
        <v>0.91800000000000004</v>
      </c>
      <c r="L59" s="103">
        <v>0.92</v>
      </c>
      <c r="M59" s="103">
        <v>0.92300000000000004</v>
      </c>
    </row>
    <row r="60" spans="1:13" x14ac:dyDescent="0.25">
      <c r="A60" s="98">
        <v>53</v>
      </c>
      <c r="B60" s="103">
        <v>0.92600000000000005</v>
      </c>
      <c r="C60" s="103">
        <v>0.92900000000000005</v>
      </c>
      <c r="D60" s="103">
        <v>0.93200000000000005</v>
      </c>
      <c r="E60" s="103">
        <v>0.93500000000000005</v>
      </c>
      <c r="F60" s="103">
        <v>0.93799999999999994</v>
      </c>
      <c r="G60" s="103">
        <v>0.94099999999999995</v>
      </c>
      <c r="H60" s="103">
        <v>0.94399999999999995</v>
      </c>
      <c r="I60" s="103">
        <v>0.94699999999999995</v>
      </c>
      <c r="J60" s="103">
        <v>0.95099999999999996</v>
      </c>
      <c r="K60" s="103">
        <v>0.95399999999999996</v>
      </c>
      <c r="L60" s="103">
        <v>0.95699999999999996</v>
      </c>
      <c r="M60" s="103">
        <v>0.96</v>
      </c>
    </row>
    <row r="61" spans="1:13" x14ac:dyDescent="0.25">
      <c r="A61" s="98">
        <v>54</v>
      </c>
      <c r="B61" s="103">
        <v>0.96299999999999997</v>
      </c>
      <c r="C61" s="103">
        <v>0.96599999999999997</v>
      </c>
      <c r="D61" s="103">
        <v>0.96899999999999997</v>
      </c>
      <c r="E61" s="103">
        <v>0.97199999999999998</v>
      </c>
      <c r="F61" s="103">
        <v>0.97599999999999998</v>
      </c>
      <c r="G61" s="103">
        <v>0.97899999999999998</v>
      </c>
      <c r="H61" s="103">
        <v>0.98199999999999998</v>
      </c>
      <c r="I61" s="103">
        <v>0.98499999999999999</v>
      </c>
      <c r="J61" s="103">
        <v>0.98899999999999999</v>
      </c>
      <c r="K61" s="103">
        <v>0.99199999999999999</v>
      </c>
      <c r="L61" s="103">
        <v>0.995</v>
      </c>
      <c r="M61" s="103">
        <v>0.998</v>
      </c>
    </row>
    <row r="62" spans="1:13" x14ac:dyDescent="0.25">
      <c r="A62" s="98">
        <v>55</v>
      </c>
      <c r="B62" s="103">
        <v>1</v>
      </c>
      <c r="C62" s="103"/>
      <c r="D62" s="103"/>
      <c r="E62" s="103"/>
      <c r="F62" s="103"/>
      <c r="G62" s="103"/>
      <c r="H62" s="103"/>
      <c r="I62" s="103"/>
      <c r="J62" s="103"/>
      <c r="K62" s="103"/>
      <c r="L62" s="103"/>
      <c r="M62" s="103"/>
    </row>
  </sheetData>
  <sheetProtection algorithmName="SHA-512" hashValue="xF5U9V8NaUO/EENeS1NqfnzKA/bMJR4QVouB+nVDPdUIfZWBvKMsJKgO+OkZ8Jt79aB10kVr5iXFWdwBzaU3Nw==" saltValue="l6ilCpVW/bTUMVY4kTaFeA==" spinCount="100000" sheet="1" objects="1" scenarios="1"/>
  <conditionalFormatting sqref="A6:A21">
    <cfRule type="expression" dxfId="77" priority="11" stopIfTrue="1">
      <formula>MOD(ROW(),2)=0</formula>
    </cfRule>
    <cfRule type="expression" dxfId="76" priority="12" stopIfTrue="1">
      <formula>MOD(ROW(),2)&lt;&gt;0</formula>
    </cfRule>
  </conditionalFormatting>
  <conditionalFormatting sqref="A26:A62">
    <cfRule type="expression" dxfId="75" priority="3" stopIfTrue="1">
      <formula>MOD(ROW(),2)=0</formula>
    </cfRule>
    <cfRule type="expression" dxfId="74" priority="4" stopIfTrue="1">
      <formula>MOD(ROW(),2)&lt;&gt;0</formula>
    </cfRule>
  </conditionalFormatting>
  <conditionalFormatting sqref="B17:B21">
    <cfRule type="expression" dxfId="73" priority="1" stopIfTrue="1">
      <formula>MOD(ROW(),2)=0</formula>
    </cfRule>
    <cfRule type="expression" dxfId="72" priority="2" stopIfTrue="1">
      <formula>MOD(ROW(),2)&lt;&gt;0</formula>
    </cfRule>
  </conditionalFormatting>
  <conditionalFormatting sqref="B6:M21">
    <cfRule type="expression" dxfId="71" priority="19" stopIfTrue="1">
      <formula>MOD(ROW(),2)=0</formula>
    </cfRule>
    <cfRule type="expression" dxfId="70" priority="20" stopIfTrue="1">
      <formula>MOD(ROW(),2)&lt;&gt;0</formula>
    </cfRule>
  </conditionalFormatting>
  <conditionalFormatting sqref="B26:M62">
    <cfRule type="expression" dxfId="69" priority="5" stopIfTrue="1">
      <formula>MOD(ROW(),2)=0</formula>
    </cfRule>
    <cfRule type="expression" dxfId="68" priority="6" stopIfTrue="1">
      <formula>MOD(ROW(),2)&lt;&gt;0</formula>
    </cfRule>
  </conditionalFormatting>
  <hyperlinks>
    <hyperlink ref="B24" location="Assumptions!A1" display="Assumptions" xr:uid="{9B7FFB86-BEB1-4A4E-A2D5-1D55E45E59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3"/>
  <dimension ref="A1:M7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Abatement - x-822</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657</v>
      </c>
      <c r="C9" s="161"/>
      <c r="D9" s="161"/>
      <c r="E9" s="161"/>
      <c r="F9" s="161"/>
      <c r="G9" s="161"/>
      <c r="H9" s="161"/>
      <c r="I9" s="161"/>
      <c r="J9" s="161"/>
      <c r="K9" s="161"/>
      <c r="L9" s="161"/>
      <c r="M9" s="161"/>
    </row>
    <row r="10" spans="1:13" x14ac:dyDescent="0.25">
      <c r="A10" s="77" t="s">
        <v>6</v>
      </c>
      <c r="B10" s="161" t="s">
        <v>674</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659</v>
      </c>
      <c r="C12" s="161"/>
      <c r="D12" s="161"/>
      <c r="E12" s="161"/>
      <c r="F12" s="161"/>
      <c r="G12" s="161"/>
      <c r="H12" s="161"/>
      <c r="I12" s="161"/>
      <c r="J12" s="161"/>
      <c r="K12" s="161"/>
      <c r="L12" s="161"/>
      <c r="M12" s="161"/>
    </row>
    <row r="13" spans="1:13" x14ac:dyDescent="0.25">
      <c r="A13" s="77" t="s">
        <v>287</v>
      </c>
      <c r="B13" s="161">
        <v>2</v>
      </c>
      <c r="C13" s="161"/>
      <c r="D13" s="161"/>
      <c r="E13" s="161"/>
      <c r="F13" s="161"/>
      <c r="G13" s="161"/>
      <c r="H13" s="161"/>
      <c r="I13" s="161"/>
      <c r="J13" s="161"/>
      <c r="K13" s="161"/>
      <c r="L13" s="161"/>
      <c r="M13" s="161"/>
    </row>
    <row r="14" spans="1:13" x14ac:dyDescent="0.25">
      <c r="A14" s="77" t="s">
        <v>289</v>
      </c>
      <c r="B14" s="161">
        <v>822</v>
      </c>
      <c r="C14" s="161"/>
      <c r="D14" s="161"/>
      <c r="E14" s="161"/>
      <c r="F14" s="161"/>
      <c r="G14" s="161"/>
      <c r="H14" s="161"/>
      <c r="I14" s="161"/>
      <c r="J14" s="161"/>
      <c r="K14" s="161"/>
      <c r="L14" s="161"/>
      <c r="M14" s="161"/>
    </row>
    <row r="15" spans="1:13" x14ac:dyDescent="0.25">
      <c r="A15" s="77" t="s">
        <v>291</v>
      </c>
      <c r="B15" s="161" t="s">
        <v>675</v>
      </c>
      <c r="C15" s="161"/>
      <c r="D15" s="161"/>
      <c r="E15" s="161"/>
      <c r="F15" s="161"/>
      <c r="G15" s="161"/>
      <c r="H15" s="161"/>
      <c r="I15" s="161"/>
      <c r="J15" s="161"/>
      <c r="K15" s="161"/>
      <c r="L15" s="161"/>
      <c r="M15" s="161"/>
    </row>
    <row r="16" spans="1:13" x14ac:dyDescent="0.25">
      <c r="A16" s="77" t="s">
        <v>293</v>
      </c>
      <c r="B16" s="161" t="s">
        <v>676</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16</v>
      </c>
      <c r="B27" s="103">
        <v>1.9E-2</v>
      </c>
      <c r="C27" s="103">
        <v>1.9E-2</v>
      </c>
      <c r="D27" s="103">
        <v>1.9E-2</v>
      </c>
      <c r="E27" s="103">
        <v>1.9E-2</v>
      </c>
      <c r="F27" s="103">
        <v>1.9E-2</v>
      </c>
      <c r="G27" s="103">
        <v>1.9E-2</v>
      </c>
      <c r="H27" s="103">
        <v>1.9E-2</v>
      </c>
      <c r="I27" s="103">
        <v>1.9E-2</v>
      </c>
      <c r="J27" s="103">
        <v>1.9E-2</v>
      </c>
      <c r="K27" s="103">
        <v>1.9E-2</v>
      </c>
      <c r="L27" s="103">
        <v>1.9E-2</v>
      </c>
      <c r="M27" s="103">
        <v>1.9E-2</v>
      </c>
    </row>
    <row r="28" spans="1:13" x14ac:dyDescent="0.25">
      <c r="A28" s="98">
        <v>17</v>
      </c>
      <c r="B28" s="103">
        <v>1.9E-2</v>
      </c>
      <c r="C28" s="103">
        <v>1.9E-2</v>
      </c>
      <c r="D28" s="103">
        <v>1.9E-2</v>
      </c>
      <c r="E28" s="103">
        <v>1.9E-2</v>
      </c>
      <c r="F28" s="103">
        <v>1.9E-2</v>
      </c>
      <c r="G28" s="103">
        <v>1.9E-2</v>
      </c>
      <c r="H28" s="103">
        <v>1.9E-2</v>
      </c>
      <c r="I28" s="103">
        <v>1.9E-2</v>
      </c>
      <c r="J28" s="103">
        <v>1.9E-2</v>
      </c>
      <c r="K28" s="103">
        <v>1.9E-2</v>
      </c>
      <c r="L28" s="103">
        <v>1.9E-2</v>
      </c>
      <c r="M28" s="103">
        <v>0.02</v>
      </c>
    </row>
    <row r="29" spans="1:13" x14ac:dyDescent="0.25">
      <c r="A29" s="98">
        <v>18</v>
      </c>
      <c r="B29" s="103">
        <v>0.02</v>
      </c>
      <c r="C29" s="103">
        <v>0.02</v>
      </c>
      <c r="D29" s="103">
        <v>0.02</v>
      </c>
      <c r="E29" s="103">
        <v>0.02</v>
      </c>
      <c r="F29" s="103">
        <v>0.02</v>
      </c>
      <c r="G29" s="103">
        <v>0.02</v>
      </c>
      <c r="H29" s="103">
        <v>0.02</v>
      </c>
      <c r="I29" s="103">
        <v>0.02</v>
      </c>
      <c r="J29" s="103">
        <v>0.02</v>
      </c>
      <c r="K29" s="103">
        <v>0.02</v>
      </c>
      <c r="L29" s="103">
        <v>0.02</v>
      </c>
      <c r="M29" s="103">
        <v>0.02</v>
      </c>
    </row>
    <row r="30" spans="1:13" x14ac:dyDescent="0.25">
      <c r="A30" s="98">
        <v>19</v>
      </c>
      <c r="B30" s="103">
        <v>0.02</v>
      </c>
      <c r="C30" s="103">
        <v>0.02</v>
      </c>
      <c r="D30" s="103">
        <v>0.02</v>
      </c>
      <c r="E30" s="103">
        <v>0.02</v>
      </c>
      <c r="F30" s="103">
        <v>0.02</v>
      </c>
      <c r="G30" s="103">
        <v>0.02</v>
      </c>
      <c r="H30" s="103">
        <v>0.02</v>
      </c>
      <c r="I30" s="103">
        <v>0.02</v>
      </c>
      <c r="J30" s="103">
        <v>0.02</v>
      </c>
      <c r="K30" s="103">
        <v>0.02</v>
      </c>
      <c r="L30" s="103">
        <v>0.02</v>
      </c>
      <c r="M30" s="103">
        <v>0.02</v>
      </c>
    </row>
    <row r="31" spans="1:13" x14ac:dyDescent="0.25">
      <c r="A31" s="98">
        <v>20</v>
      </c>
      <c r="B31" s="103">
        <v>0.02</v>
      </c>
      <c r="C31" s="103">
        <v>2.1000000000000001E-2</v>
      </c>
      <c r="D31" s="103">
        <v>2.1000000000000001E-2</v>
      </c>
      <c r="E31" s="103">
        <v>2.1000000000000001E-2</v>
      </c>
      <c r="F31" s="103">
        <v>2.1000000000000001E-2</v>
      </c>
      <c r="G31" s="103">
        <v>2.1000000000000001E-2</v>
      </c>
      <c r="H31" s="103">
        <v>2.1000000000000001E-2</v>
      </c>
      <c r="I31" s="103">
        <v>2.1000000000000001E-2</v>
      </c>
      <c r="J31" s="103">
        <v>2.1000000000000001E-2</v>
      </c>
      <c r="K31" s="103">
        <v>2.1000000000000001E-2</v>
      </c>
      <c r="L31" s="103">
        <v>2.1000000000000001E-2</v>
      </c>
      <c r="M31" s="103">
        <v>2.1000000000000001E-2</v>
      </c>
    </row>
    <row r="32" spans="1:13" x14ac:dyDescent="0.25">
      <c r="A32" s="98">
        <v>21</v>
      </c>
      <c r="B32" s="103">
        <v>2.1000000000000001E-2</v>
      </c>
      <c r="C32" s="103">
        <v>2.1000000000000001E-2</v>
      </c>
      <c r="D32" s="103">
        <v>2.1000000000000001E-2</v>
      </c>
      <c r="E32" s="103">
        <v>2.1000000000000001E-2</v>
      </c>
      <c r="F32" s="103">
        <v>2.1000000000000001E-2</v>
      </c>
      <c r="G32" s="103">
        <v>2.1000000000000001E-2</v>
      </c>
      <c r="H32" s="103">
        <v>2.1000000000000001E-2</v>
      </c>
      <c r="I32" s="103">
        <v>2.1000000000000001E-2</v>
      </c>
      <c r="J32" s="103">
        <v>2.1000000000000001E-2</v>
      </c>
      <c r="K32" s="103">
        <v>2.1000000000000001E-2</v>
      </c>
      <c r="L32" s="103">
        <v>2.1000000000000001E-2</v>
      </c>
      <c r="M32" s="103">
        <v>2.1000000000000001E-2</v>
      </c>
    </row>
    <row r="33" spans="1:13" x14ac:dyDescent="0.25">
      <c r="A33" s="98">
        <v>22</v>
      </c>
      <c r="B33" s="103">
        <v>2.1000000000000001E-2</v>
      </c>
      <c r="C33" s="103">
        <v>2.1000000000000001E-2</v>
      </c>
      <c r="D33" s="103">
        <v>2.1999999999999999E-2</v>
      </c>
      <c r="E33" s="103">
        <v>2.1999999999999999E-2</v>
      </c>
      <c r="F33" s="103">
        <v>2.1999999999999999E-2</v>
      </c>
      <c r="G33" s="103">
        <v>2.1999999999999999E-2</v>
      </c>
      <c r="H33" s="103">
        <v>2.1999999999999999E-2</v>
      </c>
      <c r="I33" s="103">
        <v>2.1999999999999999E-2</v>
      </c>
      <c r="J33" s="103">
        <v>2.1999999999999999E-2</v>
      </c>
      <c r="K33" s="103">
        <v>2.1999999999999999E-2</v>
      </c>
      <c r="L33" s="103">
        <v>2.1999999999999999E-2</v>
      </c>
      <c r="M33" s="103">
        <v>2.1999999999999999E-2</v>
      </c>
    </row>
    <row r="34" spans="1:13" x14ac:dyDescent="0.25">
      <c r="A34" s="98">
        <v>23</v>
      </c>
      <c r="B34" s="103">
        <v>2.1999999999999999E-2</v>
      </c>
      <c r="C34" s="103">
        <v>2.1999999999999999E-2</v>
      </c>
      <c r="D34" s="103">
        <v>2.1999999999999999E-2</v>
      </c>
      <c r="E34" s="103">
        <v>2.1999999999999999E-2</v>
      </c>
      <c r="F34" s="103">
        <v>2.1999999999999999E-2</v>
      </c>
      <c r="G34" s="103">
        <v>2.1999999999999999E-2</v>
      </c>
      <c r="H34" s="103">
        <v>2.1999999999999999E-2</v>
      </c>
      <c r="I34" s="103">
        <v>2.1999999999999999E-2</v>
      </c>
      <c r="J34" s="103">
        <v>2.1999999999999999E-2</v>
      </c>
      <c r="K34" s="103">
        <v>2.1999999999999999E-2</v>
      </c>
      <c r="L34" s="103">
        <v>2.1999999999999999E-2</v>
      </c>
      <c r="M34" s="103">
        <v>2.1999999999999999E-2</v>
      </c>
    </row>
    <row r="35" spans="1:13" x14ac:dyDescent="0.25">
      <c r="A35" s="98">
        <v>24</v>
      </c>
      <c r="B35" s="103">
        <v>2.1999999999999999E-2</v>
      </c>
      <c r="C35" s="103">
        <v>2.1999999999999999E-2</v>
      </c>
      <c r="D35" s="103">
        <v>2.3E-2</v>
      </c>
      <c r="E35" s="103">
        <v>2.3E-2</v>
      </c>
      <c r="F35" s="103">
        <v>2.3E-2</v>
      </c>
      <c r="G35" s="103">
        <v>2.3E-2</v>
      </c>
      <c r="H35" s="103">
        <v>2.3E-2</v>
      </c>
      <c r="I35" s="103">
        <v>2.3E-2</v>
      </c>
      <c r="J35" s="103">
        <v>2.3E-2</v>
      </c>
      <c r="K35" s="103">
        <v>2.3E-2</v>
      </c>
      <c r="L35" s="103">
        <v>2.3E-2</v>
      </c>
      <c r="M35" s="103">
        <v>2.3E-2</v>
      </c>
    </row>
    <row r="36" spans="1:13" x14ac:dyDescent="0.25">
      <c r="A36" s="98">
        <v>25</v>
      </c>
      <c r="B36" s="103">
        <v>2.3E-2</v>
      </c>
      <c r="C36" s="103">
        <v>2.3E-2</v>
      </c>
      <c r="D36" s="103">
        <v>2.3E-2</v>
      </c>
      <c r="E36" s="103">
        <v>2.3E-2</v>
      </c>
      <c r="F36" s="103">
        <v>2.3E-2</v>
      </c>
      <c r="G36" s="103">
        <v>2.3E-2</v>
      </c>
      <c r="H36" s="103">
        <v>2.3E-2</v>
      </c>
      <c r="I36" s="103">
        <v>2.3E-2</v>
      </c>
      <c r="J36" s="103">
        <v>2.3E-2</v>
      </c>
      <c r="K36" s="103">
        <v>2.3E-2</v>
      </c>
      <c r="L36" s="103">
        <v>2.3E-2</v>
      </c>
      <c r="M36" s="103">
        <v>2.3E-2</v>
      </c>
    </row>
    <row r="37" spans="1:13" x14ac:dyDescent="0.25">
      <c r="A37" s="98">
        <v>26</v>
      </c>
      <c r="B37" s="103">
        <v>2.4E-2</v>
      </c>
      <c r="C37" s="103">
        <v>2.4E-2</v>
      </c>
      <c r="D37" s="103">
        <v>2.4E-2</v>
      </c>
      <c r="E37" s="103">
        <v>2.4E-2</v>
      </c>
      <c r="F37" s="103">
        <v>2.4E-2</v>
      </c>
      <c r="G37" s="103">
        <v>2.4E-2</v>
      </c>
      <c r="H37" s="103">
        <v>2.4E-2</v>
      </c>
      <c r="I37" s="103">
        <v>2.4E-2</v>
      </c>
      <c r="J37" s="103">
        <v>2.4E-2</v>
      </c>
      <c r="K37" s="103">
        <v>2.4E-2</v>
      </c>
      <c r="L37" s="103">
        <v>2.4E-2</v>
      </c>
      <c r="M37" s="103">
        <v>2.4E-2</v>
      </c>
    </row>
    <row r="38" spans="1:13" x14ac:dyDescent="0.25">
      <c r="A38" s="98">
        <v>27</v>
      </c>
      <c r="B38" s="103">
        <v>2.4E-2</v>
      </c>
      <c r="C38" s="103">
        <v>2.4E-2</v>
      </c>
      <c r="D38" s="103">
        <v>2.4E-2</v>
      </c>
      <c r="E38" s="103">
        <v>2.4E-2</v>
      </c>
      <c r="F38" s="103">
        <v>2.4E-2</v>
      </c>
      <c r="G38" s="103">
        <v>2.4E-2</v>
      </c>
      <c r="H38" s="103">
        <v>2.4E-2</v>
      </c>
      <c r="I38" s="103">
        <v>2.4E-2</v>
      </c>
      <c r="J38" s="103">
        <v>2.5000000000000001E-2</v>
      </c>
      <c r="K38" s="103">
        <v>2.5000000000000001E-2</v>
      </c>
      <c r="L38" s="103">
        <v>2.5000000000000001E-2</v>
      </c>
      <c r="M38" s="103">
        <v>2.5000000000000001E-2</v>
      </c>
    </row>
    <row r="39" spans="1:13" x14ac:dyDescent="0.25">
      <c r="A39" s="98">
        <v>28</v>
      </c>
      <c r="B39" s="103">
        <v>2.5000000000000001E-2</v>
      </c>
      <c r="C39" s="103">
        <v>2.5000000000000001E-2</v>
      </c>
      <c r="D39" s="103">
        <v>2.5000000000000001E-2</v>
      </c>
      <c r="E39" s="103">
        <v>2.5000000000000001E-2</v>
      </c>
      <c r="F39" s="103">
        <v>2.5000000000000001E-2</v>
      </c>
      <c r="G39" s="103">
        <v>2.5000000000000001E-2</v>
      </c>
      <c r="H39" s="103">
        <v>2.5000000000000001E-2</v>
      </c>
      <c r="I39" s="103">
        <v>2.5000000000000001E-2</v>
      </c>
      <c r="J39" s="103">
        <v>2.5000000000000001E-2</v>
      </c>
      <c r="K39" s="103">
        <v>2.5000000000000001E-2</v>
      </c>
      <c r="L39" s="103">
        <v>2.5000000000000001E-2</v>
      </c>
      <c r="M39" s="103">
        <v>2.5000000000000001E-2</v>
      </c>
    </row>
    <row r="40" spans="1:13" x14ac:dyDescent="0.25">
      <c r="A40" s="98">
        <v>29</v>
      </c>
      <c r="B40" s="103">
        <v>2.5000000000000001E-2</v>
      </c>
      <c r="C40" s="103">
        <v>2.5000000000000001E-2</v>
      </c>
      <c r="D40" s="103">
        <v>2.5000000000000001E-2</v>
      </c>
      <c r="E40" s="103">
        <v>2.5000000000000001E-2</v>
      </c>
      <c r="F40" s="103">
        <v>2.5999999999999999E-2</v>
      </c>
      <c r="G40" s="103">
        <v>2.5999999999999999E-2</v>
      </c>
      <c r="H40" s="103">
        <v>2.5999999999999999E-2</v>
      </c>
      <c r="I40" s="103">
        <v>2.5999999999999999E-2</v>
      </c>
      <c r="J40" s="103">
        <v>2.5999999999999999E-2</v>
      </c>
      <c r="K40" s="103">
        <v>2.5999999999999999E-2</v>
      </c>
      <c r="L40" s="103">
        <v>2.5999999999999999E-2</v>
      </c>
      <c r="M40" s="103">
        <v>2.5999999999999999E-2</v>
      </c>
    </row>
    <row r="41" spans="1:13" x14ac:dyDescent="0.25">
      <c r="A41" s="98">
        <v>30</v>
      </c>
      <c r="B41" s="103">
        <v>2.5999999999999999E-2</v>
      </c>
      <c r="C41" s="103">
        <v>2.5999999999999999E-2</v>
      </c>
      <c r="D41" s="103">
        <v>2.5999999999999999E-2</v>
      </c>
      <c r="E41" s="103">
        <v>2.5999999999999999E-2</v>
      </c>
      <c r="F41" s="103">
        <v>2.5999999999999999E-2</v>
      </c>
      <c r="G41" s="103">
        <v>2.5999999999999999E-2</v>
      </c>
      <c r="H41" s="103">
        <v>2.5999999999999999E-2</v>
      </c>
      <c r="I41" s="103">
        <v>2.5999999999999999E-2</v>
      </c>
      <c r="J41" s="103">
        <v>2.5999999999999999E-2</v>
      </c>
      <c r="K41" s="103">
        <v>2.5999999999999999E-2</v>
      </c>
      <c r="L41" s="103">
        <v>2.7E-2</v>
      </c>
      <c r="M41" s="103">
        <v>2.7E-2</v>
      </c>
    </row>
    <row r="42" spans="1:13" x14ac:dyDescent="0.25">
      <c r="A42" s="98">
        <v>31</v>
      </c>
      <c r="B42" s="103">
        <v>2.7E-2</v>
      </c>
      <c r="C42" s="103">
        <v>2.7E-2</v>
      </c>
      <c r="D42" s="103">
        <v>2.7E-2</v>
      </c>
      <c r="E42" s="103">
        <v>2.7E-2</v>
      </c>
      <c r="F42" s="103">
        <v>2.7E-2</v>
      </c>
      <c r="G42" s="103">
        <v>2.7E-2</v>
      </c>
      <c r="H42" s="103">
        <v>2.7E-2</v>
      </c>
      <c r="I42" s="103">
        <v>2.7E-2</v>
      </c>
      <c r="J42" s="103">
        <v>2.7E-2</v>
      </c>
      <c r="K42" s="103">
        <v>2.7E-2</v>
      </c>
      <c r="L42" s="103">
        <v>2.7E-2</v>
      </c>
      <c r="M42" s="103">
        <v>2.7E-2</v>
      </c>
    </row>
    <row r="43" spans="1:13" x14ac:dyDescent="0.25">
      <c r="A43" s="98">
        <v>32</v>
      </c>
      <c r="B43" s="103">
        <v>2.7E-2</v>
      </c>
      <c r="C43" s="103">
        <v>2.7E-2</v>
      </c>
      <c r="D43" s="103">
        <v>2.7E-2</v>
      </c>
      <c r="E43" s="103">
        <v>2.8000000000000001E-2</v>
      </c>
      <c r="F43" s="103">
        <v>2.8000000000000001E-2</v>
      </c>
      <c r="G43" s="103">
        <v>2.8000000000000001E-2</v>
      </c>
      <c r="H43" s="103">
        <v>2.8000000000000001E-2</v>
      </c>
      <c r="I43" s="103">
        <v>2.8000000000000001E-2</v>
      </c>
      <c r="J43" s="103">
        <v>2.8000000000000001E-2</v>
      </c>
      <c r="K43" s="103">
        <v>2.8000000000000001E-2</v>
      </c>
      <c r="L43" s="103">
        <v>2.8000000000000001E-2</v>
      </c>
      <c r="M43" s="103">
        <v>2.8000000000000001E-2</v>
      </c>
    </row>
    <row r="44" spans="1:13" x14ac:dyDescent="0.25">
      <c r="A44" s="98">
        <v>33</v>
      </c>
      <c r="B44" s="103">
        <v>2.8000000000000001E-2</v>
      </c>
      <c r="C44" s="103">
        <v>2.8000000000000001E-2</v>
      </c>
      <c r="D44" s="103">
        <v>2.8000000000000001E-2</v>
      </c>
      <c r="E44" s="103">
        <v>2.8000000000000001E-2</v>
      </c>
      <c r="F44" s="103">
        <v>2.8000000000000001E-2</v>
      </c>
      <c r="G44" s="103">
        <v>2.8000000000000001E-2</v>
      </c>
      <c r="H44" s="103">
        <v>2.8000000000000001E-2</v>
      </c>
      <c r="I44" s="103">
        <v>2.8000000000000001E-2</v>
      </c>
      <c r="J44" s="103">
        <v>2.9000000000000001E-2</v>
      </c>
      <c r="K44" s="103">
        <v>2.9000000000000001E-2</v>
      </c>
      <c r="L44" s="103">
        <v>2.9000000000000001E-2</v>
      </c>
      <c r="M44" s="103">
        <v>2.9000000000000001E-2</v>
      </c>
    </row>
    <row r="45" spans="1:13" x14ac:dyDescent="0.25">
      <c r="A45" s="98">
        <v>34</v>
      </c>
      <c r="B45" s="103">
        <v>2.9000000000000001E-2</v>
      </c>
      <c r="C45" s="103">
        <v>2.9000000000000001E-2</v>
      </c>
      <c r="D45" s="103">
        <v>2.9000000000000001E-2</v>
      </c>
      <c r="E45" s="103">
        <v>2.9000000000000001E-2</v>
      </c>
      <c r="F45" s="103">
        <v>2.9000000000000001E-2</v>
      </c>
      <c r="G45" s="103">
        <v>2.9000000000000001E-2</v>
      </c>
      <c r="H45" s="103">
        <v>2.9000000000000001E-2</v>
      </c>
      <c r="I45" s="103">
        <v>2.9000000000000001E-2</v>
      </c>
      <c r="J45" s="103">
        <v>2.9000000000000001E-2</v>
      </c>
      <c r="K45" s="103">
        <v>2.9000000000000001E-2</v>
      </c>
      <c r="L45" s="103">
        <v>2.9000000000000001E-2</v>
      </c>
      <c r="M45" s="103">
        <v>0.03</v>
      </c>
    </row>
    <row r="46" spans="1:13" x14ac:dyDescent="0.25">
      <c r="A46" s="98">
        <v>35</v>
      </c>
      <c r="B46" s="103">
        <v>0.03</v>
      </c>
      <c r="C46" s="103">
        <v>0.03</v>
      </c>
      <c r="D46" s="103">
        <v>0.03</v>
      </c>
      <c r="E46" s="103">
        <v>0.03</v>
      </c>
      <c r="F46" s="103">
        <v>0.03</v>
      </c>
      <c r="G46" s="103">
        <v>0.03</v>
      </c>
      <c r="H46" s="103">
        <v>0.03</v>
      </c>
      <c r="I46" s="103">
        <v>0.03</v>
      </c>
      <c r="J46" s="103">
        <v>0.03</v>
      </c>
      <c r="K46" s="103">
        <v>0.03</v>
      </c>
      <c r="L46" s="103">
        <v>0.03</v>
      </c>
      <c r="M46" s="103">
        <v>0.03</v>
      </c>
    </row>
    <row r="47" spans="1:13" x14ac:dyDescent="0.25">
      <c r="A47" s="98">
        <v>36</v>
      </c>
      <c r="B47" s="103">
        <v>0.03</v>
      </c>
      <c r="C47" s="103">
        <v>0.03</v>
      </c>
      <c r="D47" s="103">
        <v>3.1E-2</v>
      </c>
      <c r="E47" s="103">
        <v>3.1E-2</v>
      </c>
      <c r="F47" s="103">
        <v>3.1E-2</v>
      </c>
      <c r="G47" s="103">
        <v>3.1E-2</v>
      </c>
      <c r="H47" s="103">
        <v>3.1E-2</v>
      </c>
      <c r="I47" s="103">
        <v>3.1E-2</v>
      </c>
      <c r="J47" s="103">
        <v>3.1E-2</v>
      </c>
      <c r="K47" s="103">
        <v>3.1E-2</v>
      </c>
      <c r="L47" s="103">
        <v>3.1E-2</v>
      </c>
      <c r="M47" s="103">
        <v>3.1E-2</v>
      </c>
    </row>
    <row r="48" spans="1:13" x14ac:dyDescent="0.25">
      <c r="A48" s="98">
        <v>37</v>
      </c>
      <c r="B48" s="103">
        <v>3.1E-2</v>
      </c>
      <c r="C48" s="103">
        <v>3.1E-2</v>
      </c>
      <c r="D48" s="103">
        <v>3.1E-2</v>
      </c>
      <c r="E48" s="103">
        <v>3.1E-2</v>
      </c>
      <c r="F48" s="103">
        <v>3.2000000000000001E-2</v>
      </c>
      <c r="G48" s="103">
        <v>3.2000000000000001E-2</v>
      </c>
      <c r="H48" s="103">
        <v>3.2000000000000001E-2</v>
      </c>
      <c r="I48" s="103">
        <v>3.2000000000000001E-2</v>
      </c>
      <c r="J48" s="103">
        <v>3.2000000000000001E-2</v>
      </c>
      <c r="K48" s="103">
        <v>3.2000000000000001E-2</v>
      </c>
      <c r="L48" s="103">
        <v>3.2000000000000001E-2</v>
      </c>
      <c r="M48" s="103">
        <v>3.2000000000000001E-2</v>
      </c>
    </row>
    <row r="49" spans="1:13" x14ac:dyDescent="0.25">
      <c r="A49" s="98">
        <v>38</v>
      </c>
      <c r="B49" s="103">
        <v>3.2000000000000001E-2</v>
      </c>
      <c r="C49" s="103">
        <v>3.2000000000000001E-2</v>
      </c>
      <c r="D49" s="103">
        <v>3.2000000000000001E-2</v>
      </c>
      <c r="E49" s="103">
        <v>3.2000000000000001E-2</v>
      </c>
      <c r="F49" s="103">
        <v>3.2000000000000001E-2</v>
      </c>
      <c r="G49" s="103">
        <v>3.3000000000000002E-2</v>
      </c>
      <c r="H49" s="103">
        <v>3.3000000000000002E-2</v>
      </c>
      <c r="I49" s="103">
        <v>3.3000000000000002E-2</v>
      </c>
      <c r="J49" s="103">
        <v>3.3000000000000002E-2</v>
      </c>
      <c r="K49" s="103">
        <v>3.3000000000000002E-2</v>
      </c>
      <c r="L49" s="103">
        <v>3.3000000000000002E-2</v>
      </c>
      <c r="M49" s="103">
        <v>3.3000000000000002E-2</v>
      </c>
    </row>
    <row r="50" spans="1:13" x14ac:dyDescent="0.25">
      <c r="A50" s="98">
        <v>39</v>
      </c>
      <c r="B50" s="103">
        <v>3.3000000000000002E-2</v>
      </c>
      <c r="C50" s="103">
        <v>3.3000000000000002E-2</v>
      </c>
      <c r="D50" s="103">
        <v>3.3000000000000002E-2</v>
      </c>
      <c r="E50" s="103">
        <v>3.3000000000000002E-2</v>
      </c>
      <c r="F50" s="103">
        <v>3.3000000000000002E-2</v>
      </c>
      <c r="G50" s="103">
        <v>3.3000000000000002E-2</v>
      </c>
      <c r="H50" s="103">
        <v>3.4000000000000002E-2</v>
      </c>
      <c r="I50" s="103">
        <v>3.4000000000000002E-2</v>
      </c>
      <c r="J50" s="103">
        <v>3.4000000000000002E-2</v>
      </c>
      <c r="K50" s="103">
        <v>3.4000000000000002E-2</v>
      </c>
      <c r="L50" s="103">
        <v>3.4000000000000002E-2</v>
      </c>
      <c r="M50" s="103">
        <v>3.4000000000000002E-2</v>
      </c>
    </row>
    <row r="51" spans="1:13" x14ac:dyDescent="0.25">
      <c r="A51" s="98">
        <v>40</v>
      </c>
      <c r="B51" s="103">
        <v>3.4000000000000002E-2</v>
      </c>
      <c r="C51" s="103">
        <v>3.4000000000000002E-2</v>
      </c>
      <c r="D51" s="103">
        <v>3.4000000000000002E-2</v>
      </c>
      <c r="E51" s="103">
        <v>3.4000000000000002E-2</v>
      </c>
      <c r="F51" s="103">
        <v>3.4000000000000002E-2</v>
      </c>
      <c r="G51" s="103">
        <v>3.4000000000000002E-2</v>
      </c>
      <c r="H51" s="103">
        <v>3.5000000000000003E-2</v>
      </c>
      <c r="I51" s="103">
        <v>3.5000000000000003E-2</v>
      </c>
      <c r="J51" s="103">
        <v>3.5000000000000003E-2</v>
      </c>
      <c r="K51" s="103">
        <v>3.5000000000000003E-2</v>
      </c>
      <c r="L51" s="103">
        <v>3.5000000000000003E-2</v>
      </c>
      <c r="M51" s="103">
        <v>3.5000000000000003E-2</v>
      </c>
    </row>
    <row r="52" spans="1:13" x14ac:dyDescent="0.25">
      <c r="A52" s="98">
        <v>41</v>
      </c>
      <c r="B52" s="103">
        <v>3.5000000000000003E-2</v>
      </c>
      <c r="C52" s="103">
        <v>3.5000000000000003E-2</v>
      </c>
      <c r="D52" s="103">
        <v>3.5000000000000003E-2</v>
      </c>
      <c r="E52" s="103">
        <v>3.5000000000000003E-2</v>
      </c>
      <c r="F52" s="103">
        <v>3.5000000000000003E-2</v>
      </c>
      <c r="G52" s="103">
        <v>3.5000000000000003E-2</v>
      </c>
      <c r="H52" s="103">
        <v>3.5999999999999997E-2</v>
      </c>
      <c r="I52" s="103">
        <v>3.5999999999999997E-2</v>
      </c>
      <c r="J52" s="103">
        <v>3.5999999999999997E-2</v>
      </c>
      <c r="K52" s="103">
        <v>3.5999999999999997E-2</v>
      </c>
      <c r="L52" s="103">
        <v>3.5999999999999997E-2</v>
      </c>
      <c r="M52" s="103">
        <v>3.5999999999999997E-2</v>
      </c>
    </row>
    <row r="53" spans="1:13" x14ac:dyDescent="0.25">
      <c r="A53" s="98">
        <v>42</v>
      </c>
      <c r="B53" s="103">
        <v>3.5999999999999997E-2</v>
      </c>
      <c r="C53" s="103">
        <v>3.5999999999999997E-2</v>
      </c>
      <c r="D53" s="103">
        <v>3.5999999999999997E-2</v>
      </c>
      <c r="E53" s="103">
        <v>3.5999999999999997E-2</v>
      </c>
      <c r="F53" s="103">
        <v>3.5999999999999997E-2</v>
      </c>
      <c r="G53" s="103">
        <v>3.6999999999999998E-2</v>
      </c>
      <c r="H53" s="103">
        <v>3.6999999999999998E-2</v>
      </c>
      <c r="I53" s="103">
        <v>3.6999999999999998E-2</v>
      </c>
      <c r="J53" s="103">
        <v>3.6999999999999998E-2</v>
      </c>
      <c r="K53" s="103">
        <v>3.6999999999999998E-2</v>
      </c>
      <c r="L53" s="103">
        <v>3.6999999999999998E-2</v>
      </c>
      <c r="M53" s="103">
        <v>3.6999999999999998E-2</v>
      </c>
    </row>
    <row r="54" spans="1:13" x14ac:dyDescent="0.25">
      <c r="A54" s="98">
        <v>43</v>
      </c>
      <c r="B54" s="103">
        <v>3.6999999999999998E-2</v>
      </c>
      <c r="C54" s="103">
        <v>3.6999999999999998E-2</v>
      </c>
      <c r="D54" s="103">
        <v>3.6999999999999998E-2</v>
      </c>
      <c r="E54" s="103">
        <v>3.6999999999999998E-2</v>
      </c>
      <c r="F54" s="103">
        <v>3.7999999999999999E-2</v>
      </c>
      <c r="G54" s="103">
        <v>3.7999999999999999E-2</v>
      </c>
      <c r="H54" s="103">
        <v>3.7999999999999999E-2</v>
      </c>
      <c r="I54" s="103">
        <v>3.7999999999999999E-2</v>
      </c>
      <c r="J54" s="103">
        <v>3.7999999999999999E-2</v>
      </c>
      <c r="K54" s="103">
        <v>3.7999999999999999E-2</v>
      </c>
      <c r="L54" s="103">
        <v>3.7999999999999999E-2</v>
      </c>
      <c r="M54" s="103">
        <v>3.7999999999999999E-2</v>
      </c>
    </row>
    <row r="55" spans="1:13" x14ac:dyDescent="0.25">
      <c r="A55" s="98">
        <v>44</v>
      </c>
      <c r="B55" s="103">
        <v>3.7999999999999999E-2</v>
      </c>
      <c r="C55" s="103">
        <v>3.7999999999999999E-2</v>
      </c>
      <c r="D55" s="103">
        <v>3.9E-2</v>
      </c>
      <c r="E55" s="103">
        <v>3.9E-2</v>
      </c>
      <c r="F55" s="103">
        <v>3.9E-2</v>
      </c>
      <c r="G55" s="103">
        <v>3.9E-2</v>
      </c>
      <c r="H55" s="103">
        <v>3.9E-2</v>
      </c>
      <c r="I55" s="103">
        <v>3.9E-2</v>
      </c>
      <c r="J55" s="103">
        <v>3.9E-2</v>
      </c>
      <c r="K55" s="103">
        <v>3.9E-2</v>
      </c>
      <c r="L55" s="103">
        <v>3.9E-2</v>
      </c>
      <c r="M55" s="103">
        <v>3.9E-2</v>
      </c>
    </row>
    <row r="56" spans="1:13" x14ac:dyDescent="0.25">
      <c r="A56" s="98">
        <v>45</v>
      </c>
      <c r="B56" s="103">
        <v>0.04</v>
      </c>
      <c r="C56" s="103">
        <v>0.04</v>
      </c>
      <c r="D56" s="103">
        <v>0.04</v>
      </c>
      <c r="E56" s="103">
        <v>0.04</v>
      </c>
      <c r="F56" s="103">
        <v>0.04</v>
      </c>
      <c r="G56" s="103">
        <v>0.04</v>
      </c>
      <c r="H56" s="103">
        <v>0.04</v>
      </c>
      <c r="I56" s="103">
        <v>0.04</v>
      </c>
      <c r="J56" s="103">
        <v>0.04</v>
      </c>
      <c r="K56" s="103">
        <v>4.1000000000000002E-2</v>
      </c>
      <c r="L56" s="103">
        <v>4.1000000000000002E-2</v>
      </c>
      <c r="M56" s="103">
        <v>4.1000000000000002E-2</v>
      </c>
    </row>
    <row r="57" spans="1:13" x14ac:dyDescent="0.25">
      <c r="A57" s="98">
        <v>46</v>
      </c>
      <c r="B57" s="103">
        <v>4.1000000000000002E-2</v>
      </c>
      <c r="C57" s="103">
        <v>4.1000000000000002E-2</v>
      </c>
      <c r="D57" s="103">
        <v>4.1000000000000002E-2</v>
      </c>
      <c r="E57" s="103">
        <v>4.1000000000000002E-2</v>
      </c>
      <c r="F57" s="103">
        <v>4.1000000000000002E-2</v>
      </c>
      <c r="G57" s="103">
        <v>4.1000000000000002E-2</v>
      </c>
      <c r="H57" s="103">
        <v>4.1000000000000002E-2</v>
      </c>
      <c r="I57" s="103">
        <v>4.2000000000000003E-2</v>
      </c>
      <c r="J57" s="103">
        <v>4.2000000000000003E-2</v>
      </c>
      <c r="K57" s="103">
        <v>4.2000000000000003E-2</v>
      </c>
      <c r="L57" s="103">
        <v>4.2000000000000003E-2</v>
      </c>
      <c r="M57" s="103">
        <v>4.2000000000000003E-2</v>
      </c>
    </row>
    <row r="58" spans="1:13" x14ac:dyDescent="0.25">
      <c r="A58" s="98">
        <v>47</v>
      </c>
      <c r="B58" s="103">
        <v>4.2000000000000003E-2</v>
      </c>
      <c r="C58" s="103">
        <v>4.2000000000000003E-2</v>
      </c>
      <c r="D58" s="103">
        <v>4.2000000000000003E-2</v>
      </c>
      <c r="E58" s="103">
        <v>4.2999999999999997E-2</v>
      </c>
      <c r="F58" s="103">
        <v>4.2999999999999997E-2</v>
      </c>
      <c r="G58" s="103">
        <v>4.2999999999999997E-2</v>
      </c>
      <c r="H58" s="103">
        <v>4.2999999999999997E-2</v>
      </c>
      <c r="I58" s="103">
        <v>4.2999999999999997E-2</v>
      </c>
      <c r="J58" s="103">
        <v>4.2999999999999997E-2</v>
      </c>
      <c r="K58" s="103">
        <v>4.2999999999999997E-2</v>
      </c>
      <c r="L58" s="103">
        <v>4.2999999999999997E-2</v>
      </c>
      <c r="M58" s="103">
        <v>4.2999999999999997E-2</v>
      </c>
    </row>
    <row r="59" spans="1:13" x14ac:dyDescent="0.25">
      <c r="A59" s="98">
        <v>48</v>
      </c>
      <c r="B59" s="103">
        <v>4.3999999999999997E-2</v>
      </c>
      <c r="C59" s="103">
        <v>4.3999999999999997E-2</v>
      </c>
      <c r="D59" s="103">
        <v>4.3999999999999997E-2</v>
      </c>
      <c r="E59" s="103">
        <v>4.3999999999999997E-2</v>
      </c>
      <c r="F59" s="103">
        <v>4.3999999999999997E-2</v>
      </c>
      <c r="G59" s="103">
        <v>4.3999999999999997E-2</v>
      </c>
      <c r="H59" s="103">
        <v>4.3999999999999997E-2</v>
      </c>
      <c r="I59" s="103">
        <v>4.3999999999999997E-2</v>
      </c>
      <c r="J59" s="103">
        <v>4.4999999999999998E-2</v>
      </c>
      <c r="K59" s="103">
        <v>4.4999999999999998E-2</v>
      </c>
      <c r="L59" s="103">
        <v>4.4999999999999998E-2</v>
      </c>
      <c r="M59" s="103">
        <v>4.4999999999999998E-2</v>
      </c>
    </row>
    <row r="60" spans="1:13" x14ac:dyDescent="0.25">
      <c r="A60" s="98">
        <v>49</v>
      </c>
      <c r="B60" s="103">
        <v>4.4999999999999998E-2</v>
      </c>
      <c r="C60" s="103">
        <v>4.4999999999999998E-2</v>
      </c>
      <c r="D60" s="103">
        <v>4.4999999999999998E-2</v>
      </c>
      <c r="E60" s="103">
        <v>4.4999999999999998E-2</v>
      </c>
      <c r="F60" s="103">
        <v>4.5999999999999999E-2</v>
      </c>
      <c r="G60" s="103">
        <v>4.5999999999999999E-2</v>
      </c>
      <c r="H60" s="103">
        <v>4.5999999999999999E-2</v>
      </c>
      <c r="I60" s="103">
        <v>4.5999999999999999E-2</v>
      </c>
      <c r="J60" s="103">
        <v>4.5999999999999999E-2</v>
      </c>
      <c r="K60" s="103">
        <v>4.5999999999999999E-2</v>
      </c>
      <c r="L60" s="103">
        <v>4.5999999999999999E-2</v>
      </c>
      <c r="M60" s="103">
        <v>4.7E-2</v>
      </c>
    </row>
    <row r="61" spans="1:13" x14ac:dyDescent="0.25">
      <c r="A61" s="98">
        <v>50</v>
      </c>
      <c r="B61" s="103">
        <v>4.7E-2</v>
      </c>
      <c r="C61" s="103">
        <v>4.7E-2</v>
      </c>
      <c r="D61" s="103">
        <v>4.7E-2</v>
      </c>
      <c r="E61" s="103">
        <v>4.7E-2</v>
      </c>
      <c r="F61" s="103">
        <v>4.7E-2</v>
      </c>
      <c r="G61" s="103">
        <v>4.7E-2</v>
      </c>
      <c r="H61" s="103">
        <v>4.7E-2</v>
      </c>
      <c r="I61" s="103">
        <v>4.8000000000000001E-2</v>
      </c>
      <c r="J61" s="103">
        <v>4.8000000000000001E-2</v>
      </c>
      <c r="K61" s="103">
        <v>4.8000000000000001E-2</v>
      </c>
      <c r="L61" s="103">
        <v>4.8000000000000001E-2</v>
      </c>
      <c r="M61" s="103">
        <v>4.8000000000000001E-2</v>
      </c>
    </row>
    <row r="62" spans="1:13" x14ac:dyDescent="0.25">
      <c r="A62" s="98">
        <v>51</v>
      </c>
      <c r="B62" s="103">
        <v>4.8000000000000001E-2</v>
      </c>
      <c r="C62" s="103">
        <v>4.8000000000000001E-2</v>
      </c>
      <c r="D62" s="103">
        <v>4.9000000000000002E-2</v>
      </c>
      <c r="E62" s="103">
        <v>4.9000000000000002E-2</v>
      </c>
      <c r="F62" s="103">
        <v>4.9000000000000002E-2</v>
      </c>
      <c r="G62" s="103">
        <v>4.9000000000000002E-2</v>
      </c>
      <c r="H62" s="103">
        <v>4.9000000000000002E-2</v>
      </c>
      <c r="I62" s="103">
        <v>4.9000000000000002E-2</v>
      </c>
      <c r="J62" s="103">
        <v>0.05</v>
      </c>
      <c r="K62" s="103">
        <v>0.05</v>
      </c>
      <c r="L62" s="103">
        <v>0.05</v>
      </c>
      <c r="M62" s="103">
        <v>0.05</v>
      </c>
    </row>
    <row r="63" spans="1:13" x14ac:dyDescent="0.25">
      <c r="A63" s="98">
        <v>52</v>
      </c>
      <c r="B63" s="103">
        <v>0.05</v>
      </c>
      <c r="C63" s="103">
        <v>0.05</v>
      </c>
      <c r="D63" s="103">
        <v>0.05</v>
      </c>
      <c r="E63" s="103">
        <v>5.0999999999999997E-2</v>
      </c>
      <c r="F63" s="103">
        <v>5.0999999999999997E-2</v>
      </c>
      <c r="G63" s="103">
        <v>5.0999999999999997E-2</v>
      </c>
      <c r="H63" s="103">
        <v>5.0999999999999997E-2</v>
      </c>
      <c r="I63" s="103">
        <v>5.0999999999999997E-2</v>
      </c>
      <c r="J63" s="103">
        <v>5.0999999999999997E-2</v>
      </c>
      <c r="K63" s="103">
        <v>5.1999999999999998E-2</v>
      </c>
      <c r="L63" s="103">
        <v>5.1999999999999998E-2</v>
      </c>
      <c r="M63" s="103">
        <v>5.1999999999999998E-2</v>
      </c>
    </row>
    <row r="64" spans="1:13" x14ac:dyDescent="0.25">
      <c r="A64" s="98">
        <v>53</v>
      </c>
      <c r="B64" s="103">
        <v>5.1999999999999998E-2</v>
      </c>
      <c r="C64" s="103">
        <v>5.1999999999999998E-2</v>
      </c>
      <c r="D64" s="103">
        <v>5.1999999999999998E-2</v>
      </c>
      <c r="E64" s="103">
        <v>5.1999999999999998E-2</v>
      </c>
      <c r="F64" s="103">
        <v>5.2999999999999999E-2</v>
      </c>
      <c r="G64" s="103">
        <v>5.2999999999999999E-2</v>
      </c>
      <c r="H64" s="103">
        <v>5.2999999999999999E-2</v>
      </c>
      <c r="I64" s="103">
        <v>5.2999999999999999E-2</v>
      </c>
      <c r="J64" s="103">
        <v>5.2999999999999999E-2</v>
      </c>
      <c r="K64" s="103">
        <v>5.2999999999999999E-2</v>
      </c>
      <c r="L64" s="103">
        <v>5.3999999999999999E-2</v>
      </c>
      <c r="M64" s="103">
        <v>5.3999999999999999E-2</v>
      </c>
    </row>
    <row r="65" spans="1:13" x14ac:dyDescent="0.25">
      <c r="A65" s="98">
        <v>54</v>
      </c>
      <c r="B65" s="103">
        <v>5.3999999999999999E-2</v>
      </c>
      <c r="C65" s="103">
        <v>5.3999999999999999E-2</v>
      </c>
      <c r="D65" s="103">
        <v>5.3999999999999999E-2</v>
      </c>
      <c r="E65" s="103">
        <v>5.5E-2</v>
      </c>
      <c r="F65" s="103">
        <v>5.5E-2</v>
      </c>
      <c r="G65" s="103">
        <v>5.5E-2</v>
      </c>
      <c r="H65" s="103">
        <v>5.5E-2</v>
      </c>
      <c r="I65" s="103">
        <v>5.5E-2</v>
      </c>
      <c r="J65" s="103">
        <v>5.5E-2</v>
      </c>
      <c r="K65" s="103">
        <v>5.6000000000000001E-2</v>
      </c>
      <c r="L65" s="103">
        <v>5.6000000000000001E-2</v>
      </c>
      <c r="M65" s="103">
        <v>5.6000000000000001E-2</v>
      </c>
    </row>
    <row r="66" spans="1:13" x14ac:dyDescent="0.25">
      <c r="A66" s="98">
        <v>55</v>
      </c>
      <c r="B66" s="103">
        <v>5.6000000000000001E-2</v>
      </c>
      <c r="C66" s="103">
        <v>5.6000000000000001E-2</v>
      </c>
      <c r="D66" s="103">
        <v>5.6000000000000001E-2</v>
      </c>
      <c r="E66" s="103">
        <v>5.7000000000000002E-2</v>
      </c>
      <c r="F66" s="103">
        <v>5.7000000000000002E-2</v>
      </c>
      <c r="G66" s="103">
        <v>5.7000000000000002E-2</v>
      </c>
      <c r="H66" s="103">
        <v>5.7000000000000002E-2</v>
      </c>
      <c r="I66" s="103">
        <v>5.7000000000000002E-2</v>
      </c>
      <c r="J66" s="103">
        <v>5.8000000000000003E-2</v>
      </c>
      <c r="K66" s="103">
        <v>5.8000000000000003E-2</v>
      </c>
      <c r="L66" s="103">
        <v>5.8000000000000003E-2</v>
      </c>
      <c r="M66" s="103">
        <v>5.8000000000000003E-2</v>
      </c>
    </row>
    <row r="67" spans="1:13" x14ac:dyDescent="0.25">
      <c r="A67" s="98">
        <v>56</v>
      </c>
      <c r="B67" s="103">
        <v>5.8000000000000003E-2</v>
      </c>
      <c r="C67" s="103">
        <v>5.8999999999999997E-2</v>
      </c>
      <c r="D67" s="103">
        <v>5.8999999999999997E-2</v>
      </c>
      <c r="E67" s="103">
        <v>5.8999999999999997E-2</v>
      </c>
      <c r="F67" s="103">
        <v>5.8999999999999997E-2</v>
      </c>
      <c r="G67" s="103">
        <v>5.8999999999999997E-2</v>
      </c>
      <c r="H67" s="103">
        <v>0.06</v>
      </c>
      <c r="I67" s="103">
        <v>0.06</v>
      </c>
      <c r="J67" s="103">
        <v>0.06</v>
      </c>
      <c r="K67" s="103">
        <v>0.06</v>
      </c>
      <c r="L67" s="103">
        <v>0.06</v>
      </c>
      <c r="M67" s="103">
        <v>6.0999999999999999E-2</v>
      </c>
    </row>
    <row r="68" spans="1:13" x14ac:dyDescent="0.25">
      <c r="A68" s="98">
        <v>57</v>
      </c>
      <c r="B68" s="103">
        <v>6.0999999999999999E-2</v>
      </c>
      <c r="C68" s="103">
        <v>6.0999999999999999E-2</v>
      </c>
      <c r="D68" s="103">
        <v>6.0999999999999999E-2</v>
      </c>
      <c r="E68" s="103">
        <v>6.0999999999999999E-2</v>
      </c>
      <c r="F68" s="103">
        <v>6.2E-2</v>
      </c>
      <c r="G68" s="103">
        <v>6.2E-2</v>
      </c>
      <c r="H68" s="103">
        <v>6.2E-2</v>
      </c>
      <c r="I68" s="103">
        <v>6.2E-2</v>
      </c>
      <c r="J68" s="103">
        <v>6.3E-2</v>
      </c>
      <c r="K68" s="103">
        <v>6.3E-2</v>
      </c>
      <c r="L68" s="103">
        <v>6.3E-2</v>
      </c>
      <c r="M68" s="103">
        <v>6.3E-2</v>
      </c>
    </row>
    <row r="69" spans="1:13" x14ac:dyDescent="0.25">
      <c r="A69" s="98">
        <v>58</v>
      </c>
      <c r="B69" s="103">
        <v>6.3E-2</v>
      </c>
      <c r="C69" s="103">
        <v>6.4000000000000001E-2</v>
      </c>
      <c r="D69" s="103">
        <v>6.4000000000000001E-2</v>
      </c>
      <c r="E69" s="103">
        <v>6.4000000000000001E-2</v>
      </c>
      <c r="F69" s="103">
        <v>6.4000000000000001E-2</v>
      </c>
      <c r="G69" s="103">
        <v>6.5000000000000002E-2</v>
      </c>
      <c r="H69" s="103">
        <v>6.5000000000000002E-2</v>
      </c>
      <c r="I69" s="103">
        <v>6.5000000000000002E-2</v>
      </c>
      <c r="J69" s="103">
        <v>6.5000000000000002E-2</v>
      </c>
      <c r="K69" s="103">
        <v>6.5000000000000002E-2</v>
      </c>
      <c r="L69" s="103">
        <v>6.6000000000000003E-2</v>
      </c>
      <c r="M69" s="103">
        <v>6.6000000000000003E-2</v>
      </c>
    </row>
    <row r="70" spans="1:13" x14ac:dyDescent="0.25">
      <c r="A70" s="98">
        <v>59</v>
      </c>
      <c r="B70" s="103">
        <v>6.6000000000000003E-2</v>
      </c>
      <c r="C70" s="103">
        <v>6.6000000000000003E-2</v>
      </c>
      <c r="D70" s="103">
        <v>6.7000000000000004E-2</v>
      </c>
      <c r="E70" s="103">
        <v>6.7000000000000004E-2</v>
      </c>
      <c r="F70" s="103">
        <v>6.7000000000000004E-2</v>
      </c>
      <c r="G70" s="103">
        <v>6.7000000000000004E-2</v>
      </c>
      <c r="H70" s="103">
        <v>6.8000000000000005E-2</v>
      </c>
      <c r="I70" s="103">
        <v>6.8000000000000005E-2</v>
      </c>
      <c r="J70" s="103">
        <v>6.8000000000000005E-2</v>
      </c>
      <c r="K70" s="103">
        <v>6.8000000000000005E-2</v>
      </c>
      <c r="L70" s="103">
        <v>6.9000000000000006E-2</v>
      </c>
      <c r="M70" s="103">
        <v>6.9000000000000006E-2</v>
      </c>
    </row>
    <row r="71" spans="1:13" x14ac:dyDescent="0.25">
      <c r="A71" s="98">
        <v>60</v>
      </c>
      <c r="B71" s="103">
        <v>6.9000000000000006E-2</v>
      </c>
      <c r="C71" s="103">
        <v>6.9000000000000006E-2</v>
      </c>
      <c r="D71" s="103">
        <v>7.0000000000000007E-2</v>
      </c>
      <c r="E71" s="103">
        <v>7.0000000000000007E-2</v>
      </c>
      <c r="F71" s="103">
        <v>7.0000000000000007E-2</v>
      </c>
      <c r="G71" s="103">
        <v>7.0000000000000007E-2</v>
      </c>
      <c r="H71" s="103">
        <v>7.0000000000000007E-2</v>
      </c>
      <c r="I71" s="103">
        <v>7.0999999999999994E-2</v>
      </c>
      <c r="J71" s="103">
        <v>7.0999999999999994E-2</v>
      </c>
      <c r="K71" s="103">
        <v>7.0999999999999994E-2</v>
      </c>
      <c r="L71" s="103">
        <v>7.0999999999999994E-2</v>
      </c>
      <c r="M71" s="103">
        <v>7.0999999999999994E-2</v>
      </c>
    </row>
    <row r="72" spans="1:13" x14ac:dyDescent="0.25">
      <c r="A72" s="98">
        <v>61</v>
      </c>
      <c r="B72" s="103">
        <v>7.1999999999999995E-2</v>
      </c>
      <c r="C72" s="103">
        <v>7.1999999999999995E-2</v>
      </c>
      <c r="D72" s="103">
        <v>7.1999999999999995E-2</v>
      </c>
      <c r="E72" s="103">
        <v>7.1999999999999995E-2</v>
      </c>
      <c r="F72" s="103">
        <v>7.1999999999999995E-2</v>
      </c>
      <c r="G72" s="103">
        <v>7.2999999999999995E-2</v>
      </c>
      <c r="H72" s="103">
        <v>7.2999999999999995E-2</v>
      </c>
      <c r="I72" s="103">
        <v>7.2999999999999995E-2</v>
      </c>
      <c r="J72" s="103">
        <v>7.2999999999999995E-2</v>
      </c>
      <c r="K72" s="103">
        <v>7.3999999999999996E-2</v>
      </c>
      <c r="L72" s="103">
        <v>7.3999999999999996E-2</v>
      </c>
      <c r="M72" s="103">
        <v>7.3999999999999996E-2</v>
      </c>
    </row>
    <row r="73" spans="1:13" x14ac:dyDescent="0.25">
      <c r="A73" s="98">
        <v>62</v>
      </c>
      <c r="B73" s="103">
        <v>7.3999999999999996E-2</v>
      </c>
      <c r="C73" s="103">
        <v>7.3999999999999996E-2</v>
      </c>
      <c r="D73" s="103">
        <v>7.4999999999999997E-2</v>
      </c>
      <c r="E73" s="103">
        <v>7.4999999999999997E-2</v>
      </c>
      <c r="F73" s="103">
        <v>7.4999999999999997E-2</v>
      </c>
      <c r="G73" s="103">
        <v>7.4999999999999997E-2</v>
      </c>
      <c r="H73" s="103">
        <v>7.5999999999999998E-2</v>
      </c>
      <c r="I73" s="103">
        <v>7.5999999999999998E-2</v>
      </c>
      <c r="J73" s="103">
        <v>7.5999999999999998E-2</v>
      </c>
      <c r="K73" s="103">
        <v>7.5999999999999998E-2</v>
      </c>
      <c r="L73" s="103">
        <v>7.6999999999999999E-2</v>
      </c>
      <c r="M73" s="103">
        <v>7.6999999999999999E-2</v>
      </c>
    </row>
    <row r="74" spans="1:13" x14ac:dyDescent="0.25">
      <c r="A74" s="98">
        <v>63</v>
      </c>
      <c r="B74" s="103">
        <v>7.6999999999999999E-2</v>
      </c>
      <c r="C74" s="103">
        <v>7.6999999999999999E-2</v>
      </c>
      <c r="D74" s="103">
        <v>7.8E-2</v>
      </c>
      <c r="E74" s="103">
        <v>7.8E-2</v>
      </c>
      <c r="F74" s="103">
        <v>7.8E-2</v>
      </c>
      <c r="G74" s="103">
        <v>7.8E-2</v>
      </c>
      <c r="H74" s="103">
        <v>7.9000000000000001E-2</v>
      </c>
      <c r="I74" s="103">
        <v>7.9000000000000001E-2</v>
      </c>
      <c r="J74" s="103">
        <v>7.9000000000000001E-2</v>
      </c>
      <c r="K74" s="103">
        <v>7.9000000000000001E-2</v>
      </c>
      <c r="L74" s="103">
        <v>0.08</v>
      </c>
      <c r="M74" s="103">
        <v>0.08</v>
      </c>
    </row>
    <row r="75" spans="1:13" x14ac:dyDescent="0.25">
      <c r="A75" s="98">
        <v>64</v>
      </c>
      <c r="B75" s="103">
        <v>0.08</v>
      </c>
      <c r="C75" s="103">
        <v>0.08</v>
      </c>
      <c r="D75" s="103">
        <v>8.1000000000000003E-2</v>
      </c>
      <c r="E75" s="103">
        <v>8.1000000000000003E-2</v>
      </c>
      <c r="F75" s="103">
        <v>8.1000000000000003E-2</v>
      </c>
      <c r="G75" s="103">
        <v>8.2000000000000003E-2</v>
      </c>
      <c r="H75" s="103">
        <v>8.2000000000000003E-2</v>
      </c>
      <c r="I75" s="103">
        <v>8.2000000000000003E-2</v>
      </c>
      <c r="J75" s="103">
        <v>8.2000000000000003E-2</v>
      </c>
      <c r="K75" s="103">
        <v>8.3000000000000004E-2</v>
      </c>
      <c r="L75" s="103">
        <v>8.3000000000000004E-2</v>
      </c>
      <c r="M75" s="103">
        <v>8.3000000000000004E-2</v>
      </c>
    </row>
    <row r="76" spans="1:13" x14ac:dyDescent="0.25">
      <c r="A76" s="98">
        <v>65</v>
      </c>
      <c r="B76" s="103">
        <v>8.3000000000000004E-2</v>
      </c>
      <c r="C76" s="103"/>
      <c r="D76" s="103"/>
      <c r="E76" s="103"/>
      <c r="F76" s="103"/>
      <c r="G76" s="103"/>
      <c r="H76" s="103"/>
      <c r="I76" s="103"/>
      <c r="J76" s="103"/>
      <c r="K76" s="103"/>
      <c r="L76" s="103"/>
      <c r="M76" s="103"/>
    </row>
  </sheetData>
  <sheetProtection algorithmName="SHA-512" hashValue="dOMCpouADw7ottslWCAA2xjTnkRv+YJNNeMmmF3kEXzKoi0beavL/mLfcVBQBa477F9Pc58CTlElfdDHKc0B/w==" saltValue="drdQZx1uuaLgV/oMT7pBkA==" spinCount="100000" sheet="1" objects="1" scenarios="1"/>
  <conditionalFormatting sqref="A6:A21">
    <cfRule type="expression" dxfId="67" priority="11" stopIfTrue="1">
      <formula>MOD(ROW(),2)=0</formula>
    </cfRule>
    <cfRule type="expression" dxfId="66" priority="12" stopIfTrue="1">
      <formula>MOD(ROW(),2)&lt;&gt;0</formula>
    </cfRule>
  </conditionalFormatting>
  <conditionalFormatting sqref="A26:A76">
    <cfRule type="expression" dxfId="65" priority="3" stopIfTrue="1">
      <formula>MOD(ROW(),2)=0</formula>
    </cfRule>
    <cfRule type="expression" dxfId="64" priority="4" stopIfTrue="1">
      <formula>MOD(ROW(),2)&lt;&gt;0</formula>
    </cfRule>
  </conditionalFormatting>
  <conditionalFormatting sqref="B17:B21">
    <cfRule type="expression" dxfId="63" priority="1" stopIfTrue="1">
      <formula>MOD(ROW(),2)=0</formula>
    </cfRule>
    <cfRule type="expression" dxfId="62" priority="2" stopIfTrue="1">
      <formula>MOD(ROW(),2)&lt;&gt;0</formula>
    </cfRule>
  </conditionalFormatting>
  <conditionalFormatting sqref="B6:M21">
    <cfRule type="expression" dxfId="61" priority="19" stopIfTrue="1">
      <formula>MOD(ROW(),2)=0</formula>
    </cfRule>
    <cfRule type="expression" dxfId="60" priority="20" stopIfTrue="1">
      <formula>MOD(ROW(),2)&lt;&gt;0</formula>
    </cfRule>
  </conditionalFormatting>
  <conditionalFormatting sqref="B26:M76">
    <cfRule type="expression" dxfId="59" priority="5" stopIfTrue="1">
      <formula>MOD(ROW(),2)=0</formula>
    </cfRule>
    <cfRule type="expression" dxfId="58" priority="6" stopIfTrue="1">
      <formula>MOD(ROW(),2)&lt;&gt;0</formula>
    </cfRule>
  </conditionalFormatting>
  <hyperlinks>
    <hyperlink ref="B24" location="Assumptions!A1" display="Assumptions" xr:uid="{25D71A33-8678-4E42-B491-7BE07BC8CFB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4"/>
  <dimension ref="A1:M60"/>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Abatement - x-823</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73</v>
      </c>
      <c r="C8" s="161"/>
      <c r="D8" s="161"/>
      <c r="E8" s="161"/>
      <c r="F8" s="161"/>
      <c r="G8" s="161"/>
      <c r="H8" s="161"/>
      <c r="I8" s="161"/>
      <c r="J8" s="161"/>
      <c r="K8" s="161"/>
      <c r="L8" s="161"/>
      <c r="M8" s="161"/>
    </row>
    <row r="9" spans="1:13" x14ac:dyDescent="0.25">
      <c r="A9" s="77" t="s">
        <v>280</v>
      </c>
      <c r="B9" s="161" t="s">
        <v>657</v>
      </c>
      <c r="C9" s="161"/>
      <c r="D9" s="161"/>
      <c r="E9" s="161"/>
      <c r="F9" s="161"/>
      <c r="G9" s="161"/>
      <c r="H9" s="161"/>
      <c r="I9" s="161"/>
      <c r="J9" s="161"/>
      <c r="K9" s="161"/>
      <c r="L9" s="161"/>
      <c r="M9" s="161"/>
    </row>
    <row r="10" spans="1:13" x14ac:dyDescent="0.25">
      <c r="A10" s="77" t="s">
        <v>6</v>
      </c>
      <c r="B10" s="161" t="s">
        <v>677</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470</v>
      </c>
      <c r="C12" s="161"/>
      <c r="D12" s="161"/>
      <c r="E12" s="161"/>
      <c r="F12" s="161"/>
      <c r="G12" s="161"/>
      <c r="H12" s="161"/>
      <c r="I12" s="161"/>
      <c r="J12" s="161"/>
      <c r="K12" s="161"/>
      <c r="L12" s="161"/>
      <c r="M12" s="161"/>
    </row>
    <row r="13" spans="1:13" x14ac:dyDescent="0.25">
      <c r="A13" s="77" t="s">
        <v>287</v>
      </c>
      <c r="B13" s="161">
        <v>0</v>
      </c>
      <c r="C13" s="161"/>
      <c r="D13" s="161"/>
      <c r="E13" s="161"/>
      <c r="F13" s="161"/>
      <c r="G13" s="161"/>
      <c r="H13" s="161"/>
      <c r="I13" s="161"/>
      <c r="J13" s="161"/>
      <c r="K13" s="161"/>
      <c r="L13" s="161"/>
      <c r="M13" s="161"/>
    </row>
    <row r="14" spans="1:13" x14ac:dyDescent="0.25">
      <c r="A14" s="77" t="s">
        <v>289</v>
      </c>
      <c r="B14" s="161">
        <v>823</v>
      </c>
      <c r="C14" s="161"/>
      <c r="D14" s="161"/>
      <c r="E14" s="161"/>
      <c r="F14" s="161"/>
      <c r="G14" s="161"/>
      <c r="H14" s="161"/>
      <c r="I14" s="161"/>
      <c r="J14" s="161"/>
      <c r="K14" s="161"/>
      <c r="L14" s="161"/>
      <c r="M14" s="161"/>
    </row>
    <row r="15" spans="1:13" x14ac:dyDescent="0.25">
      <c r="A15" s="77" t="s">
        <v>291</v>
      </c>
      <c r="B15" s="161" t="s">
        <v>678</v>
      </c>
      <c r="C15" s="161"/>
      <c r="D15" s="161"/>
      <c r="E15" s="161"/>
      <c r="F15" s="161"/>
      <c r="G15" s="161"/>
      <c r="H15" s="161"/>
      <c r="I15" s="161"/>
      <c r="J15" s="161"/>
      <c r="K15" s="161"/>
      <c r="L15" s="161"/>
      <c r="M15" s="161"/>
    </row>
    <row r="16" spans="1:13" x14ac:dyDescent="0.25">
      <c r="A16" s="77" t="s">
        <v>293</v>
      </c>
      <c r="B16" s="161" t="s">
        <v>661</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805</v>
      </c>
      <c r="B26" s="97">
        <v>0</v>
      </c>
      <c r="C26" s="97">
        <v>1</v>
      </c>
      <c r="D26" s="97">
        <v>2</v>
      </c>
      <c r="E26" s="97">
        <v>3</v>
      </c>
      <c r="F26" s="97">
        <v>4</v>
      </c>
      <c r="G26" s="97">
        <v>5</v>
      </c>
      <c r="H26" s="97">
        <v>6</v>
      </c>
      <c r="I26" s="97">
        <v>7</v>
      </c>
      <c r="J26" s="97">
        <v>8</v>
      </c>
      <c r="K26" s="97">
        <v>9</v>
      </c>
      <c r="L26" s="97">
        <v>10</v>
      </c>
      <c r="M26" s="97">
        <v>11</v>
      </c>
    </row>
    <row r="27" spans="1:13" x14ac:dyDescent="0.25">
      <c r="A27" s="98">
        <v>0</v>
      </c>
      <c r="B27" s="103">
        <v>1</v>
      </c>
      <c r="C27" s="103">
        <v>0.995</v>
      </c>
      <c r="D27" s="103">
        <v>0.99099999999999999</v>
      </c>
      <c r="E27" s="103">
        <v>0.98599999999999999</v>
      </c>
      <c r="F27" s="103">
        <v>0.98199999999999998</v>
      </c>
      <c r="G27" s="103">
        <v>0.97699999999999998</v>
      </c>
      <c r="H27" s="103">
        <v>0.97299999999999998</v>
      </c>
      <c r="I27" s="103">
        <v>0.96799999999999997</v>
      </c>
      <c r="J27" s="103">
        <v>0.96399999999999997</v>
      </c>
      <c r="K27" s="103">
        <v>0.95899999999999996</v>
      </c>
      <c r="L27" s="103">
        <v>0.95499999999999996</v>
      </c>
      <c r="M27" s="103">
        <v>0.95</v>
      </c>
    </row>
    <row r="28" spans="1:13" x14ac:dyDescent="0.25">
      <c r="A28" s="98">
        <v>1</v>
      </c>
      <c r="B28" s="103">
        <v>0.94599999999999995</v>
      </c>
      <c r="C28" s="103">
        <v>0.94199999999999995</v>
      </c>
      <c r="D28" s="103">
        <v>0.93799999999999994</v>
      </c>
      <c r="E28" s="103">
        <v>0.93400000000000005</v>
      </c>
      <c r="F28" s="103">
        <v>0.93</v>
      </c>
      <c r="G28" s="103">
        <v>0.92500000000000004</v>
      </c>
      <c r="H28" s="103">
        <v>0.92100000000000004</v>
      </c>
      <c r="I28" s="103">
        <v>0.91700000000000004</v>
      </c>
      <c r="J28" s="103">
        <v>0.91300000000000003</v>
      </c>
      <c r="K28" s="103">
        <v>0.90900000000000003</v>
      </c>
      <c r="L28" s="103">
        <v>0.90500000000000003</v>
      </c>
      <c r="M28" s="103">
        <v>0.90100000000000002</v>
      </c>
    </row>
    <row r="29" spans="1:13" x14ac:dyDescent="0.25">
      <c r="A29" s="98">
        <v>2</v>
      </c>
      <c r="B29" s="103">
        <v>0.89700000000000002</v>
      </c>
      <c r="C29" s="103">
        <v>0.89300000000000002</v>
      </c>
      <c r="D29" s="103">
        <v>0.88900000000000001</v>
      </c>
      <c r="E29" s="103">
        <v>0.88500000000000001</v>
      </c>
      <c r="F29" s="103">
        <v>0.88200000000000001</v>
      </c>
      <c r="G29" s="103">
        <v>0.878</v>
      </c>
      <c r="H29" s="103">
        <v>0.874</v>
      </c>
      <c r="I29" s="103">
        <v>0.87</v>
      </c>
      <c r="J29" s="103">
        <v>0.86699999999999999</v>
      </c>
      <c r="K29" s="103">
        <v>0.86299999999999999</v>
      </c>
      <c r="L29" s="103">
        <v>0.85899999999999999</v>
      </c>
      <c r="M29" s="103">
        <v>0.85499999999999998</v>
      </c>
    </row>
    <row r="30" spans="1:13" x14ac:dyDescent="0.25">
      <c r="A30" s="98">
        <v>3</v>
      </c>
      <c r="B30" s="103">
        <v>0.85199999999999998</v>
      </c>
      <c r="C30" s="103">
        <v>0.84799999999999998</v>
      </c>
      <c r="D30" s="103">
        <v>0.84499999999999997</v>
      </c>
      <c r="E30" s="103">
        <v>0.84099999999999997</v>
      </c>
      <c r="F30" s="103">
        <v>0.83799999999999997</v>
      </c>
      <c r="G30" s="103">
        <v>0.83399999999999996</v>
      </c>
      <c r="H30" s="103">
        <v>0.83099999999999996</v>
      </c>
      <c r="I30" s="103">
        <v>0.82699999999999996</v>
      </c>
      <c r="J30" s="103">
        <v>0.82399999999999995</v>
      </c>
      <c r="K30" s="103">
        <v>0.82</v>
      </c>
      <c r="L30" s="103">
        <v>0.81699999999999995</v>
      </c>
      <c r="M30" s="103">
        <v>0.81399999999999995</v>
      </c>
    </row>
    <row r="31" spans="1:13" x14ac:dyDescent="0.25">
      <c r="A31" s="98">
        <v>4</v>
      </c>
      <c r="B31" s="103">
        <v>0.81</v>
      </c>
      <c r="C31" s="103">
        <v>0.80700000000000005</v>
      </c>
      <c r="D31" s="103">
        <v>0.80400000000000005</v>
      </c>
      <c r="E31" s="103">
        <v>0.80100000000000005</v>
      </c>
      <c r="F31" s="103">
        <v>0.79700000000000004</v>
      </c>
      <c r="G31" s="103">
        <v>0.79400000000000004</v>
      </c>
      <c r="H31" s="103">
        <v>0.79100000000000004</v>
      </c>
      <c r="I31" s="103">
        <v>0.78800000000000003</v>
      </c>
      <c r="J31" s="103">
        <v>0.78500000000000003</v>
      </c>
      <c r="K31" s="103">
        <v>0.78200000000000003</v>
      </c>
      <c r="L31" s="103">
        <v>0.77800000000000002</v>
      </c>
      <c r="M31" s="103">
        <v>0.77500000000000002</v>
      </c>
    </row>
    <row r="32" spans="1:13" x14ac:dyDescent="0.25">
      <c r="A32" s="98">
        <v>5</v>
      </c>
      <c r="B32" s="103">
        <v>0.77200000000000002</v>
      </c>
      <c r="C32" s="103">
        <v>0.76900000000000002</v>
      </c>
      <c r="D32" s="103">
        <v>0.76600000000000001</v>
      </c>
      <c r="E32" s="103">
        <v>0.76300000000000001</v>
      </c>
      <c r="F32" s="103">
        <v>0.76</v>
      </c>
      <c r="G32" s="103">
        <v>0.75700000000000001</v>
      </c>
      <c r="H32" s="103">
        <v>0.754</v>
      </c>
      <c r="I32" s="103">
        <v>0.751</v>
      </c>
      <c r="J32" s="103">
        <v>0.749</v>
      </c>
      <c r="K32" s="103">
        <v>0.746</v>
      </c>
      <c r="L32" s="103">
        <v>0.74299999999999999</v>
      </c>
      <c r="M32" s="103">
        <v>0.74</v>
      </c>
    </row>
    <row r="33" spans="1:13" x14ac:dyDescent="0.25">
      <c r="A33" s="98">
        <v>6</v>
      </c>
      <c r="B33" s="103">
        <v>0.73699999999999999</v>
      </c>
      <c r="C33" s="103">
        <v>0.73399999999999999</v>
      </c>
      <c r="D33" s="103">
        <v>0.73099999999999998</v>
      </c>
      <c r="E33" s="103">
        <v>0.72899999999999998</v>
      </c>
      <c r="F33" s="103">
        <v>0.72599999999999998</v>
      </c>
      <c r="G33" s="103">
        <v>0.72299999999999998</v>
      </c>
      <c r="H33" s="103">
        <v>0.72099999999999997</v>
      </c>
      <c r="I33" s="103">
        <v>0.71799999999999997</v>
      </c>
      <c r="J33" s="103">
        <v>0.71499999999999997</v>
      </c>
      <c r="K33" s="103">
        <v>0.71199999999999997</v>
      </c>
      <c r="L33" s="103">
        <v>0.71</v>
      </c>
      <c r="M33" s="103">
        <v>0.70699999999999996</v>
      </c>
    </row>
    <row r="34" spans="1:13" x14ac:dyDescent="0.25">
      <c r="A34" s="98">
        <v>7</v>
      </c>
      <c r="B34" s="103">
        <v>0.70399999999999996</v>
      </c>
      <c r="C34" s="103">
        <v>0.70199999999999996</v>
      </c>
      <c r="D34" s="103">
        <v>0.69899999999999995</v>
      </c>
      <c r="E34" s="103">
        <v>0.69699999999999995</v>
      </c>
      <c r="F34" s="103">
        <v>0.69399999999999995</v>
      </c>
      <c r="G34" s="103">
        <v>0.69199999999999995</v>
      </c>
      <c r="H34" s="103">
        <v>0.68899999999999995</v>
      </c>
      <c r="I34" s="103">
        <v>0.68700000000000006</v>
      </c>
      <c r="J34" s="103">
        <v>0.68400000000000005</v>
      </c>
      <c r="K34" s="103">
        <v>0.68200000000000005</v>
      </c>
      <c r="L34" s="103">
        <v>0.67900000000000005</v>
      </c>
      <c r="M34" s="103">
        <v>0.67700000000000005</v>
      </c>
    </row>
    <row r="35" spans="1:13" x14ac:dyDescent="0.25">
      <c r="A35" s="98">
        <v>8</v>
      </c>
      <c r="B35" s="103">
        <v>0.67400000000000004</v>
      </c>
      <c r="C35" s="103">
        <v>0.67200000000000004</v>
      </c>
      <c r="D35" s="103">
        <v>0.66900000000000004</v>
      </c>
      <c r="E35" s="103">
        <v>0.66700000000000004</v>
      </c>
      <c r="F35" s="103">
        <v>0.66500000000000004</v>
      </c>
      <c r="G35" s="103">
        <v>0.66200000000000003</v>
      </c>
      <c r="H35" s="103">
        <v>0.66</v>
      </c>
      <c r="I35" s="103">
        <v>0.65800000000000003</v>
      </c>
      <c r="J35" s="103">
        <v>0.65500000000000003</v>
      </c>
      <c r="K35" s="103">
        <v>0.65300000000000002</v>
      </c>
      <c r="L35" s="103">
        <v>0.65100000000000002</v>
      </c>
      <c r="M35" s="103">
        <v>0.64800000000000002</v>
      </c>
    </row>
    <row r="36" spans="1:13" x14ac:dyDescent="0.25">
      <c r="A36" s="98">
        <v>9</v>
      </c>
      <c r="B36" s="103">
        <v>0.64600000000000002</v>
      </c>
      <c r="C36" s="103">
        <v>0.64400000000000002</v>
      </c>
      <c r="D36" s="103">
        <v>0.64200000000000002</v>
      </c>
      <c r="E36" s="103">
        <v>0.63900000000000001</v>
      </c>
      <c r="F36" s="103">
        <v>0.63700000000000001</v>
      </c>
      <c r="G36" s="103">
        <v>0.63500000000000001</v>
      </c>
      <c r="H36" s="103">
        <v>0.63300000000000001</v>
      </c>
      <c r="I36" s="103">
        <v>0.63100000000000001</v>
      </c>
      <c r="J36" s="103">
        <v>0.628</v>
      </c>
      <c r="K36" s="103">
        <v>0.626</v>
      </c>
      <c r="L36" s="103">
        <v>0.624</v>
      </c>
      <c r="M36" s="103">
        <v>0.622</v>
      </c>
    </row>
    <row r="37" spans="1:13" x14ac:dyDescent="0.25">
      <c r="A37" s="98">
        <v>10</v>
      </c>
      <c r="B37" s="103">
        <v>0.62</v>
      </c>
      <c r="C37" s="103">
        <v>0.61799999999999999</v>
      </c>
      <c r="D37" s="103">
        <v>0.61599999999999999</v>
      </c>
      <c r="E37" s="103">
        <v>0.61399999999999999</v>
      </c>
      <c r="F37" s="103">
        <v>0.61199999999999999</v>
      </c>
      <c r="G37" s="103">
        <v>0.60899999999999999</v>
      </c>
      <c r="H37" s="103">
        <v>0.60699999999999998</v>
      </c>
      <c r="I37" s="103">
        <v>0.60499999999999998</v>
      </c>
      <c r="J37" s="103">
        <v>0.60299999999999998</v>
      </c>
      <c r="K37" s="103">
        <v>0.60099999999999998</v>
      </c>
      <c r="L37" s="103">
        <v>0.59899999999999998</v>
      </c>
      <c r="M37" s="103">
        <v>0.59699999999999998</v>
      </c>
    </row>
    <row r="38" spans="1:13" x14ac:dyDescent="0.25">
      <c r="A38" s="98">
        <v>11</v>
      </c>
      <c r="B38" s="103">
        <v>0.59499999999999997</v>
      </c>
      <c r="C38" s="103">
        <v>0.59299999999999997</v>
      </c>
      <c r="D38" s="103">
        <v>0.59099999999999997</v>
      </c>
      <c r="E38" s="103">
        <v>0.58899999999999997</v>
      </c>
      <c r="F38" s="103">
        <v>0.58799999999999997</v>
      </c>
      <c r="G38" s="103">
        <v>0.58599999999999997</v>
      </c>
      <c r="H38" s="103">
        <v>0.58399999999999996</v>
      </c>
      <c r="I38" s="103">
        <v>0.58199999999999996</v>
      </c>
      <c r="J38" s="103">
        <v>0.57999999999999996</v>
      </c>
      <c r="K38" s="103">
        <v>0.57799999999999996</v>
      </c>
      <c r="L38" s="103">
        <v>0.57599999999999996</v>
      </c>
      <c r="M38" s="103">
        <v>0.57399999999999995</v>
      </c>
    </row>
    <row r="39" spans="1:13" x14ac:dyDescent="0.25">
      <c r="A39" s="98">
        <v>12</v>
      </c>
      <c r="B39" s="103">
        <v>0.57199999999999995</v>
      </c>
      <c r="C39" s="103">
        <v>0.56999999999999995</v>
      </c>
      <c r="D39" s="103">
        <v>0.56899999999999995</v>
      </c>
      <c r="E39" s="103">
        <v>0.56699999999999995</v>
      </c>
      <c r="F39" s="103">
        <v>0.56499999999999995</v>
      </c>
      <c r="G39" s="103">
        <v>0.56299999999999994</v>
      </c>
      <c r="H39" s="103">
        <v>0.56200000000000006</v>
      </c>
      <c r="I39" s="103">
        <v>0.56000000000000005</v>
      </c>
      <c r="J39" s="103">
        <v>0.55800000000000005</v>
      </c>
      <c r="K39" s="103">
        <v>0.55600000000000005</v>
      </c>
      <c r="L39" s="103">
        <v>0.55400000000000005</v>
      </c>
      <c r="M39" s="103">
        <v>0.55300000000000005</v>
      </c>
    </row>
    <row r="40" spans="1:13" x14ac:dyDescent="0.25">
      <c r="A40" s="98">
        <v>13</v>
      </c>
      <c r="B40" s="103">
        <v>0.55100000000000005</v>
      </c>
      <c r="C40" s="103">
        <v>0.54900000000000004</v>
      </c>
      <c r="D40" s="103">
        <v>0.54700000000000004</v>
      </c>
      <c r="E40" s="103">
        <v>0.54600000000000004</v>
      </c>
      <c r="F40" s="103">
        <v>0.54400000000000004</v>
      </c>
      <c r="G40" s="103">
        <v>0.54200000000000004</v>
      </c>
      <c r="H40" s="103">
        <v>0.54100000000000004</v>
      </c>
      <c r="I40" s="103">
        <v>0.53900000000000003</v>
      </c>
      <c r="J40" s="103">
        <v>0.53700000000000003</v>
      </c>
      <c r="K40" s="103">
        <v>0.53600000000000003</v>
      </c>
      <c r="L40" s="103">
        <v>0.53400000000000003</v>
      </c>
      <c r="M40" s="103">
        <v>0.53200000000000003</v>
      </c>
    </row>
    <row r="41" spans="1:13" x14ac:dyDescent="0.25">
      <c r="A41" s="98">
        <v>14</v>
      </c>
      <c r="B41" s="103">
        <v>0.53100000000000003</v>
      </c>
      <c r="C41" s="103">
        <v>0.52900000000000003</v>
      </c>
      <c r="D41" s="103">
        <v>0.52700000000000002</v>
      </c>
      <c r="E41" s="103">
        <v>0.52600000000000002</v>
      </c>
      <c r="F41" s="103">
        <v>0.52400000000000002</v>
      </c>
      <c r="G41" s="103">
        <v>0.52300000000000002</v>
      </c>
      <c r="H41" s="103">
        <v>0.52100000000000002</v>
      </c>
      <c r="I41" s="103">
        <v>0.52</v>
      </c>
      <c r="J41" s="103">
        <v>0.51800000000000002</v>
      </c>
      <c r="K41" s="103">
        <v>0.51600000000000001</v>
      </c>
      <c r="L41" s="103">
        <v>0.51500000000000001</v>
      </c>
      <c r="M41" s="103">
        <v>0.51300000000000001</v>
      </c>
    </row>
    <row r="42" spans="1:13" x14ac:dyDescent="0.25">
      <c r="A42" s="98">
        <v>15</v>
      </c>
      <c r="B42" s="103">
        <v>0.51200000000000001</v>
      </c>
      <c r="C42" s="103">
        <v>0.51</v>
      </c>
      <c r="D42" s="103">
        <v>0.50900000000000001</v>
      </c>
      <c r="E42" s="103">
        <v>0.50700000000000001</v>
      </c>
      <c r="F42" s="103">
        <v>0.50600000000000001</v>
      </c>
      <c r="G42" s="103">
        <v>0.504</v>
      </c>
      <c r="H42" s="103">
        <v>0.503</v>
      </c>
      <c r="I42" s="103">
        <v>0.501</v>
      </c>
      <c r="J42" s="103">
        <v>0.5</v>
      </c>
      <c r="K42" s="103">
        <v>0.498</v>
      </c>
      <c r="L42" s="103">
        <v>0.497</v>
      </c>
      <c r="M42" s="103">
        <v>0.495</v>
      </c>
    </row>
    <row r="43" spans="1:13" x14ac:dyDescent="0.25">
      <c r="A43" s="98">
        <v>16</v>
      </c>
      <c r="B43" s="103">
        <v>0.49399999999999999</v>
      </c>
      <c r="C43" s="103">
        <v>0.49199999999999999</v>
      </c>
      <c r="D43" s="103">
        <v>0.49099999999999999</v>
      </c>
      <c r="E43" s="103">
        <v>0.49</v>
      </c>
      <c r="F43" s="103">
        <v>0.48799999999999999</v>
      </c>
      <c r="G43" s="103">
        <v>0.48699999999999999</v>
      </c>
      <c r="H43" s="103">
        <v>0.48499999999999999</v>
      </c>
      <c r="I43" s="103">
        <v>0.48399999999999999</v>
      </c>
      <c r="J43" s="103">
        <v>0.48299999999999998</v>
      </c>
      <c r="K43" s="103">
        <v>0.48099999999999998</v>
      </c>
      <c r="L43" s="103">
        <v>0.48</v>
      </c>
      <c r="M43" s="103">
        <v>0.47799999999999998</v>
      </c>
    </row>
    <row r="44" spans="1:13" x14ac:dyDescent="0.25">
      <c r="A44" s="98">
        <v>17</v>
      </c>
      <c r="B44" s="103">
        <v>0.47699999999999998</v>
      </c>
      <c r="C44" s="103">
        <v>0.47599999999999998</v>
      </c>
      <c r="D44" s="103">
        <v>0.47399999999999998</v>
      </c>
      <c r="E44" s="103">
        <v>0.47299999999999998</v>
      </c>
      <c r="F44" s="103">
        <v>0.47199999999999998</v>
      </c>
      <c r="G44" s="103">
        <v>0.47</v>
      </c>
      <c r="H44" s="103">
        <v>0.46899999999999997</v>
      </c>
      <c r="I44" s="103">
        <v>0.46800000000000003</v>
      </c>
      <c r="J44" s="103">
        <v>0.46600000000000003</v>
      </c>
      <c r="K44" s="103">
        <v>0.46500000000000002</v>
      </c>
      <c r="L44" s="103">
        <v>0.46400000000000002</v>
      </c>
      <c r="M44" s="103">
        <v>0.46200000000000002</v>
      </c>
    </row>
    <row r="45" spans="1:13" x14ac:dyDescent="0.25">
      <c r="A45" s="98">
        <v>18</v>
      </c>
      <c r="B45" s="103">
        <v>0.46100000000000002</v>
      </c>
      <c r="C45" s="103">
        <v>0.46</v>
      </c>
      <c r="D45" s="103">
        <v>0.45800000000000002</v>
      </c>
      <c r="E45" s="103">
        <v>0.45700000000000002</v>
      </c>
      <c r="F45" s="103">
        <v>0.45600000000000002</v>
      </c>
      <c r="G45" s="103">
        <v>0.45500000000000002</v>
      </c>
      <c r="H45" s="103">
        <v>0.45300000000000001</v>
      </c>
      <c r="I45" s="103">
        <v>0.45200000000000001</v>
      </c>
      <c r="J45" s="103">
        <v>0.45100000000000001</v>
      </c>
      <c r="K45" s="103">
        <v>0.45</v>
      </c>
      <c r="L45" s="103">
        <v>0.44800000000000001</v>
      </c>
      <c r="M45" s="103">
        <v>0.44700000000000001</v>
      </c>
    </row>
    <row r="46" spans="1:13" x14ac:dyDescent="0.25">
      <c r="A46" s="98">
        <v>19</v>
      </c>
      <c r="B46" s="103">
        <v>0.44600000000000001</v>
      </c>
      <c r="C46" s="103">
        <v>0.44500000000000001</v>
      </c>
      <c r="D46" s="103">
        <v>0.443</v>
      </c>
      <c r="E46" s="103">
        <v>0.442</v>
      </c>
      <c r="F46" s="103">
        <v>0.441</v>
      </c>
      <c r="G46" s="103">
        <v>0.44</v>
      </c>
      <c r="H46" s="103">
        <v>0.439</v>
      </c>
      <c r="I46" s="103">
        <v>0.437</v>
      </c>
      <c r="J46" s="103">
        <v>0.436</v>
      </c>
      <c r="K46" s="103">
        <v>0.435</v>
      </c>
      <c r="L46" s="103">
        <v>0.434</v>
      </c>
      <c r="M46" s="103">
        <v>0.433</v>
      </c>
    </row>
    <row r="47" spans="1:13" x14ac:dyDescent="0.25">
      <c r="A47" s="98">
        <v>20</v>
      </c>
      <c r="B47" s="103">
        <v>0.43099999999999999</v>
      </c>
      <c r="C47" s="103">
        <v>0.43</v>
      </c>
      <c r="D47" s="103">
        <v>0.42899999999999999</v>
      </c>
      <c r="E47" s="103">
        <v>0.42799999999999999</v>
      </c>
      <c r="F47" s="103">
        <v>0.42699999999999999</v>
      </c>
      <c r="G47" s="103">
        <v>0.42599999999999999</v>
      </c>
      <c r="H47" s="103">
        <v>0.42499999999999999</v>
      </c>
      <c r="I47" s="103">
        <v>0.42399999999999999</v>
      </c>
      <c r="J47" s="103">
        <v>0.42199999999999999</v>
      </c>
      <c r="K47" s="103">
        <v>0.42099999999999999</v>
      </c>
      <c r="L47" s="103">
        <v>0.42</v>
      </c>
      <c r="M47" s="103">
        <v>0.41899999999999998</v>
      </c>
    </row>
    <row r="48" spans="1:13" x14ac:dyDescent="0.25">
      <c r="A48" s="98">
        <v>21</v>
      </c>
      <c r="B48" s="103">
        <v>0.41799999999999998</v>
      </c>
      <c r="C48" s="103">
        <v>0.41699999999999998</v>
      </c>
      <c r="D48" s="103">
        <v>0.41599999999999998</v>
      </c>
      <c r="E48" s="103">
        <v>0.41499999999999998</v>
      </c>
      <c r="F48" s="103">
        <v>0.41399999999999998</v>
      </c>
      <c r="G48" s="103">
        <v>0.41299999999999998</v>
      </c>
      <c r="H48" s="103">
        <v>0.41099999999999998</v>
      </c>
      <c r="I48" s="103">
        <v>0.41</v>
      </c>
      <c r="J48" s="103">
        <v>0.40899999999999997</v>
      </c>
      <c r="K48" s="103">
        <v>0.40799999999999997</v>
      </c>
      <c r="L48" s="103">
        <v>0.40699999999999997</v>
      </c>
      <c r="M48" s="103">
        <v>0.40600000000000003</v>
      </c>
    </row>
    <row r="49" spans="1:13" x14ac:dyDescent="0.25">
      <c r="A49" s="98">
        <v>22</v>
      </c>
      <c r="B49" s="103">
        <v>0.40500000000000003</v>
      </c>
      <c r="C49" s="103">
        <v>0.40400000000000003</v>
      </c>
      <c r="D49" s="103">
        <v>0.40300000000000002</v>
      </c>
      <c r="E49" s="103">
        <v>0.40200000000000002</v>
      </c>
      <c r="F49" s="103">
        <v>0.40100000000000002</v>
      </c>
      <c r="G49" s="103">
        <v>0.4</v>
      </c>
      <c r="H49" s="103">
        <v>0.39900000000000002</v>
      </c>
      <c r="I49" s="103">
        <v>0.39800000000000002</v>
      </c>
      <c r="J49" s="103">
        <v>0.39700000000000002</v>
      </c>
      <c r="K49" s="103">
        <v>0.39600000000000002</v>
      </c>
      <c r="L49" s="103">
        <v>0.39500000000000002</v>
      </c>
      <c r="M49" s="103">
        <v>0.39400000000000002</v>
      </c>
    </row>
    <row r="50" spans="1:13" x14ac:dyDescent="0.25">
      <c r="A50" s="98">
        <v>23</v>
      </c>
      <c r="B50" s="103">
        <v>0.39300000000000002</v>
      </c>
      <c r="C50" s="103">
        <v>0.39200000000000002</v>
      </c>
      <c r="D50" s="103">
        <v>0.39100000000000001</v>
      </c>
      <c r="E50" s="103">
        <v>0.39</v>
      </c>
      <c r="F50" s="103">
        <v>0.38900000000000001</v>
      </c>
      <c r="G50" s="103">
        <v>0.38800000000000001</v>
      </c>
      <c r="H50" s="103">
        <v>0.38700000000000001</v>
      </c>
      <c r="I50" s="103">
        <v>0.38600000000000001</v>
      </c>
      <c r="J50" s="103">
        <v>0.38500000000000001</v>
      </c>
      <c r="K50" s="103">
        <v>0.38400000000000001</v>
      </c>
      <c r="L50" s="103">
        <v>0.38300000000000001</v>
      </c>
      <c r="M50" s="103">
        <v>0.38200000000000001</v>
      </c>
    </row>
    <row r="51" spans="1:13" x14ac:dyDescent="0.25">
      <c r="A51" s="98">
        <v>24</v>
      </c>
      <c r="B51" s="103">
        <v>0.38100000000000001</v>
      </c>
      <c r="C51" s="103">
        <v>0.38</v>
      </c>
      <c r="D51" s="103">
        <v>0.379</v>
      </c>
      <c r="E51" s="103">
        <v>0.378</v>
      </c>
      <c r="F51" s="103">
        <v>0.377</v>
      </c>
      <c r="G51" s="103">
        <v>0.376</v>
      </c>
      <c r="H51" s="103">
        <v>0.375</v>
      </c>
      <c r="I51" s="103">
        <v>0.374</v>
      </c>
      <c r="J51" s="103">
        <v>0.374</v>
      </c>
      <c r="K51" s="103">
        <v>0.373</v>
      </c>
      <c r="L51" s="103">
        <v>0.372</v>
      </c>
      <c r="M51" s="103">
        <v>0.371</v>
      </c>
    </row>
    <row r="52" spans="1:13" x14ac:dyDescent="0.25">
      <c r="A52" s="98">
        <v>25</v>
      </c>
      <c r="B52" s="103">
        <v>0.37</v>
      </c>
      <c r="C52" s="103">
        <v>0.36899999999999999</v>
      </c>
      <c r="D52" s="103">
        <v>0.36799999999999999</v>
      </c>
      <c r="E52" s="103">
        <v>0.36699999999999999</v>
      </c>
      <c r="F52" s="103">
        <v>0.36599999999999999</v>
      </c>
      <c r="G52" s="103">
        <v>0.36499999999999999</v>
      </c>
      <c r="H52" s="103">
        <v>0.36499999999999999</v>
      </c>
      <c r="I52" s="103">
        <v>0.36399999999999999</v>
      </c>
      <c r="J52" s="103">
        <v>0.36299999999999999</v>
      </c>
      <c r="K52" s="103">
        <v>0.36199999999999999</v>
      </c>
      <c r="L52" s="103">
        <v>0.36099999999999999</v>
      </c>
      <c r="M52" s="103">
        <v>0.36</v>
      </c>
    </row>
    <row r="53" spans="1:13" x14ac:dyDescent="0.25">
      <c r="A53" s="98">
        <v>26</v>
      </c>
      <c r="B53" s="103">
        <v>0.35899999999999999</v>
      </c>
      <c r="C53" s="103">
        <v>0.35799999999999998</v>
      </c>
      <c r="D53" s="103">
        <v>0.35699999999999998</v>
      </c>
      <c r="E53" s="103">
        <v>0.35699999999999998</v>
      </c>
      <c r="F53" s="103">
        <v>0.35599999999999998</v>
      </c>
      <c r="G53" s="103">
        <v>0.35499999999999998</v>
      </c>
      <c r="H53" s="103">
        <v>0.35399999999999998</v>
      </c>
      <c r="I53" s="103">
        <v>0.35299999999999998</v>
      </c>
      <c r="J53" s="103">
        <v>0.35199999999999998</v>
      </c>
      <c r="K53" s="103">
        <v>0.35199999999999998</v>
      </c>
      <c r="L53" s="103">
        <v>0.35099999999999998</v>
      </c>
      <c r="M53" s="103">
        <v>0.35</v>
      </c>
    </row>
    <row r="54" spans="1:13" x14ac:dyDescent="0.25">
      <c r="A54" s="98">
        <v>27</v>
      </c>
      <c r="B54" s="103">
        <v>0.34899999999999998</v>
      </c>
      <c r="C54" s="103">
        <v>0.34799999999999998</v>
      </c>
      <c r="D54" s="103">
        <v>0.34699999999999998</v>
      </c>
      <c r="E54" s="103">
        <v>0.34699999999999998</v>
      </c>
      <c r="F54" s="103">
        <v>0.34599999999999997</v>
      </c>
      <c r="G54" s="103">
        <v>0.34499999999999997</v>
      </c>
      <c r="H54" s="103">
        <v>0.34399999999999997</v>
      </c>
      <c r="I54" s="103">
        <v>0.34300000000000003</v>
      </c>
      <c r="J54" s="103">
        <v>0.34300000000000003</v>
      </c>
      <c r="K54" s="103">
        <v>0.34200000000000003</v>
      </c>
      <c r="L54" s="103">
        <v>0.34100000000000003</v>
      </c>
      <c r="M54" s="103">
        <v>0.34</v>
      </c>
    </row>
    <row r="55" spans="1:13" x14ac:dyDescent="0.25">
      <c r="A55" s="98">
        <v>28</v>
      </c>
      <c r="B55" s="103">
        <v>0.33900000000000002</v>
      </c>
      <c r="C55" s="103">
        <v>0.33800000000000002</v>
      </c>
      <c r="D55" s="103">
        <v>0.33800000000000002</v>
      </c>
      <c r="E55" s="103">
        <v>0.33700000000000002</v>
      </c>
      <c r="F55" s="103">
        <v>0.33600000000000002</v>
      </c>
      <c r="G55" s="103">
        <v>0.33500000000000002</v>
      </c>
      <c r="H55" s="103">
        <v>0.33500000000000002</v>
      </c>
      <c r="I55" s="103">
        <v>0.33400000000000002</v>
      </c>
      <c r="J55" s="103">
        <v>0.33300000000000002</v>
      </c>
      <c r="K55" s="103">
        <v>0.33200000000000002</v>
      </c>
      <c r="L55" s="103">
        <v>0.33100000000000002</v>
      </c>
      <c r="M55" s="103">
        <v>0.33100000000000002</v>
      </c>
    </row>
    <row r="56" spans="1:13" x14ac:dyDescent="0.25">
      <c r="A56" s="98">
        <v>29</v>
      </c>
      <c r="B56" s="103">
        <v>0.33</v>
      </c>
      <c r="C56" s="103">
        <v>0.32900000000000001</v>
      </c>
      <c r="D56" s="103">
        <v>0.32800000000000001</v>
      </c>
      <c r="E56" s="103">
        <v>0.32800000000000001</v>
      </c>
      <c r="F56" s="103">
        <v>0.32700000000000001</v>
      </c>
      <c r="G56" s="103">
        <v>0.32600000000000001</v>
      </c>
      <c r="H56" s="103">
        <v>0.32500000000000001</v>
      </c>
      <c r="I56" s="103">
        <v>0.32500000000000001</v>
      </c>
      <c r="J56" s="103">
        <v>0.32400000000000001</v>
      </c>
      <c r="K56" s="103">
        <v>0.32300000000000001</v>
      </c>
      <c r="L56" s="103">
        <v>0.32200000000000001</v>
      </c>
      <c r="M56" s="103">
        <v>0.32200000000000001</v>
      </c>
    </row>
    <row r="57" spans="1:13" x14ac:dyDescent="0.25">
      <c r="A57" s="98">
        <v>30</v>
      </c>
      <c r="B57" s="103">
        <v>0.32100000000000001</v>
      </c>
      <c r="C57" s="103">
        <v>0.32</v>
      </c>
      <c r="D57" s="103">
        <v>0.32</v>
      </c>
      <c r="E57" s="103">
        <v>0.31900000000000001</v>
      </c>
      <c r="F57" s="103">
        <v>0.318</v>
      </c>
      <c r="G57" s="103">
        <v>0.317</v>
      </c>
      <c r="H57" s="103">
        <v>0.317</v>
      </c>
      <c r="I57" s="103">
        <v>0.316</v>
      </c>
      <c r="J57" s="103">
        <v>0.315</v>
      </c>
      <c r="K57" s="103">
        <v>0.315</v>
      </c>
      <c r="L57" s="103">
        <v>0.314</v>
      </c>
      <c r="M57" s="103">
        <v>0.313</v>
      </c>
    </row>
    <row r="58" spans="1:13" x14ac:dyDescent="0.25">
      <c r="A58" s="98">
        <v>31</v>
      </c>
      <c r="B58" s="103">
        <v>0.312</v>
      </c>
      <c r="C58" s="103">
        <v>0.312</v>
      </c>
      <c r="D58" s="103">
        <v>0.311</v>
      </c>
      <c r="E58" s="103">
        <v>0.31</v>
      </c>
      <c r="F58" s="103">
        <v>0.31</v>
      </c>
      <c r="G58" s="103">
        <v>0.309</v>
      </c>
      <c r="H58" s="103">
        <v>0.308</v>
      </c>
      <c r="I58" s="103">
        <v>0.308</v>
      </c>
      <c r="J58" s="103">
        <v>0.307</v>
      </c>
      <c r="K58" s="103">
        <v>0.30599999999999999</v>
      </c>
      <c r="L58" s="103">
        <v>0.30599999999999999</v>
      </c>
      <c r="M58" s="103">
        <v>0.30499999999999999</v>
      </c>
    </row>
    <row r="59" spans="1:13" x14ac:dyDescent="0.25">
      <c r="A59" s="98">
        <v>32</v>
      </c>
      <c r="B59" s="103">
        <v>0.30399999999999999</v>
      </c>
      <c r="C59" s="103">
        <v>0.30399999999999999</v>
      </c>
      <c r="D59" s="103">
        <v>0.30299999999999999</v>
      </c>
      <c r="E59" s="103">
        <v>0.30199999999999999</v>
      </c>
      <c r="F59" s="103">
        <v>0.30199999999999999</v>
      </c>
      <c r="G59" s="103">
        <v>0.30099999999999999</v>
      </c>
      <c r="H59" s="103">
        <v>0.3</v>
      </c>
      <c r="I59" s="103">
        <v>0.3</v>
      </c>
      <c r="J59" s="103">
        <v>0.29899999999999999</v>
      </c>
      <c r="K59" s="103">
        <v>0.29799999999999999</v>
      </c>
      <c r="L59" s="103">
        <v>0.29799999999999999</v>
      </c>
      <c r="M59" s="103">
        <v>0.29699999999999999</v>
      </c>
    </row>
    <row r="60" spans="1:13" x14ac:dyDescent="0.25">
      <c r="A60" s="98">
        <v>33</v>
      </c>
      <c r="B60" s="103">
        <v>0.29599999999999999</v>
      </c>
      <c r="C60" s="103"/>
      <c r="D60" s="103"/>
      <c r="E60" s="103"/>
      <c r="F60" s="103"/>
      <c r="G60" s="103"/>
      <c r="H60" s="103"/>
      <c r="I60" s="103"/>
      <c r="J60" s="103"/>
      <c r="K60" s="103"/>
      <c r="L60" s="103"/>
      <c r="M60" s="103"/>
    </row>
  </sheetData>
  <sheetProtection algorithmName="SHA-512" hashValue="q72zGWob/KxaaFwWxwe7VNRmSmE9+PFy7ZWAD3eVAoO0IsLdCXKFQmM7LoVmOiCHxQLjBK0gXCk7NHRXDT2Irg==" saltValue="Tq15yK/cpRdzbqRT12PS1A==" spinCount="100000" sheet="1" objects="1" scenarios="1"/>
  <conditionalFormatting sqref="A6:A21">
    <cfRule type="expression" dxfId="57" priority="9" stopIfTrue="1">
      <formula>MOD(ROW(),2)=0</formula>
    </cfRule>
    <cfRule type="expression" dxfId="56" priority="10" stopIfTrue="1">
      <formula>MOD(ROW(),2)&lt;&gt;0</formula>
    </cfRule>
  </conditionalFormatting>
  <conditionalFormatting sqref="A26:A60">
    <cfRule type="expression" dxfId="55" priority="1" stopIfTrue="1">
      <formula>MOD(ROW(),2)=0</formula>
    </cfRule>
    <cfRule type="expression" dxfId="54" priority="2" stopIfTrue="1">
      <formula>MOD(ROW(),2)&lt;&gt;0</formula>
    </cfRule>
  </conditionalFormatting>
  <conditionalFormatting sqref="B17:B21">
    <cfRule type="expression" dxfId="53" priority="5" stopIfTrue="1">
      <formula>MOD(ROW(),2)=0</formula>
    </cfRule>
    <cfRule type="expression" dxfId="52" priority="6" stopIfTrue="1">
      <formula>MOD(ROW(),2)&lt;&gt;0</formula>
    </cfRule>
  </conditionalFormatting>
  <conditionalFormatting sqref="B6:M21">
    <cfRule type="expression" dxfId="51" priority="17" stopIfTrue="1">
      <formula>MOD(ROW(),2)=0</formula>
    </cfRule>
    <cfRule type="expression" dxfId="50" priority="18" stopIfTrue="1">
      <formula>MOD(ROW(),2)&lt;&gt;0</formula>
    </cfRule>
  </conditionalFormatting>
  <conditionalFormatting sqref="B26:M60">
    <cfRule type="expression" dxfId="49" priority="3" stopIfTrue="1">
      <formula>MOD(ROW(),2)=0</formula>
    </cfRule>
    <cfRule type="expression" dxfId="48" priority="4" stopIfTrue="1">
      <formula>MOD(ROW(),2)&lt;&gt;0</formula>
    </cfRule>
  </conditionalFormatting>
  <hyperlinks>
    <hyperlink ref="B24" location="Assumptions!A1" display="Assumptions" xr:uid="{8CC15965-B058-4BE9-903A-F480FCE5126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7"/>
  <dimension ref="A1:AU188"/>
  <sheetViews>
    <sheetView showGridLines="0" zoomScale="85" zoomScaleNormal="85" workbookViewId="0">
      <selection activeCell="A4" sqref="A4"/>
    </sheetView>
  </sheetViews>
  <sheetFormatPr defaultColWidth="10" defaultRowHeight="12.5" x14ac:dyDescent="0.25"/>
  <cols>
    <col min="1" max="1" width="24.54296875" style="26" customWidth="1"/>
    <col min="2" max="47" width="22.54296875" style="26" customWidth="1"/>
    <col min="48" max="16384" width="10" style="26"/>
  </cols>
  <sheetData>
    <row r="1" spans="1:47" ht="20" x14ac:dyDescent="0.4">
      <c r="A1" s="37" t="s">
        <v>0</v>
      </c>
      <c r="B1" s="38"/>
      <c r="C1" s="38"/>
      <c r="D1" s="38"/>
      <c r="E1" s="38"/>
      <c r="F1" s="38"/>
      <c r="G1" s="38"/>
      <c r="H1" s="38"/>
      <c r="I1" s="38"/>
    </row>
    <row r="2" spans="1:47" ht="15.5" x14ac:dyDescent="0.35">
      <c r="A2" s="39" t="str">
        <f>IF(title="&gt; Enter workbook title here","Enter workbook title in Cover sheet",title)</f>
        <v>NHSPS_S - Consolidated Factor Spreadsheet</v>
      </c>
      <c r="B2" s="40"/>
      <c r="C2" s="40"/>
      <c r="D2" s="40"/>
      <c r="E2" s="40"/>
      <c r="F2" s="40"/>
      <c r="G2" s="40"/>
      <c r="H2" s="40"/>
      <c r="I2" s="40"/>
    </row>
    <row r="3" spans="1:47" ht="15.5" x14ac:dyDescent="0.35">
      <c r="A3" s="41" t="str">
        <f>TABLE_FACTOR_TYPE_1&amp;" - x-"&amp;TABLE_SERIES_NUMBER_1</f>
        <v>Allocation - x-824</v>
      </c>
      <c r="B3" s="40"/>
      <c r="C3" s="40"/>
      <c r="D3" s="40"/>
      <c r="E3" s="40"/>
      <c r="F3" s="40"/>
      <c r="G3" s="40"/>
      <c r="H3" s="40"/>
      <c r="I3" s="40"/>
    </row>
    <row r="4" spans="1:47" x14ac:dyDescent="0.25">
      <c r="A4" s="42"/>
    </row>
    <row r="6" spans="1:47" ht="13" x14ac:dyDescent="0.3">
      <c r="A6" s="73" t="s">
        <v>274</v>
      </c>
      <c r="B6" s="114" t="s">
        <v>275</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row>
    <row r="7" spans="1:47" x14ac:dyDescent="0.25">
      <c r="A7" s="74" t="s">
        <v>276</v>
      </c>
      <c r="B7" s="114" t="s">
        <v>72</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row>
    <row r="8" spans="1:47" x14ac:dyDescent="0.25">
      <c r="A8" s="74" t="s">
        <v>278</v>
      </c>
      <c r="B8" s="114" t="s">
        <v>73</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row>
    <row r="9" spans="1:47" x14ac:dyDescent="0.25">
      <c r="A9" s="74" t="s">
        <v>280</v>
      </c>
      <c r="B9" s="114" t="s">
        <v>679</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row>
    <row r="10" spans="1:47" x14ac:dyDescent="0.25">
      <c r="A10" s="74" t="s">
        <v>6</v>
      </c>
      <c r="B10" s="114" t="s">
        <v>680</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row>
    <row r="11" spans="1:47" x14ac:dyDescent="0.25">
      <c r="A11" s="74" t="s">
        <v>283</v>
      </c>
      <c r="B11" s="114" t="s">
        <v>355</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row>
    <row r="12" spans="1:47" x14ac:dyDescent="0.25">
      <c r="A12" s="74" t="s">
        <v>285</v>
      </c>
      <c r="B12" s="114" t="s">
        <v>681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row>
    <row r="13" spans="1:47" x14ac:dyDescent="0.25">
      <c r="A13" s="74" t="s">
        <v>287</v>
      </c>
      <c r="B13" s="114">
        <v>0</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row>
    <row r="14" spans="1:47" x14ac:dyDescent="0.25">
      <c r="A14" s="74" t="s">
        <v>289</v>
      </c>
      <c r="B14" s="114">
        <v>824</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row>
    <row r="15" spans="1:47" x14ac:dyDescent="0.25">
      <c r="A15" s="74" t="s">
        <v>291</v>
      </c>
      <c r="B15" s="114" t="s">
        <v>682</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row>
    <row r="16" spans="1:47" x14ac:dyDescent="0.25">
      <c r="A16" s="74" t="s">
        <v>293</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row>
    <row r="17" spans="1:47" ht="25" x14ac:dyDescent="0.25">
      <c r="A17" s="74" t="s">
        <v>760</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row>
    <row r="18" spans="1:47" ht="25" x14ac:dyDescent="0.25">
      <c r="A18" s="74" t="s">
        <v>297</v>
      </c>
      <c r="B18" s="162">
        <v>45202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row>
    <row r="19" spans="1:47" ht="25" x14ac:dyDescent="0.25">
      <c r="A19" s="74" t="s">
        <v>299</v>
      </c>
      <c r="B19" s="162">
        <v>45202</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row>
    <row r="20" spans="1:47" x14ac:dyDescent="0.25">
      <c r="A20" s="74" t="s">
        <v>301</v>
      </c>
      <c r="B20" s="114" t="s">
        <v>314</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row>
    <row r="21" spans="1:47" x14ac:dyDescent="0.25">
      <c r="A21" s="74" t="s">
        <v>307</v>
      </c>
      <c r="B21" s="114" t="s">
        <v>315</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row>
    <row r="23" spans="1:47" x14ac:dyDescent="0.25">
      <c r="B23" s="100" t="str">
        <f>HYPERLINK("#'Factor List'!A1","Back to Factor List")</f>
        <v>Back to Factor List</v>
      </c>
    </row>
    <row r="24" spans="1:47" x14ac:dyDescent="0.25">
      <c r="B24" s="100" t="s">
        <v>13</v>
      </c>
    </row>
    <row r="26" spans="1:47" ht="13" x14ac:dyDescent="0.3">
      <c r="A26" s="73" t="s">
        <v>417</v>
      </c>
      <c r="B26" s="70">
        <v>30</v>
      </c>
      <c r="C26" s="70">
        <v>31</v>
      </c>
      <c r="D26" s="70">
        <v>32</v>
      </c>
      <c r="E26" s="70">
        <v>33</v>
      </c>
      <c r="F26" s="70">
        <v>34</v>
      </c>
      <c r="G26" s="70">
        <v>35</v>
      </c>
      <c r="H26" s="70">
        <v>36</v>
      </c>
      <c r="I26" s="70">
        <v>37</v>
      </c>
      <c r="J26" s="70">
        <v>38</v>
      </c>
      <c r="K26" s="70">
        <v>39</v>
      </c>
      <c r="L26" s="70">
        <v>40</v>
      </c>
      <c r="M26" s="70">
        <v>41</v>
      </c>
      <c r="N26" s="70">
        <v>42</v>
      </c>
      <c r="O26" s="70">
        <v>43</v>
      </c>
      <c r="P26" s="70">
        <v>44</v>
      </c>
      <c r="Q26" s="70">
        <v>45</v>
      </c>
      <c r="R26" s="70">
        <v>46</v>
      </c>
      <c r="S26" s="70">
        <v>47</v>
      </c>
      <c r="T26" s="70">
        <v>48</v>
      </c>
      <c r="U26" s="70">
        <v>49</v>
      </c>
      <c r="V26" s="70">
        <v>50</v>
      </c>
      <c r="W26" s="70">
        <v>51</v>
      </c>
      <c r="X26" s="70">
        <v>52</v>
      </c>
      <c r="Y26" s="70">
        <v>53</v>
      </c>
      <c r="Z26" s="70">
        <v>54</v>
      </c>
      <c r="AA26" s="70">
        <v>55</v>
      </c>
      <c r="AB26" s="70">
        <v>56</v>
      </c>
      <c r="AC26" s="70">
        <v>57</v>
      </c>
      <c r="AD26" s="70">
        <v>58</v>
      </c>
      <c r="AE26" s="70">
        <v>59</v>
      </c>
      <c r="AF26" s="70">
        <v>60</v>
      </c>
      <c r="AG26" s="70">
        <v>61</v>
      </c>
      <c r="AH26" s="70">
        <v>62</v>
      </c>
      <c r="AI26" s="70">
        <v>63</v>
      </c>
      <c r="AJ26" s="70">
        <v>64</v>
      </c>
      <c r="AK26" s="70">
        <v>65</v>
      </c>
      <c r="AL26" s="70">
        <v>66</v>
      </c>
      <c r="AM26" s="70">
        <v>67</v>
      </c>
      <c r="AN26" s="70">
        <v>68</v>
      </c>
      <c r="AO26" s="70">
        <v>69</v>
      </c>
      <c r="AP26" s="70">
        <v>70</v>
      </c>
      <c r="AQ26" s="70">
        <v>71</v>
      </c>
      <c r="AR26" s="70">
        <v>72</v>
      </c>
      <c r="AS26" s="70">
        <v>73</v>
      </c>
      <c r="AT26" s="70">
        <v>74</v>
      </c>
      <c r="AU26" s="70">
        <v>75</v>
      </c>
    </row>
    <row r="27" spans="1:47" x14ac:dyDescent="0.25">
      <c r="A27" s="71">
        <v>22</v>
      </c>
      <c r="B27" s="72">
        <v>8.39</v>
      </c>
      <c r="C27" s="72">
        <v>7.74</v>
      </c>
      <c r="D27" s="72">
        <v>7.16</v>
      </c>
      <c r="E27" s="72">
        <v>6.64</v>
      </c>
      <c r="F27" s="72">
        <v>6.16</v>
      </c>
      <c r="G27" s="72">
        <v>5.72</v>
      </c>
      <c r="H27" s="72">
        <v>5.33</v>
      </c>
      <c r="I27" s="72">
        <v>4.97</v>
      </c>
      <c r="J27" s="72">
        <v>4.6399999999999997</v>
      </c>
      <c r="K27" s="72">
        <v>4.33</v>
      </c>
      <c r="L27" s="72">
        <v>4.05</v>
      </c>
      <c r="M27" s="72">
        <v>3.8</v>
      </c>
      <c r="N27" s="72">
        <v>3.56</v>
      </c>
      <c r="O27" s="72">
        <v>3.34</v>
      </c>
      <c r="P27" s="72">
        <v>3.13</v>
      </c>
      <c r="Q27" s="72">
        <v>2.94</v>
      </c>
      <c r="R27" s="72">
        <v>2.77</v>
      </c>
      <c r="S27" s="72">
        <v>2.6</v>
      </c>
      <c r="T27" s="72">
        <v>2.4500000000000002</v>
      </c>
      <c r="U27" s="72">
        <v>2.31</v>
      </c>
      <c r="V27" s="72">
        <v>2.17</v>
      </c>
      <c r="W27" s="72">
        <v>2.0499999999999998</v>
      </c>
      <c r="X27" s="72">
        <v>1.93</v>
      </c>
      <c r="Y27" s="72">
        <v>1.82</v>
      </c>
      <c r="Z27" s="72">
        <v>1.71</v>
      </c>
      <c r="AA27" s="72">
        <v>1.61</v>
      </c>
      <c r="AB27" s="72">
        <v>1.52</v>
      </c>
      <c r="AC27" s="72">
        <v>1.43</v>
      </c>
      <c r="AD27" s="72">
        <v>1.35</v>
      </c>
      <c r="AE27" s="72">
        <v>1.27</v>
      </c>
      <c r="AF27" s="72">
        <v>1.19</v>
      </c>
      <c r="AG27" s="72">
        <v>1.1200000000000001</v>
      </c>
      <c r="AH27" s="72">
        <v>1.06</v>
      </c>
      <c r="AI27" s="72">
        <v>0.99</v>
      </c>
      <c r="AJ27" s="72">
        <v>0.93</v>
      </c>
      <c r="AK27" s="72">
        <v>0.88</v>
      </c>
      <c r="AL27" s="72">
        <v>0.82</v>
      </c>
      <c r="AM27" s="72">
        <v>0.77</v>
      </c>
      <c r="AN27" s="72">
        <v>0.72</v>
      </c>
      <c r="AO27" s="72">
        <v>0.68</v>
      </c>
      <c r="AP27" s="72">
        <v>0.63</v>
      </c>
      <c r="AQ27" s="72">
        <v>0.59</v>
      </c>
      <c r="AR27" s="72">
        <v>0.55000000000000004</v>
      </c>
      <c r="AS27" s="72">
        <v>0.51</v>
      </c>
      <c r="AT27" s="72">
        <v>0.48</v>
      </c>
      <c r="AU27" s="72">
        <v>0.45</v>
      </c>
    </row>
    <row r="28" spans="1:47" x14ac:dyDescent="0.25">
      <c r="A28" s="71">
        <v>23</v>
      </c>
      <c r="B28" s="72">
        <v>8.8699999999999992</v>
      </c>
      <c r="C28" s="72">
        <v>8.17</v>
      </c>
      <c r="D28" s="72">
        <v>7.54</v>
      </c>
      <c r="E28" s="72">
        <v>6.97</v>
      </c>
      <c r="F28" s="72">
        <v>6.46</v>
      </c>
      <c r="G28" s="72">
        <v>5.99</v>
      </c>
      <c r="H28" s="72">
        <v>5.57</v>
      </c>
      <c r="I28" s="72">
        <v>5.18</v>
      </c>
      <c r="J28" s="72">
        <v>4.83</v>
      </c>
      <c r="K28" s="72">
        <v>4.5</v>
      </c>
      <c r="L28" s="72">
        <v>4.21</v>
      </c>
      <c r="M28" s="72">
        <v>3.93</v>
      </c>
      <c r="N28" s="72">
        <v>3.68</v>
      </c>
      <c r="O28" s="72">
        <v>3.45</v>
      </c>
      <c r="P28" s="72">
        <v>3.23</v>
      </c>
      <c r="Q28" s="72">
        <v>3.04</v>
      </c>
      <c r="R28" s="72">
        <v>2.85</v>
      </c>
      <c r="S28" s="72">
        <v>2.68</v>
      </c>
      <c r="T28" s="72">
        <v>2.52</v>
      </c>
      <c r="U28" s="72">
        <v>2.37</v>
      </c>
      <c r="V28" s="72">
        <v>2.23</v>
      </c>
      <c r="W28" s="72">
        <v>2.1</v>
      </c>
      <c r="X28" s="72">
        <v>1.97</v>
      </c>
      <c r="Y28" s="72">
        <v>1.86</v>
      </c>
      <c r="Z28" s="72">
        <v>1.75</v>
      </c>
      <c r="AA28" s="72">
        <v>1.65</v>
      </c>
      <c r="AB28" s="72">
        <v>1.55</v>
      </c>
      <c r="AC28" s="72">
        <v>1.46</v>
      </c>
      <c r="AD28" s="72">
        <v>1.37</v>
      </c>
      <c r="AE28" s="72">
        <v>1.29</v>
      </c>
      <c r="AF28" s="72">
        <v>1.22</v>
      </c>
      <c r="AG28" s="72">
        <v>1.1399999999999999</v>
      </c>
      <c r="AH28" s="72">
        <v>1.08</v>
      </c>
      <c r="AI28" s="72">
        <v>1.01</v>
      </c>
      <c r="AJ28" s="72">
        <v>0.95</v>
      </c>
      <c r="AK28" s="72">
        <v>0.89</v>
      </c>
      <c r="AL28" s="72">
        <v>0.84</v>
      </c>
      <c r="AM28" s="72">
        <v>0.78</v>
      </c>
      <c r="AN28" s="72">
        <v>0.73</v>
      </c>
      <c r="AO28" s="72">
        <v>0.69</v>
      </c>
      <c r="AP28" s="72">
        <v>0.64</v>
      </c>
      <c r="AQ28" s="72">
        <v>0.6</v>
      </c>
      <c r="AR28" s="72">
        <v>0.56000000000000005</v>
      </c>
      <c r="AS28" s="72">
        <v>0.52</v>
      </c>
      <c r="AT28" s="72">
        <v>0.49</v>
      </c>
      <c r="AU28" s="72">
        <v>0.45</v>
      </c>
    </row>
    <row r="29" spans="1:47" x14ac:dyDescent="0.25">
      <c r="A29" s="71">
        <v>24</v>
      </c>
      <c r="B29" s="72">
        <v>9.4</v>
      </c>
      <c r="C29" s="72">
        <v>8.64</v>
      </c>
      <c r="D29" s="72">
        <v>7.95</v>
      </c>
      <c r="E29" s="72">
        <v>7.34</v>
      </c>
      <c r="F29" s="72">
        <v>6.78</v>
      </c>
      <c r="G29" s="72">
        <v>6.28</v>
      </c>
      <c r="H29" s="72">
        <v>5.82</v>
      </c>
      <c r="I29" s="72">
        <v>5.41</v>
      </c>
      <c r="J29" s="72">
        <v>5.03</v>
      </c>
      <c r="K29" s="72">
        <v>4.6900000000000004</v>
      </c>
      <c r="L29" s="72">
        <v>4.37</v>
      </c>
      <c r="M29" s="72">
        <v>4.08</v>
      </c>
      <c r="N29" s="72">
        <v>3.82</v>
      </c>
      <c r="O29" s="72">
        <v>3.57</v>
      </c>
      <c r="P29" s="72">
        <v>3.34</v>
      </c>
      <c r="Q29" s="72">
        <v>3.13</v>
      </c>
      <c r="R29" s="72">
        <v>2.94</v>
      </c>
      <c r="S29" s="72">
        <v>2.76</v>
      </c>
      <c r="T29" s="72">
        <v>2.59</v>
      </c>
      <c r="U29" s="72">
        <v>2.4300000000000002</v>
      </c>
      <c r="V29" s="72">
        <v>2.29</v>
      </c>
      <c r="W29" s="72">
        <v>2.15</v>
      </c>
      <c r="X29" s="72">
        <v>2.02</v>
      </c>
      <c r="Y29" s="72">
        <v>1.9</v>
      </c>
      <c r="Z29" s="72">
        <v>1.79</v>
      </c>
      <c r="AA29" s="72">
        <v>1.68</v>
      </c>
      <c r="AB29" s="72">
        <v>1.58</v>
      </c>
      <c r="AC29" s="72">
        <v>1.49</v>
      </c>
      <c r="AD29" s="72">
        <v>1.4</v>
      </c>
      <c r="AE29" s="72">
        <v>1.32</v>
      </c>
      <c r="AF29" s="72">
        <v>1.24</v>
      </c>
      <c r="AG29" s="72">
        <v>1.17</v>
      </c>
      <c r="AH29" s="72">
        <v>1.1000000000000001</v>
      </c>
      <c r="AI29" s="72">
        <v>1.03</v>
      </c>
      <c r="AJ29" s="72">
        <v>0.97</v>
      </c>
      <c r="AK29" s="72">
        <v>0.91</v>
      </c>
      <c r="AL29" s="72">
        <v>0.85</v>
      </c>
      <c r="AM29" s="72">
        <v>0.8</v>
      </c>
      <c r="AN29" s="72">
        <v>0.75</v>
      </c>
      <c r="AO29" s="72">
        <v>0.7</v>
      </c>
      <c r="AP29" s="72">
        <v>0.65</v>
      </c>
      <c r="AQ29" s="72">
        <v>0.61</v>
      </c>
      <c r="AR29" s="72">
        <v>0.56999999999999995</v>
      </c>
      <c r="AS29" s="72">
        <v>0.53</v>
      </c>
      <c r="AT29" s="72">
        <v>0.49</v>
      </c>
      <c r="AU29" s="72">
        <v>0.46</v>
      </c>
    </row>
    <row r="30" spans="1:47" x14ac:dyDescent="0.25">
      <c r="A30" s="71">
        <v>25</v>
      </c>
      <c r="B30" s="72">
        <v>9.99</v>
      </c>
      <c r="C30" s="72">
        <v>9.16</v>
      </c>
      <c r="D30" s="72">
        <v>8.41</v>
      </c>
      <c r="E30" s="72">
        <v>7.74</v>
      </c>
      <c r="F30" s="72">
        <v>7.14</v>
      </c>
      <c r="G30" s="72">
        <v>6.6</v>
      </c>
      <c r="H30" s="72">
        <v>6.11</v>
      </c>
      <c r="I30" s="72">
        <v>5.66</v>
      </c>
      <c r="J30" s="72">
        <v>5.26</v>
      </c>
      <c r="K30" s="72">
        <v>4.8899999999999997</v>
      </c>
      <c r="L30" s="72">
        <v>4.55</v>
      </c>
      <c r="M30" s="72">
        <v>4.24</v>
      </c>
      <c r="N30" s="72">
        <v>3.96</v>
      </c>
      <c r="O30" s="72">
        <v>3.7</v>
      </c>
      <c r="P30" s="72">
        <v>3.46</v>
      </c>
      <c r="Q30" s="72">
        <v>3.24</v>
      </c>
      <c r="R30" s="72">
        <v>3.03</v>
      </c>
      <c r="S30" s="72">
        <v>2.84</v>
      </c>
      <c r="T30" s="72">
        <v>2.67</v>
      </c>
      <c r="U30" s="72">
        <v>2.5</v>
      </c>
      <c r="V30" s="72">
        <v>2.35</v>
      </c>
      <c r="W30" s="72">
        <v>2.21</v>
      </c>
      <c r="X30" s="72">
        <v>2.08</v>
      </c>
      <c r="Y30" s="72">
        <v>1.95</v>
      </c>
      <c r="Z30" s="72">
        <v>1.83</v>
      </c>
      <c r="AA30" s="72">
        <v>1.72</v>
      </c>
      <c r="AB30" s="72">
        <v>1.62</v>
      </c>
      <c r="AC30" s="72">
        <v>1.52</v>
      </c>
      <c r="AD30" s="72">
        <v>1.43</v>
      </c>
      <c r="AE30" s="72">
        <v>1.35</v>
      </c>
      <c r="AF30" s="72">
        <v>1.26</v>
      </c>
      <c r="AG30" s="72">
        <v>1.19</v>
      </c>
      <c r="AH30" s="72">
        <v>1.1200000000000001</v>
      </c>
      <c r="AI30" s="72">
        <v>1.05</v>
      </c>
      <c r="AJ30" s="72">
        <v>0.98</v>
      </c>
      <c r="AK30" s="72">
        <v>0.92</v>
      </c>
      <c r="AL30" s="72">
        <v>0.86</v>
      </c>
      <c r="AM30" s="72">
        <v>0.81</v>
      </c>
      <c r="AN30" s="72">
        <v>0.76</v>
      </c>
      <c r="AO30" s="72">
        <v>0.71</v>
      </c>
      <c r="AP30" s="72">
        <v>0.66</v>
      </c>
      <c r="AQ30" s="72">
        <v>0.62</v>
      </c>
      <c r="AR30" s="72">
        <v>0.57999999999999996</v>
      </c>
      <c r="AS30" s="72">
        <v>0.54</v>
      </c>
      <c r="AT30" s="72">
        <v>0.5</v>
      </c>
      <c r="AU30" s="72">
        <v>0.46</v>
      </c>
    </row>
    <row r="31" spans="1:47" x14ac:dyDescent="0.25">
      <c r="A31" s="71">
        <v>26</v>
      </c>
      <c r="B31" s="72">
        <v>10.63</v>
      </c>
      <c r="C31" s="72">
        <v>9.73</v>
      </c>
      <c r="D31" s="72">
        <v>8.92</v>
      </c>
      <c r="E31" s="72">
        <v>8.19</v>
      </c>
      <c r="F31" s="72">
        <v>7.53</v>
      </c>
      <c r="G31" s="72">
        <v>6.95</v>
      </c>
      <c r="H31" s="72">
        <v>6.42</v>
      </c>
      <c r="I31" s="72">
        <v>5.94</v>
      </c>
      <c r="J31" s="72">
        <v>5.5</v>
      </c>
      <c r="K31" s="72">
        <v>5.1100000000000003</v>
      </c>
      <c r="L31" s="72">
        <v>4.75</v>
      </c>
      <c r="M31" s="72">
        <v>4.42</v>
      </c>
      <c r="N31" s="72">
        <v>4.12</v>
      </c>
      <c r="O31" s="72">
        <v>3.84</v>
      </c>
      <c r="P31" s="72">
        <v>3.59</v>
      </c>
      <c r="Q31" s="72">
        <v>3.35</v>
      </c>
      <c r="R31" s="72">
        <v>3.14</v>
      </c>
      <c r="S31" s="72">
        <v>2.94</v>
      </c>
      <c r="T31" s="72">
        <v>2.75</v>
      </c>
      <c r="U31" s="72">
        <v>2.58</v>
      </c>
      <c r="V31" s="72">
        <v>2.42</v>
      </c>
      <c r="W31" s="72">
        <v>2.27</v>
      </c>
      <c r="X31" s="72">
        <v>2.13</v>
      </c>
      <c r="Y31" s="72">
        <v>2</v>
      </c>
      <c r="Z31" s="72">
        <v>1.88</v>
      </c>
      <c r="AA31" s="72">
        <v>1.77</v>
      </c>
      <c r="AB31" s="72">
        <v>1.66</v>
      </c>
      <c r="AC31" s="72">
        <v>1.56</v>
      </c>
      <c r="AD31" s="72">
        <v>1.46</v>
      </c>
      <c r="AE31" s="72">
        <v>1.37</v>
      </c>
      <c r="AF31" s="72">
        <v>1.29</v>
      </c>
      <c r="AG31" s="72">
        <v>1.21</v>
      </c>
      <c r="AH31" s="72">
        <v>1.1399999999999999</v>
      </c>
      <c r="AI31" s="72">
        <v>1.07</v>
      </c>
      <c r="AJ31" s="72">
        <v>1</v>
      </c>
      <c r="AK31" s="72">
        <v>0.94</v>
      </c>
      <c r="AL31" s="72">
        <v>0.88</v>
      </c>
      <c r="AM31" s="72">
        <v>0.82</v>
      </c>
      <c r="AN31" s="72">
        <v>0.77</v>
      </c>
      <c r="AO31" s="72">
        <v>0.72</v>
      </c>
      <c r="AP31" s="72">
        <v>0.67</v>
      </c>
      <c r="AQ31" s="72">
        <v>0.63</v>
      </c>
      <c r="AR31" s="72">
        <v>0.57999999999999996</v>
      </c>
      <c r="AS31" s="72">
        <v>0.54</v>
      </c>
      <c r="AT31" s="72">
        <v>0.51</v>
      </c>
      <c r="AU31" s="72">
        <v>0.47</v>
      </c>
    </row>
    <row r="32" spans="1:47" x14ac:dyDescent="0.25">
      <c r="A32" s="71">
        <v>27</v>
      </c>
      <c r="B32" s="72">
        <v>11.35</v>
      </c>
      <c r="C32" s="72">
        <v>10.36</v>
      </c>
      <c r="D32" s="72">
        <v>9.4700000000000006</v>
      </c>
      <c r="E32" s="72">
        <v>8.68</v>
      </c>
      <c r="F32" s="72">
        <v>7.97</v>
      </c>
      <c r="G32" s="72">
        <v>7.33</v>
      </c>
      <c r="H32" s="72">
        <v>6.76</v>
      </c>
      <c r="I32" s="72">
        <v>6.24</v>
      </c>
      <c r="J32" s="72">
        <v>5.77</v>
      </c>
      <c r="K32" s="72">
        <v>5.34</v>
      </c>
      <c r="L32" s="72">
        <v>4.96</v>
      </c>
      <c r="M32" s="72">
        <v>4.6100000000000003</v>
      </c>
      <c r="N32" s="72">
        <v>4.29</v>
      </c>
      <c r="O32" s="72">
        <v>3.99</v>
      </c>
      <c r="P32" s="72">
        <v>3.72</v>
      </c>
      <c r="Q32" s="72">
        <v>3.47</v>
      </c>
      <c r="R32" s="72">
        <v>3.25</v>
      </c>
      <c r="S32" s="72">
        <v>3.04</v>
      </c>
      <c r="T32" s="72">
        <v>2.84</v>
      </c>
      <c r="U32" s="72">
        <v>2.66</v>
      </c>
      <c r="V32" s="72">
        <v>2.4900000000000002</v>
      </c>
      <c r="W32" s="72">
        <v>2.34</v>
      </c>
      <c r="X32" s="72">
        <v>2.19</v>
      </c>
      <c r="Y32" s="72">
        <v>2.06</v>
      </c>
      <c r="Z32" s="72">
        <v>1.93</v>
      </c>
      <c r="AA32" s="72">
        <v>1.81</v>
      </c>
      <c r="AB32" s="72">
        <v>1.7</v>
      </c>
      <c r="AC32" s="72">
        <v>1.59</v>
      </c>
      <c r="AD32" s="72">
        <v>1.5</v>
      </c>
      <c r="AE32" s="72">
        <v>1.4</v>
      </c>
      <c r="AF32" s="72">
        <v>1.32</v>
      </c>
      <c r="AG32" s="72">
        <v>1.24</v>
      </c>
      <c r="AH32" s="72">
        <v>1.1599999999999999</v>
      </c>
      <c r="AI32" s="72">
        <v>1.0900000000000001</v>
      </c>
      <c r="AJ32" s="72">
        <v>1.02</v>
      </c>
      <c r="AK32" s="72">
        <v>0.96</v>
      </c>
      <c r="AL32" s="72">
        <v>0.9</v>
      </c>
      <c r="AM32" s="72">
        <v>0.84</v>
      </c>
      <c r="AN32" s="72">
        <v>0.78</v>
      </c>
      <c r="AO32" s="72">
        <v>0.73</v>
      </c>
      <c r="AP32" s="72">
        <v>0.68</v>
      </c>
      <c r="AQ32" s="72">
        <v>0.64</v>
      </c>
      <c r="AR32" s="72">
        <v>0.59</v>
      </c>
      <c r="AS32" s="72">
        <v>0.55000000000000004</v>
      </c>
      <c r="AT32" s="72">
        <v>0.51</v>
      </c>
      <c r="AU32" s="72">
        <v>0.48</v>
      </c>
    </row>
    <row r="33" spans="1:47" x14ac:dyDescent="0.25">
      <c r="A33" s="71">
        <v>28</v>
      </c>
      <c r="B33" s="72">
        <v>12.15</v>
      </c>
      <c r="C33" s="72">
        <v>11.06</v>
      </c>
      <c r="D33" s="72">
        <v>10.09</v>
      </c>
      <c r="E33" s="72">
        <v>9.2200000000000006</v>
      </c>
      <c r="F33" s="72">
        <v>8.4499999999999993</v>
      </c>
      <c r="G33" s="72">
        <v>7.75</v>
      </c>
      <c r="H33" s="72">
        <v>7.13</v>
      </c>
      <c r="I33" s="72">
        <v>6.57</v>
      </c>
      <c r="J33" s="72">
        <v>6.06</v>
      </c>
      <c r="K33" s="72">
        <v>5.61</v>
      </c>
      <c r="L33" s="72">
        <v>5.19</v>
      </c>
      <c r="M33" s="72">
        <v>4.8099999999999996</v>
      </c>
      <c r="N33" s="72">
        <v>4.47</v>
      </c>
      <c r="O33" s="72">
        <v>4.16</v>
      </c>
      <c r="P33" s="72">
        <v>3.87</v>
      </c>
      <c r="Q33" s="72">
        <v>3.61</v>
      </c>
      <c r="R33" s="72">
        <v>3.36</v>
      </c>
      <c r="S33" s="72">
        <v>3.14</v>
      </c>
      <c r="T33" s="72">
        <v>2.94</v>
      </c>
      <c r="U33" s="72">
        <v>2.75</v>
      </c>
      <c r="V33" s="72">
        <v>2.57</v>
      </c>
      <c r="W33" s="72">
        <v>2.41</v>
      </c>
      <c r="X33" s="72">
        <v>2.25</v>
      </c>
      <c r="Y33" s="72">
        <v>2.11</v>
      </c>
      <c r="Z33" s="72">
        <v>1.98</v>
      </c>
      <c r="AA33" s="72">
        <v>1.86</v>
      </c>
      <c r="AB33" s="72">
        <v>1.74</v>
      </c>
      <c r="AC33" s="72">
        <v>1.63</v>
      </c>
      <c r="AD33" s="72">
        <v>1.53</v>
      </c>
      <c r="AE33" s="72">
        <v>1.44</v>
      </c>
      <c r="AF33" s="72">
        <v>1.35</v>
      </c>
      <c r="AG33" s="72">
        <v>1.26</v>
      </c>
      <c r="AH33" s="72">
        <v>1.18</v>
      </c>
      <c r="AI33" s="72">
        <v>1.1100000000000001</v>
      </c>
      <c r="AJ33" s="72">
        <v>1.04</v>
      </c>
      <c r="AK33" s="72">
        <v>0.97</v>
      </c>
      <c r="AL33" s="72">
        <v>0.91</v>
      </c>
      <c r="AM33" s="72">
        <v>0.85</v>
      </c>
      <c r="AN33" s="72">
        <v>0.8</v>
      </c>
      <c r="AO33" s="72">
        <v>0.74</v>
      </c>
      <c r="AP33" s="72">
        <v>0.69</v>
      </c>
      <c r="AQ33" s="72">
        <v>0.65</v>
      </c>
      <c r="AR33" s="72">
        <v>0.6</v>
      </c>
      <c r="AS33" s="72">
        <v>0.56000000000000005</v>
      </c>
      <c r="AT33" s="72">
        <v>0.52</v>
      </c>
      <c r="AU33" s="72">
        <v>0.48</v>
      </c>
    </row>
    <row r="34" spans="1:47" x14ac:dyDescent="0.25">
      <c r="A34" s="71">
        <v>29</v>
      </c>
      <c r="B34" s="72">
        <v>13.03</v>
      </c>
      <c r="C34" s="72">
        <v>11.84</v>
      </c>
      <c r="D34" s="72">
        <v>10.78</v>
      </c>
      <c r="E34" s="72">
        <v>9.83</v>
      </c>
      <c r="F34" s="72">
        <v>8.98</v>
      </c>
      <c r="G34" s="72">
        <v>8.2200000000000006</v>
      </c>
      <c r="H34" s="72">
        <v>7.54</v>
      </c>
      <c r="I34" s="72">
        <v>6.94</v>
      </c>
      <c r="J34" s="72">
        <v>6.39</v>
      </c>
      <c r="K34" s="72">
        <v>5.89</v>
      </c>
      <c r="L34" s="72">
        <v>5.44</v>
      </c>
      <c r="M34" s="72">
        <v>5.04</v>
      </c>
      <c r="N34" s="72">
        <v>4.67</v>
      </c>
      <c r="O34" s="72">
        <v>4.34</v>
      </c>
      <c r="P34" s="72">
        <v>4.03</v>
      </c>
      <c r="Q34" s="72">
        <v>3.75</v>
      </c>
      <c r="R34" s="72">
        <v>3.49</v>
      </c>
      <c r="S34" s="72">
        <v>3.26</v>
      </c>
      <c r="T34" s="72">
        <v>3.04</v>
      </c>
      <c r="U34" s="72">
        <v>2.84</v>
      </c>
      <c r="V34" s="72">
        <v>2.65</v>
      </c>
      <c r="W34" s="72">
        <v>2.48</v>
      </c>
      <c r="X34" s="72">
        <v>2.3199999999999998</v>
      </c>
      <c r="Y34" s="72">
        <v>2.17</v>
      </c>
      <c r="Z34" s="72">
        <v>2.04</v>
      </c>
      <c r="AA34" s="72">
        <v>1.91</v>
      </c>
      <c r="AB34" s="72">
        <v>1.79</v>
      </c>
      <c r="AC34" s="72">
        <v>1.67</v>
      </c>
      <c r="AD34" s="72">
        <v>1.57</v>
      </c>
      <c r="AE34" s="72">
        <v>1.47</v>
      </c>
      <c r="AF34" s="72">
        <v>1.38</v>
      </c>
      <c r="AG34" s="72">
        <v>1.29</v>
      </c>
      <c r="AH34" s="72">
        <v>1.21</v>
      </c>
      <c r="AI34" s="72">
        <v>1.1299999999999999</v>
      </c>
      <c r="AJ34" s="72">
        <v>1.06</v>
      </c>
      <c r="AK34" s="72">
        <v>0.99</v>
      </c>
      <c r="AL34" s="72">
        <v>0.93</v>
      </c>
      <c r="AM34" s="72">
        <v>0.87</v>
      </c>
      <c r="AN34" s="72">
        <v>0.81</v>
      </c>
      <c r="AO34" s="72">
        <v>0.76</v>
      </c>
      <c r="AP34" s="72">
        <v>0.71</v>
      </c>
      <c r="AQ34" s="72">
        <v>0.66</v>
      </c>
      <c r="AR34" s="72">
        <v>0.61</v>
      </c>
      <c r="AS34" s="72">
        <v>0.56999999999999995</v>
      </c>
      <c r="AT34" s="72">
        <v>0.53</v>
      </c>
      <c r="AU34" s="72">
        <v>0.49</v>
      </c>
    </row>
    <row r="35" spans="1:47" x14ac:dyDescent="0.25">
      <c r="A35" s="71">
        <v>30</v>
      </c>
      <c r="B35" s="72">
        <v>14.01</v>
      </c>
      <c r="C35" s="72">
        <v>12.7</v>
      </c>
      <c r="D35" s="72">
        <v>11.53</v>
      </c>
      <c r="E35" s="72">
        <v>10.49</v>
      </c>
      <c r="F35" s="72">
        <v>9.57</v>
      </c>
      <c r="G35" s="72">
        <v>8.74</v>
      </c>
      <c r="H35" s="72">
        <v>8</v>
      </c>
      <c r="I35" s="72">
        <v>7.34</v>
      </c>
      <c r="J35" s="72">
        <v>6.74</v>
      </c>
      <c r="K35" s="72">
        <v>6.21</v>
      </c>
      <c r="L35" s="72">
        <v>5.72</v>
      </c>
      <c r="M35" s="72">
        <v>5.29</v>
      </c>
      <c r="N35" s="72">
        <v>4.8899999999999997</v>
      </c>
      <c r="O35" s="72">
        <v>4.53</v>
      </c>
      <c r="P35" s="72">
        <v>4.2</v>
      </c>
      <c r="Q35" s="72">
        <v>3.91</v>
      </c>
      <c r="R35" s="72">
        <v>3.63</v>
      </c>
      <c r="S35" s="72">
        <v>3.38</v>
      </c>
      <c r="T35" s="72">
        <v>3.15</v>
      </c>
      <c r="U35" s="72">
        <v>2.94</v>
      </c>
      <c r="V35" s="72">
        <v>2.74</v>
      </c>
      <c r="W35" s="72">
        <v>2.56</v>
      </c>
      <c r="X35" s="72">
        <v>2.4</v>
      </c>
      <c r="Y35" s="72">
        <v>2.2400000000000002</v>
      </c>
      <c r="Z35" s="72">
        <v>2.1</v>
      </c>
      <c r="AA35" s="72">
        <v>1.96</v>
      </c>
      <c r="AB35" s="72">
        <v>1.84</v>
      </c>
      <c r="AC35" s="72">
        <v>1.72</v>
      </c>
      <c r="AD35" s="72">
        <v>1.61</v>
      </c>
      <c r="AE35" s="72">
        <v>1.51</v>
      </c>
      <c r="AF35" s="72">
        <v>1.41</v>
      </c>
      <c r="AG35" s="72">
        <v>1.32</v>
      </c>
      <c r="AH35" s="72">
        <v>1.24</v>
      </c>
      <c r="AI35" s="72">
        <v>1.1599999999999999</v>
      </c>
      <c r="AJ35" s="72">
        <v>1.08</v>
      </c>
      <c r="AK35" s="72">
        <v>1.01</v>
      </c>
      <c r="AL35" s="72">
        <v>0.95</v>
      </c>
      <c r="AM35" s="72">
        <v>0.89</v>
      </c>
      <c r="AN35" s="72">
        <v>0.83</v>
      </c>
      <c r="AO35" s="72">
        <v>0.77</v>
      </c>
      <c r="AP35" s="72">
        <v>0.72</v>
      </c>
      <c r="AQ35" s="72">
        <v>0.67</v>
      </c>
      <c r="AR35" s="72">
        <v>0.62</v>
      </c>
      <c r="AS35" s="72">
        <v>0.57999999999999996</v>
      </c>
      <c r="AT35" s="72">
        <v>0.54</v>
      </c>
      <c r="AU35" s="72">
        <v>0.5</v>
      </c>
    </row>
    <row r="36" spans="1:47" x14ac:dyDescent="0.25">
      <c r="A36" s="71">
        <v>31</v>
      </c>
      <c r="B36" s="72">
        <v>15.1</v>
      </c>
      <c r="C36" s="72">
        <v>13.66</v>
      </c>
      <c r="D36" s="72">
        <v>12.37</v>
      </c>
      <c r="E36" s="72">
        <v>11.23</v>
      </c>
      <c r="F36" s="72">
        <v>10.220000000000001</v>
      </c>
      <c r="G36" s="72">
        <v>9.31</v>
      </c>
      <c r="H36" s="72">
        <v>8.5</v>
      </c>
      <c r="I36" s="72">
        <v>7.78</v>
      </c>
      <c r="J36" s="72">
        <v>7.13</v>
      </c>
      <c r="K36" s="72">
        <v>6.55</v>
      </c>
      <c r="L36" s="72">
        <v>6.03</v>
      </c>
      <c r="M36" s="72">
        <v>5.56</v>
      </c>
      <c r="N36" s="72">
        <v>5.13</v>
      </c>
      <c r="O36" s="72">
        <v>4.74</v>
      </c>
      <c r="P36" s="72">
        <v>4.3899999999999997</v>
      </c>
      <c r="Q36" s="72">
        <v>4.07</v>
      </c>
      <c r="R36" s="72">
        <v>3.78</v>
      </c>
      <c r="S36" s="72">
        <v>3.52</v>
      </c>
      <c r="T36" s="72">
        <v>3.27</v>
      </c>
      <c r="U36" s="72">
        <v>3.05</v>
      </c>
      <c r="V36" s="72">
        <v>2.84</v>
      </c>
      <c r="W36" s="72">
        <v>2.65</v>
      </c>
      <c r="X36" s="72">
        <v>2.4700000000000002</v>
      </c>
      <c r="Y36" s="72">
        <v>2.31</v>
      </c>
      <c r="Z36" s="72">
        <v>2.16</v>
      </c>
      <c r="AA36" s="72">
        <v>2.02</v>
      </c>
      <c r="AB36" s="72">
        <v>1.89</v>
      </c>
      <c r="AC36" s="72">
        <v>1.77</v>
      </c>
      <c r="AD36" s="72">
        <v>1.65</v>
      </c>
      <c r="AE36" s="72">
        <v>1.55</v>
      </c>
      <c r="AF36" s="72">
        <v>1.45</v>
      </c>
      <c r="AG36" s="72">
        <v>1.35</v>
      </c>
      <c r="AH36" s="72">
        <v>1.27</v>
      </c>
      <c r="AI36" s="72">
        <v>1.18</v>
      </c>
      <c r="AJ36" s="72">
        <v>1.1100000000000001</v>
      </c>
      <c r="AK36" s="72">
        <v>1.04</v>
      </c>
      <c r="AL36" s="72">
        <v>0.97</v>
      </c>
      <c r="AM36" s="72">
        <v>0.9</v>
      </c>
      <c r="AN36" s="72">
        <v>0.84</v>
      </c>
      <c r="AO36" s="72">
        <v>0.79</v>
      </c>
      <c r="AP36" s="72">
        <v>0.73</v>
      </c>
      <c r="AQ36" s="72">
        <v>0.68</v>
      </c>
      <c r="AR36" s="72">
        <v>0.63</v>
      </c>
      <c r="AS36" s="72">
        <v>0.59</v>
      </c>
      <c r="AT36" s="72">
        <v>0.55000000000000004</v>
      </c>
      <c r="AU36" s="72">
        <v>0.51</v>
      </c>
    </row>
    <row r="37" spans="1:47" x14ac:dyDescent="0.25">
      <c r="A37" s="71">
        <v>32</v>
      </c>
      <c r="B37" s="72">
        <v>16.3</v>
      </c>
      <c r="C37" s="72">
        <v>14.72</v>
      </c>
      <c r="D37" s="72">
        <v>13.31</v>
      </c>
      <c r="E37" s="72">
        <v>12.05</v>
      </c>
      <c r="F37" s="72">
        <v>10.94</v>
      </c>
      <c r="G37" s="72">
        <v>9.9499999999999993</v>
      </c>
      <c r="H37" s="72">
        <v>9.06</v>
      </c>
      <c r="I37" s="72">
        <v>8.27</v>
      </c>
      <c r="J37" s="72">
        <v>7.57</v>
      </c>
      <c r="K37" s="72">
        <v>6.93</v>
      </c>
      <c r="L37" s="72">
        <v>6.37</v>
      </c>
      <c r="M37" s="72">
        <v>5.85</v>
      </c>
      <c r="N37" s="72">
        <v>5.39</v>
      </c>
      <c r="O37" s="72">
        <v>4.9800000000000004</v>
      </c>
      <c r="P37" s="72">
        <v>4.5999999999999996</v>
      </c>
      <c r="Q37" s="72">
        <v>4.26</v>
      </c>
      <c r="R37" s="72">
        <v>3.95</v>
      </c>
      <c r="S37" s="72">
        <v>3.66</v>
      </c>
      <c r="T37" s="72">
        <v>3.4</v>
      </c>
      <c r="U37" s="72">
        <v>3.17</v>
      </c>
      <c r="V37" s="72">
        <v>2.95</v>
      </c>
      <c r="W37" s="72">
        <v>2.75</v>
      </c>
      <c r="X37" s="72">
        <v>2.56</v>
      </c>
      <c r="Y37" s="72">
        <v>2.39</v>
      </c>
      <c r="Z37" s="72">
        <v>2.23</v>
      </c>
      <c r="AA37" s="72">
        <v>2.08</v>
      </c>
      <c r="AB37" s="72">
        <v>1.94</v>
      </c>
      <c r="AC37" s="72">
        <v>1.82</v>
      </c>
      <c r="AD37" s="72">
        <v>1.7</v>
      </c>
      <c r="AE37" s="72">
        <v>1.59</v>
      </c>
      <c r="AF37" s="72">
        <v>1.48</v>
      </c>
      <c r="AG37" s="72">
        <v>1.39</v>
      </c>
      <c r="AH37" s="72">
        <v>1.3</v>
      </c>
      <c r="AI37" s="72">
        <v>1.21</v>
      </c>
      <c r="AJ37" s="72">
        <v>1.1299999999999999</v>
      </c>
      <c r="AK37" s="72">
        <v>1.06</v>
      </c>
      <c r="AL37" s="72">
        <v>0.99</v>
      </c>
      <c r="AM37" s="72">
        <v>0.92</v>
      </c>
      <c r="AN37" s="72">
        <v>0.86</v>
      </c>
      <c r="AO37" s="72">
        <v>0.8</v>
      </c>
      <c r="AP37" s="72">
        <v>0.75</v>
      </c>
      <c r="AQ37" s="72">
        <v>0.69</v>
      </c>
      <c r="AR37" s="72">
        <v>0.65</v>
      </c>
      <c r="AS37" s="72">
        <v>0.6</v>
      </c>
      <c r="AT37" s="72">
        <v>0.56000000000000005</v>
      </c>
      <c r="AU37" s="72">
        <v>0.52</v>
      </c>
    </row>
    <row r="38" spans="1:47" x14ac:dyDescent="0.25">
      <c r="A38" s="71">
        <v>33</v>
      </c>
      <c r="B38" s="72">
        <v>17.63</v>
      </c>
      <c r="C38" s="72">
        <v>15.89</v>
      </c>
      <c r="D38" s="72">
        <v>14.34</v>
      </c>
      <c r="E38" s="72">
        <v>12.97</v>
      </c>
      <c r="F38" s="72">
        <v>11.74</v>
      </c>
      <c r="G38" s="72">
        <v>10.65</v>
      </c>
      <c r="H38" s="72">
        <v>9.68</v>
      </c>
      <c r="I38" s="72">
        <v>8.82</v>
      </c>
      <c r="J38" s="72">
        <v>8.0399999999999991</v>
      </c>
      <c r="K38" s="72">
        <v>7.35</v>
      </c>
      <c r="L38" s="72">
        <v>6.74</v>
      </c>
      <c r="M38" s="72">
        <v>6.18</v>
      </c>
      <c r="N38" s="72">
        <v>5.68</v>
      </c>
      <c r="O38" s="72">
        <v>5.23</v>
      </c>
      <c r="P38" s="72">
        <v>4.83</v>
      </c>
      <c r="Q38" s="72">
        <v>4.46</v>
      </c>
      <c r="R38" s="72">
        <v>4.13</v>
      </c>
      <c r="S38" s="72">
        <v>3.82</v>
      </c>
      <c r="T38" s="72">
        <v>3.55</v>
      </c>
      <c r="U38" s="72">
        <v>3.29</v>
      </c>
      <c r="V38" s="72">
        <v>3.06</v>
      </c>
      <c r="W38" s="72">
        <v>2.85</v>
      </c>
      <c r="X38" s="72">
        <v>2.65</v>
      </c>
      <c r="Y38" s="72">
        <v>2.4700000000000002</v>
      </c>
      <c r="Z38" s="72">
        <v>2.2999999999999998</v>
      </c>
      <c r="AA38" s="72">
        <v>2.15</v>
      </c>
      <c r="AB38" s="72">
        <v>2</v>
      </c>
      <c r="AC38" s="72">
        <v>1.87</v>
      </c>
      <c r="AD38" s="72">
        <v>1.75</v>
      </c>
      <c r="AE38" s="72">
        <v>1.63</v>
      </c>
      <c r="AF38" s="72">
        <v>1.52</v>
      </c>
      <c r="AG38" s="72">
        <v>1.42</v>
      </c>
      <c r="AH38" s="72">
        <v>1.33</v>
      </c>
      <c r="AI38" s="72">
        <v>1.24</v>
      </c>
      <c r="AJ38" s="72">
        <v>1.1599999999999999</v>
      </c>
      <c r="AK38" s="72">
        <v>1.08</v>
      </c>
      <c r="AL38" s="72">
        <v>1.01</v>
      </c>
      <c r="AM38" s="72">
        <v>0.94</v>
      </c>
      <c r="AN38" s="72">
        <v>0.88</v>
      </c>
      <c r="AO38" s="72">
        <v>0.82</v>
      </c>
      <c r="AP38" s="72">
        <v>0.76</v>
      </c>
      <c r="AQ38" s="72">
        <v>0.71</v>
      </c>
      <c r="AR38" s="72">
        <v>0.66</v>
      </c>
      <c r="AS38" s="72">
        <v>0.61</v>
      </c>
      <c r="AT38" s="72">
        <v>0.56999999999999995</v>
      </c>
      <c r="AU38" s="72">
        <v>0.52</v>
      </c>
    </row>
    <row r="39" spans="1:47" x14ac:dyDescent="0.25">
      <c r="A39" s="71">
        <v>34</v>
      </c>
      <c r="B39" s="72">
        <v>19.100000000000001</v>
      </c>
      <c r="C39" s="72">
        <v>17.190000000000001</v>
      </c>
      <c r="D39" s="72">
        <v>15.49</v>
      </c>
      <c r="E39" s="72">
        <v>13.98</v>
      </c>
      <c r="F39" s="72">
        <v>12.63</v>
      </c>
      <c r="G39" s="72">
        <v>11.43</v>
      </c>
      <c r="H39" s="72">
        <v>10.37</v>
      </c>
      <c r="I39" s="72">
        <v>9.42</v>
      </c>
      <c r="J39" s="72">
        <v>8.58</v>
      </c>
      <c r="K39" s="72">
        <v>7.82</v>
      </c>
      <c r="L39" s="72">
        <v>7.15</v>
      </c>
      <c r="M39" s="72">
        <v>6.54</v>
      </c>
      <c r="N39" s="72">
        <v>6</v>
      </c>
      <c r="O39" s="72">
        <v>5.51</v>
      </c>
      <c r="P39" s="72">
        <v>5.08</v>
      </c>
      <c r="Q39" s="72">
        <v>4.68</v>
      </c>
      <c r="R39" s="72">
        <v>4.32</v>
      </c>
      <c r="S39" s="72">
        <v>4</v>
      </c>
      <c r="T39" s="72">
        <v>3.7</v>
      </c>
      <c r="U39" s="72">
        <v>3.43</v>
      </c>
      <c r="V39" s="72">
        <v>3.18</v>
      </c>
      <c r="W39" s="72">
        <v>2.96</v>
      </c>
      <c r="X39" s="72">
        <v>2.75</v>
      </c>
      <c r="Y39" s="72">
        <v>2.56</v>
      </c>
      <c r="Z39" s="72">
        <v>2.38</v>
      </c>
      <c r="AA39" s="72">
        <v>2.2200000000000002</v>
      </c>
      <c r="AB39" s="72">
        <v>2.0699999999999998</v>
      </c>
      <c r="AC39" s="72">
        <v>1.93</v>
      </c>
      <c r="AD39" s="72">
        <v>1.8</v>
      </c>
      <c r="AE39" s="72">
        <v>1.68</v>
      </c>
      <c r="AF39" s="72">
        <v>1.56</v>
      </c>
      <c r="AG39" s="72">
        <v>1.46</v>
      </c>
      <c r="AH39" s="72">
        <v>1.36</v>
      </c>
      <c r="AI39" s="72">
        <v>1.27</v>
      </c>
      <c r="AJ39" s="72">
        <v>1.19</v>
      </c>
      <c r="AK39" s="72">
        <v>1.1100000000000001</v>
      </c>
      <c r="AL39" s="72">
        <v>1.03</v>
      </c>
      <c r="AM39" s="72">
        <v>0.96</v>
      </c>
      <c r="AN39" s="72">
        <v>0.9</v>
      </c>
      <c r="AO39" s="72">
        <v>0.83</v>
      </c>
      <c r="AP39" s="72">
        <v>0.78</v>
      </c>
      <c r="AQ39" s="72">
        <v>0.72</v>
      </c>
      <c r="AR39" s="72">
        <v>0.67</v>
      </c>
      <c r="AS39" s="72">
        <v>0.62</v>
      </c>
      <c r="AT39" s="72">
        <v>0.57999999999999996</v>
      </c>
      <c r="AU39" s="72">
        <v>0.53</v>
      </c>
    </row>
    <row r="40" spans="1:47" x14ac:dyDescent="0.25">
      <c r="A40" s="71">
        <v>35</v>
      </c>
      <c r="B40" s="72">
        <v>20.72</v>
      </c>
      <c r="C40" s="72">
        <v>18.63</v>
      </c>
      <c r="D40" s="72">
        <v>16.760000000000002</v>
      </c>
      <c r="E40" s="72">
        <v>15.1</v>
      </c>
      <c r="F40" s="72">
        <v>13.62</v>
      </c>
      <c r="G40" s="72">
        <v>12.3</v>
      </c>
      <c r="H40" s="72">
        <v>11.13</v>
      </c>
      <c r="I40" s="72">
        <v>10.09</v>
      </c>
      <c r="J40" s="72">
        <v>9.16</v>
      </c>
      <c r="K40" s="72">
        <v>8.34</v>
      </c>
      <c r="L40" s="72">
        <v>7.6</v>
      </c>
      <c r="M40" s="72">
        <v>6.94</v>
      </c>
      <c r="N40" s="72">
        <v>6.35</v>
      </c>
      <c r="O40" s="72">
        <v>5.82</v>
      </c>
      <c r="P40" s="72">
        <v>5.35</v>
      </c>
      <c r="Q40" s="72">
        <v>4.92</v>
      </c>
      <c r="R40" s="72">
        <v>4.53</v>
      </c>
      <c r="S40" s="72">
        <v>4.1900000000000004</v>
      </c>
      <c r="T40" s="72">
        <v>3.87</v>
      </c>
      <c r="U40" s="72">
        <v>3.58</v>
      </c>
      <c r="V40" s="72">
        <v>3.32</v>
      </c>
      <c r="W40" s="72">
        <v>3.08</v>
      </c>
      <c r="X40" s="72">
        <v>2.85</v>
      </c>
      <c r="Y40" s="72">
        <v>2.65</v>
      </c>
      <c r="Z40" s="72">
        <v>2.4700000000000002</v>
      </c>
      <c r="AA40" s="72">
        <v>2.29</v>
      </c>
      <c r="AB40" s="72">
        <v>2.14</v>
      </c>
      <c r="AC40" s="72">
        <v>1.99</v>
      </c>
      <c r="AD40" s="72">
        <v>1.85</v>
      </c>
      <c r="AE40" s="72">
        <v>1.73</v>
      </c>
      <c r="AF40" s="72">
        <v>1.61</v>
      </c>
      <c r="AG40" s="72">
        <v>1.5</v>
      </c>
      <c r="AH40" s="72">
        <v>1.4</v>
      </c>
      <c r="AI40" s="72">
        <v>1.31</v>
      </c>
      <c r="AJ40" s="72">
        <v>1.22</v>
      </c>
      <c r="AK40" s="72">
        <v>1.1299999999999999</v>
      </c>
      <c r="AL40" s="72">
        <v>1.06</v>
      </c>
      <c r="AM40" s="72">
        <v>0.98</v>
      </c>
      <c r="AN40" s="72">
        <v>0.92</v>
      </c>
      <c r="AO40" s="72">
        <v>0.85</v>
      </c>
      <c r="AP40" s="72">
        <v>0.79</v>
      </c>
      <c r="AQ40" s="72">
        <v>0.74</v>
      </c>
      <c r="AR40" s="72">
        <v>0.68</v>
      </c>
      <c r="AS40" s="72">
        <v>0.63</v>
      </c>
      <c r="AT40" s="72">
        <v>0.59</v>
      </c>
      <c r="AU40" s="72">
        <v>0.54</v>
      </c>
    </row>
    <row r="41" spans="1:47" x14ac:dyDescent="0.25">
      <c r="A41" s="71">
        <v>36</v>
      </c>
      <c r="B41" s="72">
        <v>22.51</v>
      </c>
      <c r="C41" s="72">
        <v>20.22</v>
      </c>
      <c r="D41" s="72">
        <v>18.170000000000002</v>
      </c>
      <c r="E41" s="72">
        <v>16.34</v>
      </c>
      <c r="F41" s="72">
        <v>14.71</v>
      </c>
      <c r="G41" s="72">
        <v>13.26</v>
      </c>
      <c r="H41" s="72">
        <v>11.98</v>
      </c>
      <c r="I41" s="72">
        <v>10.83</v>
      </c>
      <c r="J41" s="72">
        <v>9.82</v>
      </c>
      <c r="K41" s="72">
        <v>8.91</v>
      </c>
      <c r="L41" s="72">
        <v>8.1</v>
      </c>
      <c r="M41" s="72">
        <v>7.38</v>
      </c>
      <c r="N41" s="72">
        <v>6.74</v>
      </c>
      <c r="O41" s="72">
        <v>6.17</v>
      </c>
      <c r="P41" s="72">
        <v>5.65</v>
      </c>
      <c r="Q41" s="72">
        <v>5.19</v>
      </c>
      <c r="R41" s="72">
        <v>4.7699999999999996</v>
      </c>
      <c r="S41" s="72">
        <v>4.3899999999999997</v>
      </c>
      <c r="T41" s="72">
        <v>4.05</v>
      </c>
      <c r="U41" s="72">
        <v>3.74</v>
      </c>
      <c r="V41" s="72">
        <v>3.46</v>
      </c>
      <c r="W41" s="72">
        <v>3.2</v>
      </c>
      <c r="X41" s="72">
        <v>2.97</v>
      </c>
      <c r="Y41" s="72">
        <v>2.75</v>
      </c>
      <c r="Z41" s="72">
        <v>2.56</v>
      </c>
      <c r="AA41" s="72">
        <v>2.38</v>
      </c>
      <c r="AB41" s="72">
        <v>2.21</v>
      </c>
      <c r="AC41" s="72">
        <v>2.0499999999999998</v>
      </c>
      <c r="AD41" s="72">
        <v>1.91</v>
      </c>
      <c r="AE41" s="72">
        <v>1.78</v>
      </c>
      <c r="AF41" s="72">
        <v>1.66</v>
      </c>
      <c r="AG41" s="72">
        <v>1.54</v>
      </c>
      <c r="AH41" s="72">
        <v>1.44</v>
      </c>
      <c r="AI41" s="72">
        <v>1.34</v>
      </c>
      <c r="AJ41" s="72">
        <v>1.25</v>
      </c>
      <c r="AK41" s="72">
        <v>1.1599999999999999</v>
      </c>
      <c r="AL41" s="72">
        <v>1.08</v>
      </c>
      <c r="AM41" s="72">
        <v>1.01</v>
      </c>
      <c r="AN41" s="72">
        <v>0.94</v>
      </c>
      <c r="AO41" s="72">
        <v>0.87</v>
      </c>
      <c r="AP41" s="72">
        <v>0.81</v>
      </c>
      <c r="AQ41" s="72">
        <v>0.75</v>
      </c>
      <c r="AR41" s="72">
        <v>0.7</v>
      </c>
      <c r="AS41" s="72">
        <v>0.65</v>
      </c>
      <c r="AT41" s="72">
        <v>0.6</v>
      </c>
      <c r="AU41" s="72">
        <v>0.55000000000000004</v>
      </c>
    </row>
    <row r="42" spans="1:47" x14ac:dyDescent="0.25">
      <c r="A42" s="71">
        <v>37</v>
      </c>
      <c r="B42" s="72">
        <v>24.48</v>
      </c>
      <c r="C42" s="72">
        <v>21.97</v>
      </c>
      <c r="D42" s="72">
        <v>19.72</v>
      </c>
      <c r="E42" s="72">
        <v>17.72</v>
      </c>
      <c r="F42" s="72">
        <v>15.93</v>
      </c>
      <c r="G42" s="72">
        <v>14.33</v>
      </c>
      <c r="H42" s="72">
        <v>12.92</v>
      </c>
      <c r="I42" s="72">
        <v>11.66</v>
      </c>
      <c r="J42" s="72">
        <v>10.54</v>
      </c>
      <c r="K42" s="72">
        <v>9.5500000000000007</v>
      </c>
      <c r="L42" s="72">
        <v>8.66</v>
      </c>
      <c r="M42" s="72">
        <v>7.87</v>
      </c>
      <c r="N42" s="72">
        <v>7.17</v>
      </c>
      <c r="O42" s="72">
        <v>6.54</v>
      </c>
      <c r="P42" s="72">
        <v>5.98</v>
      </c>
      <c r="Q42" s="72">
        <v>5.48</v>
      </c>
      <c r="R42" s="72">
        <v>5.03</v>
      </c>
      <c r="S42" s="72">
        <v>4.62</v>
      </c>
      <c r="T42" s="72">
        <v>4.25</v>
      </c>
      <c r="U42" s="72">
        <v>3.92</v>
      </c>
      <c r="V42" s="72">
        <v>3.62</v>
      </c>
      <c r="W42" s="72">
        <v>3.34</v>
      </c>
      <c r="X42" s="72">
        <v>3.09</v>
      </c>
      <c r="Y42" s="72">
        <v>2.87</v>
      </c>
      <c r="Z42" s="72">
        <v>2.66</v>
      </c>
      <c r="AA42" s="72">
        <v>2.46</v>
      </c>
      <c r="AB42" s="72">
        <v>2.29</v>
      </c>
      <c r="AC42" s="72">
        <v>2.13</v>
      </c>
      <c r="AD42" s="72">
        <v>1.98</v>
      </c>
      <c r="AE42" s="72">
        <v>1.84</v>
      </c>
      <c r="AF42" s="72">
        <v>1.71</v>
      </c>
      <c r="AG42" s="72">
        <v>1.59</v>
      </c>
      <c r="AH42" s="72">
        <v>1.48</v>
      </c>
      <c r="AI42" s="72">
        <v>1.38</v>
      </c>
      <c r="AJ42" s="72">
        <v>1.28</v>
      </c>
      <c r="AK42" s="72">
        <v>1.19</v>
      </c>
      <c r="AL42" s="72">
        <v>1.1100000000000001</v>
      </c>
      <c r="AM42" s="72">
        <v>1.03</v>
      </c>
      <c r="AN42" s="72">
        <v>0.96</v>
      </c>
      <c r="AO42" s="72">
        <v>0.89</v>
      </c>
      <c r="AP42" s="72">
        <v>0.83</v>
      </c>
      <c r="AQ42" s="72">
        <v>0.77</v>
      </c>
      <c r="AR42" s="72">
        <v>0.71</v>
      </c>
      <c r="AS42" s="72">
        <v>0.66</v>
      </c>
      <c r="AT42" s="72">
        <v>0.61</v>
      </c>
      <c r="AU42" s="72">
        <v>0.56000000000000005</v>
      </c>
    </row>
    <row r="43" spans="1:47" x14ac:dyDescent="0.25">
      <c r="A43" s="71">
        <v>38</v>
      </c>
      <c r="B43" s="72">
        <v>26.64</v>
      </c>
      <c r="C43" s="72">
        <v>23.9</v>
      </c>
      <c r="D43" s="72">
        <v>21.44</v>
      </c>
      <c r="E43" s="72">
        <v>19.239999999999998</v>
      </c>
      <c r="F43" s="72">
        <v>17.27</v>
      </c>
      <c r="G43" s="72">
        <v>15.52</v>
      </c>
      <c r="H43" s="72">
        <v>13.96</v>
      </c>
      <c r="I43" s="72">
        <v>12.58</v>
      </c>
      <c r="J43" s="72">
        <v>11.35</v>
      </c>
      <c r="K43" s="72">
        <v>10.25</v>
      </c>
      <c r="L43" s="72">
        <v>9.2799999999999994</v>
      </c>
      <c r="M43" s="72">
        <v>8.42</v>
      </c>
      <c r="N43" s="72">
        <v>7.65</v>
      </c>
      <c r="O43" s="72">
        <v>6.96</v>
      </c>
      <c r="P43" s="72">
        <v>6.35</v>
      </c>
      <c r="Q43" s="72">
        <v>5.8</v>
      </c>
      <c r="R43" s="72">
        <v>5.31</v>
      </c>
      <c r="S43" s="72">
        <v>4.87</v>
      </c>
      <c r="T43" s="72">
        <v>4.47</v>
      </c>
      <c r="U43" s="72">
        <v>4.12</v>
      </c>
      <c r="V43" s="72">
        <v>3.79</v>
      </c>
      <c r="W43" s="72">
        <v>3.5</v>
      </c>
      <c r="X43" s="72">
        <v>3.23</v>
      </c>
      <c r="Y43" s="72">
        <v>2.99</v>
      </c>
      <c r="Z43" s="72">
        <v>2.76</v>
      </c>
      <c r="AA43" s="72">
        <v>2.56</v>
      </c>
      <c r="AB43" s="72">
        <v>2.37</v>
      </c>
      <c r="AC43" s="72">
        <v>2.2000000000000002</v>
      </c>
      <c r="AD43" s="72">
        <v>2.04</v>
      </c>
      <c r="AE43" s="72">
        <v>1.9</v>
      </c>
      <c r="AF43" s="72">
        <v>1.76</v>
      </c>
      <c r="AG43" s="72">
        <v>1.64</v>
      </c>
      <c r="AH43" s="72">
        <v>1.52</v>
      </c>
      <c r="AI43" s="72">
        <v>1.42</v>
      </c>
      <c r="AJ43" s="72">
        <v>1.32</v>
      </c>
      <c r="AK43" s="72">
        <v>1.22</v>
      </c>
      <c r="AL43" s="72">
        <v>1.1399999999999999</v>
      </c>
      <c r="AM43" s="72">
        <v>1.06</v>
      </c>
      <c r="AN43" s="72">
        <v>0.98</v>
      </c>
      <c r="AO43" s="72">
        <v>0.91</v>
      </c>
      <c r="AP43" s="72">
        <v>0.85</v>
      </c>
      <c r="AQ43" s="72">
        <v>0.78</v>
      </c>
      <c r="AR43" s="72">
        <v>0.73</v>
      </c>
      <c r="AS43" s="72">
        <v>0.67</v>
      </c>
      <c r="AT43" s="72">
        <v>0.62</v>
      </c>
      <c r="AU43" s="72">
        <v>0.57999999999999996</v>
      </c>
    </row>
    <row r="44" spans="1:47" x14ac:dyDescent="0.25">
      <c r="A44" s="71">
        <v>39</v>
      </c>
      <c r="B44" s="72">
        <v>28.88</v>
      </c>
      <c r="C44" s="72">
        <v>26.01</v>
      </c>
      <c r="D44" s="72">
        <v>23.33</v>
      </c>
      <c r="E44" s="72">
        <v>20.92</v>
      </c>
      <c r="F44" s="72">
        <v>18.760000000000002</v>
      </c>
      <c r="G44" s="72">
        <v>16.84</v>
      </c>
      <c r="H44" s="72">
        <v>15.12</v>
      </c>
      <c r="I44" s="72">
        <v>13.6</v>
      </c>
      <c r="J44" s="72">
        <v>12.25</v>
      </c>
      <c r="K44" s="72">
        <v>11.04</v>
      </c>
      <c r="L44" s="72">
        <v>9.9700000000000006</v>
      </c>
      <c r="M44" s="72">
        <v>9.02</v>
      </c>
      <c r="N44" s="72">
        <v>8.18</v>
      </c>
      <c r="O44" s="72">
        <v>7.43</v>
      </c>
      <c r="P44" s="72">
        <v>6.76</v>
      </c>
      <c r="Q44" s="72">
        <v>6.16</v>
      </c>
      <c r="R44" s="72">
        <v>5.63</v>
      </c>
      <c r="S44" s="72">
        <v>5.15</v>
      </c>
      <c r="T44" s="72">
        <v>4.72</v>
      </c>
      <c r="U44" s="72">
        <v>4.33</v>
      </c>
      <c r="V44" s="72">
        <v>3.98</v>
      </c>
      <c r="W44" s="72">
        <v>3.67</v>
      </c>
      <c r="X44" s="72">
        <v>3.38</v>
      </c>
      <c r="Y44" s="72">
        <v>3.12</v>
      </c>
      <c r="Z44" s="72">
        <v>2.88</v>
      </c>
      <c r="AA44" s="72">
        <v>2.66</v>
      </c>
      <c r="AB44" s="72">
        <v>2.4700000000000002</v>
      </c>
      <c r="AC44" s="72">
        <v>2.2799999999999998</v>
      </c>
      <c r="AD44" s="72">
        <v>2.12</v>
      </c>
      <c r="AE44" s="72">
        <v>1.96</v>
      </c>
      <c r="AF44" s="72">
        <v>1.82</v>
      </c>
      <c r="AG44" s="72">
        <v>1.69</v>
      </c>
      <c r="AH44" s="72">
        <v>1.57</v>
      </c>
      <c r="AI44" s="72">
        <v>1.46</v>
      </c>
      <c r="AJ44" s="72">
        <v>1.36</v>
      </c>
      <c r="AK44" s="72">
        <v>1.26</v>
      </c>
      <c r="AL44" s="72">
        <v>1.17</v>
      </c>
      <c r="AM44" s="72">
        <v>1.0900000000000001</v>
      </c>
      <c r="AN44" s="72">
        <v>1.01</v>
      </c>
      <c r="AO44" s="72">
        <v>0.93</v>
      </c>
      <c r="AP44" s="72">
        <v>0.87</v>
      </c>
      <c r="AQ44" s="72">
        <v>0.8</v>
      </c>
      <c r="AR44" s="72">
        <v>0.74</v>
      </c>
      <c r="AS44" s="72">
        <v>0.69</v>
      </c>
      <c r="AT44" s="72">
        <v>0.64</v>
      </c>
      <c r="AU44" s="72">
        <v>0.59</v>
      </c>
    </row>
    <row r="45" spans="1:47" x14ac:dyDescent="0.25">
      <c r="A45" s="71">
        <v>40</v>
      </c>
      <c r="B45" s="72">
        <v>30</v>
      </c>
      <c r="C45" s="72">
        <v>28.33</v>
      </c>
      <c r="D45" s="72">
        <v>25.41</v>
      </c>
      <c r="E45" s="72">
        <v>22.77</v>
      </c>
      <c r="F45" s="72">
        <v>20.41</v>
      </c>
      <c r="G45" s="72">
        <v>18.29</v>
      </c>
      <c r="H45" s="72">
        <v>16.41</v>
      </c>
      <c r="I45" s="72">
        <v>14.73</v>
      </c>
      <c r="J45" s="72">
        <v>13.24</v>
      </c>
      <c r="K45" s="72">
        <v>11.92</v>
      </c>
      <c r="L45" s="72">
        <v>10.74</v>
      </c>
      <c r="M45" s="72">
        <v>9.69</v>
      </c>
      <c r="N45" s="72">
        <v>8.77</v>
      </c>
      <c r="O45" s="72">
        <v>7.94</v>
      </c>
      <c r="P45" s="72">
        <v>7.21</v>
      </c>
      <c r="Q45" s="72">
        <v>6.55</v>
      </c>
      <c r="R45" s="72">
        <v>5.97</v>
      </c>
      <c r="S45" s="72">
        <v>5.45</v>
      </c>
      <c r="T45" s="72">
        <v>4.9800000000000004</v>
      </c>
      <c r="U45" s="72">
        <v>4.57</v>
      </c>
      <c r="V45" s="72">
        <v>4.1900000000000004</v>
      </c>
      <c r="W45" s="72">
        <v>3.85</v>
      </c>
      <c r="X45" s="72">
        <v>3.54</v>
      </c>
      <c r="Y45" s="72">
        <v>3.26</v>
      </c>
      <c r="Z45" s="72">
        <v>3.01</v>
      </c>
      <c r="AA45" s="72">
        <v>2.78</v>
      </c>
      <c r="AB45" s="72">
        <v>2.57</v>
      </c>
      <c r="AC45" s="72">
        <v>2.37</v>
      </c>
      <c r="AD45" s="72">
        <v>2.2000000000000002</v>
      </c>
      <c r="AE45" s="72">
        <v>2.04</v>
      </c>
      <c r="AF45" s="72">
        <v>1.89</v>
      </c>
      <c r="AG45" s="72">
        <v>1.75</v>
      </c>
      <c r="AH45" s="72">
        <v>1.62</v>
      </c>
      <c r="AI45" s="72">
        <v>1.5</v>
      </c>
      <c r="AJ45" s="72">
        <v>1.4</v>
      </c>
      <c r="AK45" s="72">
        <v>1.3</v>
      </c>
      <c r="AL45" s="72">
        <v>1.2</v>
      </c>
      <c r="AM45" s="72">
        <v>1.1200000000000001</v>
      </c>
      <c r="AN45" s="72">
        <v>1.03</v>
      </c>
      <c r="AO45" s="72">
        <v>0.96</v>
      </c>
      <c r="AP45" s="72">
        <v>0.89</v>
      </c>
      <c r="AQ45" s="72">
        <v>0.82</v>
      </c>
      <c r="AR45" s="72">
        <v>0.76</v>
      </c>
      <c r="AS45" s="72">
        <v>0.7</v>
      </c>
      <c r="AT45" s="72">
        <v>0.65</v>
      </c>
      <c r="AU45" s="72">
        <v>0.6</v>
      </c>
    </row>
    <row r="46" spans="1:47" x14ac:dyDescent="0.25">
      <c r="A46" s="71">
        <v>41</v>
      </c>
      <c r="B46" s="72">
        <v>30</v>
      </c>
      <c r="C46" s="72">
        <v>29.77</v>
      </c>
      <c r="D46" s="72">
        <v>27.68</v>
      </c>
      <c r="E46" s="72">
        <v>24.81</v>
      </c>
      <c r="F46" s="72">
        <v>22.22</v>
      </c>
      <c r="G46" s="72">
        <v>19.91</v>
      </c>
      <c r="H46" s="72">
        <v>17.84</v>
      </c>
      <c r="I46" s="72">
        <v>15.99</v>
      </c>
      <c r="J46" s="72">
        <v>14.35</v>
      </c>
      <c r="K46" s="72">
        <v>12.89</v>
      </c>
      <c r="L46" s="72">
        <v>11.59</v>
      </c>
      <c r="M46" s="72">
        <v>10.44</v>
      </c>
      <c r="N46" s="72">
        <v>9.42</v>
      </c>
      <c r="O46" s="72">
        <v>8.51</v>
      </c>
      <c r="P46" s="72">
        <v>7.71</v>
      </c>
      <c r="Q46" s="72">
        <v>6.99</v>
      </c>
      <c r="R46" s="72">
        <v>6.36</v>
      </c>
      <c r="S46" s="72">
        <v>5.79</v>
      </c>
      <c r="T46" s="72">
        <v>5.28</v>
      </c>
      <c r="U46" s="72">
        <v>4.83</v>
      </c>
      <c r="V46" s="72">
        <v>4.42</v>
      </c>
      <c r="W46" s="72">
        <v>4.05</v>
      </c>
      <c r="X46" s="72">
        <v>3.72</v>
      </c>
      <c r="Y46" s="72">
        <v>3.42</v>
      </c>
      <c r="Z46" s="72">
        <v>3.15</v>
      </c>
      <c r="AA46" s="72">
        <v>2.9</v>
      </c>
      <c r="AB46" s="72">
        <v>2.68</v>
      </c>
      <c r="AC46" s="72">
        <v>2.4700000000000002</v>
      </c>
      <c r="AD46" s="72">
        <v>2.2799999999999998</v>
      </c>
      <c r="AE46" s="72">
        <v>2.11</v>
      </c>
      <c r="AF46" s="72">
        <v>1.95</v>
      </c>
      <c r="AG46" s="72">
        <v>1.81</v>
      </c>
      <c r="AH46" s="72">
        <v>1.68</v>
      </c>
      <c r="AI46" s="72">
        <v>1.55</v>
      </c>
      <c r="AJ46" s="72">
        <v>1.44</v>
      </c>
      <c r="AK46" s="72">
        <v>1.34</v>
      </c>
      <c r="AL46" s="72">
        <v>1.24</v>
      </c>
      <c r="AM46" s="72">
        <v>1.1499999999999999</v>
      </c>
      <c r="AN46" s="72">
        <v>1.06</v>
      </c>
      <c r="AO46" s="72">
        <v>0.98</v>
      </c>
      <c r="AP46" s="72">
        <v>0.91</v>
      </c>
      <c r="AQ46" s="72">
        <v>0.84</v>
      </c>
      <c r="AR46" s="72">
        <v>0.78</v>
      </c>
      <c r="AS46" s="72">
        <v>0.72</v>
      </c>
      <c r="AT46" s="72">
        <v>0.66</v>
      </c>
      <c r="AU46" s="72">
        <v>0.61</v>
      </c>
    </row>
    <row r="47" spans="1:47" x14ac:dyDescent="0.25">
      <c r="A47" s="71">
        <v>42</v>
      </c>
      <c r="B47" s="72">
        <v>30</v>
      </c>
      <c r="C47" s="72">
        <v>30</v>
      </c>
      <c r="D47" s="72">
        <v>29.44</v>
      </c>
      <c r="E47" s="72">
        <v>27.04</v>
      </c>
      <c r="F47" s="72">
        <v>24.22</v>
      </c>
      <c r="G47" s="72">
        <v>21.68</v>
      </c>
      <c r="H47" s="72">
        <v>19.41</v>
      </c>
      <c r="I47" s="72">
        <v>17.39</v>
      </c>
      <c r="J47" s="72">
        <v>15.58</v>
      </c>
      <c r="K47" s="72">
        <v>13.97</v>
      </c>
      <c r="L47" s="72">
        <v>12.54</v>
      </c>
      <c r="M47" s="72">
        <v>11.27</v>
      </c>
      <c r="N47" s="72">
        <v>10.15</v>
      </c>
      <c r="O47" s="72">
        <v>9.15</v>
      </c>
      <c r="P47" s="72">
        <v>8.27</v>
      </c>
      <c r="Q47" s="72">
        <v>7.48</v>
      </c>
      <c r="R47" s="72">
        <v>6.78</v>
      </c>
      <c r="S47" s="72">
        <v>6.16</v>
      </c>
      <c r="T47" s="72">
        <v>5.61</v>
      </c>
      <c r="U47" s="72">
        <v>5.1100000000000003</v>
      </c>
      <c r="V47" s="72">
        <v>4.67</v>
      </c>
      <c r="W47" s="72">
        <v>4.2699999999999996</v>
      </c>
      <c r="X47" s="72">
        <v>3.91</v>
      </c>
      <c r="Y47" s="72">
        <v>3.59</v>
      </c>
      <c r="Z47" s="72">
        <v>3.3</v>
      </c>
      <c r="AA47" s="72">
        <v>3.03</v>
      </c>
      <c r="AB47" s="72">
        <v>2.79</v>
      </c>
      <c r="AC47" s="72">
        <v>2.58</v>
      </c>
      <c r="AD47" s="72">
        <v>2.38</v>
      </c>
      <c r="AE47" s="72">
        <v>2.2000000000000002</v>
      </c>
      <c r="AF47" s="72">
        <v>2.0299999999999998</v>
      </c>
      <c r="AG47" s="72">
        <v>1.88</v>
      </c>
      <c r="AH47" s="72">
        <v>1.74</v>
      </c>
      <c r="AI47" s="72">
        <v>1.61</v>
      </c>
      <c r="AJ47" s="72">
        <v>1.49</v>
      </c>
      <c r="AK47" s="72">
        <v>1.38</v>
      </c>
      <c r="AL47" s="72">
        <v>1.27</v>
      </c>
      <c r="AM47" s="72">
        <v>1.18</v>
      </c>
      <c r="AN47" s="72">
        <v>1.0900000000000001</v>
      </c>
      <c r="AO47" s="72">
        <v>1.01</v>
      </c>
      <c r="AP47" s="72">
        <v>0.93</v>
      </c>
      <c r="AQ47" s="72">
        <v>0.86</v>
      </c>
      <c r="AR47" s="72">
        <v>0.8</v>
      </c>
      <c r="AS47" s="72">
        <v>0.74</v>
      </c>
      <c r="AT47" s="72">
        <v>0.68</v>
      </c>
      <c r="AU47" s="72">
        <v>0.63</v>
      </c>
    </row>
    <row r="48" spans="1:47" x14ac:dyDescent="0.25">
      <c r="A48" s="71">
        <v>43</v>
      </c>
      <c r="B48" s="72">
        <v>30</v>
      </c>
      <c r="C48" s="72">
        <v>30</v>
      </c>
      <c r="D48" s="72">
        <v>30</v>
      </c>
      <c r="E48" s="72">
        <v>29.11</v>
      </c>
      <c r="F48" s="72">
        <v>26.41</v>
      </c>
      <c r="G48" s="72">
        <v>23.64</v>
      </c>
      <c r="H48" s="72">
        <v>21.16</v>
      </c>
      <c r="I48" s="72">
        <v>18.93</v>
      </c>
      <c r="J48" s="72">
        <v>16.940000000000001</v>
      </c>
      <c r="K48" s="72">
        <v>15.17</v>
      </c>
      <c r="L48" s="72">
        <v>13.6</v>
      </c>
      <c r="M48" s="72">
        <v>12.2</v>
      </c>
      <c r="N48" s="72">
        <v>10.96</v>
      </c>
      <c r="O48" s="72">
        <v>9.86</v>
      </c>
      <c r="P48" s="72">
        <v>8.89</v>
      </c>
      <c r="Q48" s="72">
        <v>8.02</v>
      </c>
      <c r="R48" s="72">
        <v>7.26</v>
      </c>
      <c r="S48" s="72">
        <v>6.58</v>
      </c>
      <c r="T48" s="72">
        <v>5.97</v>
      </c>
      <c r="U48" s="72">
        <v>5.43</v>
      </c>
      <c r="V48" s="72">
        <v>4.95</v>
      </c>
      <c r="W48" s="72">
        <v>4.5199999999999996</v>
      </c>
      <c r="X48" s="72">
        <v>4.13</v>
      </c>
      <c r="Y48" s="72">
        <v>3.78</v>
      </c>
      <c r="Z48" s="72">
        <v>3.47</v>
      </c>
      <c r="AA48" s="72">
        <v>3.18</v>
      </c>
      <c r="AB48" s="72">
        <v>2.92</v>
      </c>
      <c r="AC48" s="72">
        <v>2.69</v>
      </c>
      <c r="AD48" s="72">
        <v>2.48</v>
      </c>
      <c r="AE48" s="72">
        <v>2.29</v>
      </c>
      <c r="AF48" s="72">
        <v>2.11</v>
      </c>
      <c r="AG48" s="72">
        <v>1.95</v>
      </c>
      <c r="AH48" s="72">
        <v>1.8</v>
      </c>
      <c r="AI48" s="72">
        <v>1.66</v>
      </c>
      <c r="AJ48" s="72">
        <v>1.54</v>
      </c>
      <c r="AK48" s="72">
        <v>1.42</v>
      </c>
      <c r="AL48" s="72">
        <v>1.32</v>
      </c>
      <c r="AM48" s="72">
        <v>1.22</v>
      </c>
      <c r="AN48" s="72">
        <v>1.1200000000000001</v>
      </c>
      <c r="AO48" s="72">
        <v>1.04</v>
      </c>
      <c r="AP48" s="72">
        <v>0.96</v>
      </c>
      <c r="AQ48" s="72">
        <v>0.89</v>
      </c>
      <c r="AR48" s="72">
        <v>0.82</v>
      </c>
      <c r="AS48" s="72">
        <v>0.76</v>
      </c>
      <c r="AT48" s="72">
        <v>0.7</v>
      </c>
      <c r="AU48" s="72">
        <v>0.64</v>
      </c>
    </row>
    <row r="49" spans="1:47" x14ac:dyDescent="0.25">
      <c r="A49" s="71">
        <v>44</v>
      </c>
      <c r="B49" s="72">
        <v>30</v>
      </c>
      <c r="C49" s="72">
        <v>30</v>
      </c>
      <c r="D49" s="72">
        <v>30</v>
      </c>
      <c r="E49" s="72">
        <v>30</v>
      </c>
      <c r="F49" s="72">
        <v>28.78</v>
      </c>
      <c r="G49" s="72">
        <v>25.8</v>
      </c>
      <c r="H49" s="72">
        <v>23.08</v>
      </c>
      <c r="I49" s="72">
        <v>20.64</v>
      </c>
      <c r="J49" s="72">
        <v>18.45</v>
      </c>
      <c r="K49" s="72">
        <v>16.510000000000002</v>
      </c>
      <c r="L49" s="72">
        <v>14.77</v>
      </c>
      <c r="M49" s="72">
        <v>13.23</v>
      </c>
      <c r="N49" s="72">
        <v>11.86</v>
      </c>
      <c r="O49" s="72">
        <v>10.65</v>
      </c>
      <c r="P49" s="72">
        <v>9.58</v>
      </c>
      <c r="Q49" s="72">
        <v>8.6300000000000008</v>
      </c>
      <c r="R49" s="72">
        <v>7.78</v>
      </c>
      <c r="S49" s="72">
        <v>7.04</v>
      </c>
      <c r="T49" s="72">
        <v>6.37</v>
      </c>
      <c r="U49" s="72">
        <v>5.78</v>
      </c>
      <c r="V49" s="72">
        <v>5.26</v>
      </c>
      <c r="W49" s="72">
        <v>4.79</v>
      </c>
      <c r="X49" s="72">
        <v>4.3600000000000003</v>
      </c>
      <c r="Y49" s="72">
        <v>3.99</v>
      </c>
      <c r="Z49" s="72">
        <v>3.65</v>
      </c>
      <c r="AA49" s="72">
        <v>3.34</v>
      </c>
      <c r="AB49" s="72">
        <v>3.07</v>
      </c>
      <c r="AC49" s="72">
        <v>2.82</v>
      </c>
      <c r="AD49" s="72">
        <v>2.59</v>
      </c>
      <c r="AE49" s="72">
        <v>2.38</v>
      </c>
      <c r="AF49" s="72">
        <v>2.2000000000000002</v>
      </c>
      <c r="AG49" s="72">
        <v>2.02</v>
      </c>
      <c r="AH49" s="72">
        <v>1.87</v>
      </c>
      <c r="AI49" s="72">
        <v>1.72</v>
      </c>
      <c r="AJ49" s="72">
        <v>1.59</v>
      </c>
      <c r="AK49" s="72">
        <v>1.47</v>
      </c>
      <c r="AL49" s="72">
        <v>1.36</v>
      </c>
      <c r="AM49" s="72">
        <v>1.26</v>
      </c>
      <c r="AN49" s="72">
        <v>1.1599999999999999</v>
      </c>
      <c r="AO49" s="72">
        <v>1.07</v>
      </c>
      <c r="AP49" s="72">
        <v>0.99</v>
      </c>
      <c r="AQ49" s="72">
        <v>0.91</v>
      </c>
      <c r="AR49" s="72">
        <v>0.84</v>
      </c>
      <c r="AS49" s="72">
        <v>0.78</v>
      </c>
      <c r="AT49" s="72">
        <v>0.71</v>
      </c>
      <c r="AU49" s="72">
        <v>0.66</v>
      </c>
    </row>
    <row r="50" spans="1:47" x14ac:dyDescent="0.25">
      <c r="A50" s="71">
        <v>45</v>
      </c>
      <c r="B50" s="72">
        <v>30</v>
      </c>
      <c r="C50" s="72">
        <v>30</v>
      </c>
      <c r="D50" s="72">
        <v>30</v>
      </c>
      <c r="E50" s="72">
        <v>30</v>
      </c>
      <c r="F50" s="72">
        <v>30</v>
      </c>
      <c r="G50" s="72">
        <v>28.16</v>
      </c>
      <c r="H50" s="72">
        <v>25.19</v>
      </c>
      <c r="I50" s="72">
        <v>22.52</v>
      </c>
      <c r="J50" s="72">
        <v>20.13</v>
      </c>
      <c r="K50" s="72">
        <v>17.98</v>
      </c>
      <c r="L50" s="72">
        <v>16.079999999999998</v>
      </c>
      <c r="M50" s="72">
        <v>14.38</v>
      </c>
      <c r="N50" s="72">
        <v>12.87</v>
      </c>
      <c r="O50" s="72">
        <v>11.53</v>
      </c>
      <c r="P50" s="72">
        <v>10.35</v>
      </c>
      <c r="Q50" s="72">
        <v>9.3000000000000007</v>
      </c>
      <c r="R50" s="72">
        <v>8.3699999999999992</v>
      </c>
      <c r="S50" s="72">
        <v>7.55</v>
      </c>
      <c r="T50" s="72">
        <v>6.82</v>
      </c>
      <c r="U50" s="72">
        <v>6.17</v>
      </c>
      <c r="V50" s="72">
        <v>5.6</v>
      </c>
      <c r="W50" s="72">
        <v>5.08</v>
      </c>
      <c r="X50" s="72">
        <v>4.63</v>
      </c>
      <c r="Y50" s="72">
        <v>4.22</v>
      </c>
      <c r="Z50" s="72">
        <v>3.85</v>
      </c>
      <c r="AA50" s="72">
        <v>3.52</v>
      </c>
      <c r="AB50" s="72">
        <v>3.22</v>
      </c>
      <c r="AC50" s="72">
        <v>2.95</v>
      </c>
      <c r="AD50" s="72">
        <v>2.71</v>
      </c>
      <c r="AE50" s="72">
        <v>2.4900000000000002</v>
      </c>
      <c r="AF50" s="72">
        <v>2.29</v>
      </c>
      <c r="AG50" s="72">
        <v>2.11</v>
      </c>
      <c r="AH50" s="72">
        <v>1.94</v>
      </c>
      <c r="AI50" s="72">
        <v>1.79</v>
      </c>
      <c r="AJ50" s="72">
        <v>1.65</v>
      </c>
      <c r="AK50" s="72">
        <v>1.52</v>
      </c>
      <c r="AL50" s="72">
        <v>1.41</v>
      </c>
      <c r="AM50" s="72">
        <v>1.3</v>
      </c>
      <c r="AN50" s="72">
        <v>1.2</v>
      </c>
      <c r="AO50" s="72">
        <v>1.1000000000000001</v>
      </c>
      <c r="AP50" s="72">
        <v>1.02</v>
      </c>
      <c r="AQ50" s="72">
        <v>0.94</v>
      </c>
      <c r="AR50" s="72">
        <v>0.86</v>
      </c>
      <c r="AS50" s="72">
        <v>0.8</v>
      </c>
      <c r="AT50" s="72">
        <v>0.73</v>
      </c>
      <c r="AU50" s="72">
        <v>0.67</v>
      </c>
    </row>
    <row r="51" spans="1:47" x14ac:dyDescent="0.25">
      <c r="A51" s="71">
        <v>46</v>
      </c>
      <c r="B51" s="72">
        <v>30</v>
      </c>
      <c r="C51" s="72">
        <v>30</v>
      </c>
      <c r="D51" s="72">
        <v>30</v>
      </c>
      <c r="E51" s="72">
        <v>30</v>
      </c>
      <c r="F51" s="72">
        <v>30</v>
      </c>
      <c r="G51" s="72">
        <v>29.7</v>
      </c>
      <c r="H51" s="72">
        <v>27.52</v>
      </c>
      <c r="I51" s="72">
        <v>24.6</v>
      </c>
      <c r="J51" s="72">
        <v>21.97</v>
      </c>
      <c r="K51" s="72">
        <v>19.62</v>
      </c>
      <c r="L51" s="72">
        <v>17.52</v>
      </c>
      <c r="M51" s="72">
        <v>15.65</v>
      </c>
      <c r="N51" s="72">
        <v>13.99</v>
      </c>
      <c r="O51" s="72">
        <v>12.51</v>
      </c>
      <c r="P51" s="72">
        <v>11.21</v>
      </c>
      <c r="Q51" s="72">
        <v>10.050000000000001</v>
      </c>
      <c r="R51" s="72">
        <v>9.0299999999999994</v>
      </c>
      <c r="S51" s="72">
        <v>8.1199999999999992</v>
      </c>
      <c r="T51" s="72">
        <v>7.32</v>
      </c>
      <c r="U51" s="72">
        <v>6.61</v>
      </c>
      <c r="V51" s="72">
        <v>5.98</v>
      </c>
      <c r="W51" s="72">
        <v>5.42</v>
      </c>
      <c r="X51" s="72">
        <v>4.92</v>
      </c>
      <c r="Y51" s="72">
        <v>4.47</v>
      </c>
      <c r="Z51" s="72">
        <v>4.07</v>
      </c>
      <c r="AA51" s="72">
        <v>3.71</v>
      </c>
      <c r="AB51" s="72">
        <v>3.39</v>
      </c>
      <c r="AC51" s="72">
        <v>3.1</v>
      </c>
      <c r="AD51" s="72">
        <v>2.84</v>
      </c>
      <c r="AE51" s="72">
        <v>2.61</v>
      </c>
      <c r="AF51" s="72">
        <v>2.39</v>
      </c>
      <c r="AG51" s="72">
        <v>2.2000000000000002</v>
      </c>
      <c r="AH51" s="72">
        <v>2.02</v>
      </c>
      <c r="AI51" s="72">
        <v>1.86</v>
      </c>
      <c r="AJ51" s="72">
        <v>1.71</v>
      </c>
      <c r="AK51" s="72">
        <v>1.58</v>
      </c>
      <c r="AL51" s="72">
        <v>1.45</v>
      </c>
      <c r="AM51" s="72">
        <v>1.34</v>
      </c>
      <c r="AN51" s="72">
        <v>1.24</v>
      </c>
      <c r="AO51" s="72">
        <v>1.1399999999999999</v>
      </c>
      <c r="AP51" s="72">
        <v>1.05</v>
      </c>
      <c r="AQ51" s="72">
        <v>0.97</v>
      </c>
      <c r="AR51" s="72">
        <v>0.89</v>
      </c>
      <c r="AS51" s="72">
        <v>0.82</v>
      </c>
      <c r="AT51" s="72">
        <v>0.75</v>
      </c>
      <c r="AU51" s="72">
        <v>0.69</v>
      </c>
    </row>
    <row r="52" spans="1:47" x14ac:dyDescent="0.25">
      <c r="A52" s="71">
        <v>47</v>
      </c>
      <c r="B52" s="72">
        <v>30</v>
      </c>
      <c r="C52" s="72">
        <v>30</v>
      </c>
      <c r="D52" s="72">
        <v>30</v>
      </c>
      <c r="E52" s="72">
        <v>30</v>
      </c>
      <c r="F52" s="72">
        <v>30</v>
      </c>
      <c r="G52" s="72">
        <v>30</v>
      </c>
      <c r="H52" s="72">
        <v>29.37</v>
      </c>
      <c r="I52" s="72">
        <v>26.88</v>
      </c>
      <c r="J52" s="72">
        <v>24.01</v>
      </c>
      <c r="K52" s="72">
        <v>21.43</v>
      </c>
      <c r="L52" s="72">
        <v>19.13</v>
      </c>
      <c r="M52" s="72">
        <v>17.07</v>
      </c>
      <c r="N52" s="72">
        <v>15.23</v>
      </c>
      <c r="O52" s="72">
        <v>13.61</v>
      </c>
      <c r="P52" s="72">
        <v>12.16</v>
      </c>
      <c r="Q52" s="72">
        <v>10.89</v>
      </c>
      <c r="R52" s="72">
        <v>9.76</v>
      </c>
      <c r="S52" s="72">
        <v>8.76</v>
      </c>
      <c r="T52" s="72">
        <v>7.88</v>
      </c>
      <c r="U52" s="72">
        <v>7.09</v>
      </c>
      <c r="V52" s="72">
        <v>6.4</v>
      </c>
      <c r="W52" s="72">
        <v>5.78</v>
      </c>
      <c r="X52" s="72">
        <v>5.24</v>
      </c>
      <c r="Y52" s="72">
        <v>4.75</v>
      </c>
      <c r="Z52" s="72">
        <v>4.32</v>
      </c>
      <c r="AA52" s="72">
        <v>3.93</v>
      </c>
      <c r="AB52" s="72">
        <v>3.58</v>
      </c>
      <c r="AC52" s="72">
        <v>3.27</v>
      </c>
      <c r="AD52" s="72">
        <v>2.99</v>
      </c>
      <c r="AE52" s="72">
        <v>2.73</v>
      </c>
      <c r="AF52" s="72">
        <v>2.5</v>
      </c>
      <c r="AG52" s="72">
        <v>2.2999999999999998</v>
      </c>
      <c r="AH52" s="72">
        <v>2.11</v>
      </c>
      <c r="AI52" s="72">
        <v>1.94</v>
      </c>
      <c r="AJ52" s="72">
        <v>1.78</v>
      </c>
      <c r="AK52" s="72">
        <v>1.64</v>
      </c>
      <c r="AL52" s="72">
        <v>1.51</v>
      </c>
      <c r="AM52" s="72">
        <v>1.39</v>
      </c>
      <c r="AN52" s="72">
        <v>1.28</v>
      </c>
      <c r="AO52" s="72">
        <v>1.18</v>
      </c>
      <c r="AP52" s="72">
        <v>1.08</v>
      </c>
      <c r="AQ52" s="72">
        <v>1</v>
      </c>
      <c r="AR52" s="72">
        <v>0.92</v>
      </c>
      <c r="AS52" s="72">
        <v>0.84</v>
      </c>
      <c r="AT52" s="72">
        <v>0.77</v>
      </c>
      <c r="AU52" s="72">
        <v>0.71</v>
      </c>
    </row>
    <row r="53" spans="1:47" x14ac:dyDescent="0.25">
      <c r="A53" s="71">
        <v>48</v>
      </c>
      <c r="B53" s="72">
        <v>30</v>
      </c>
      <c r="C53" s="72">
        <v>30</v>
      </c>
      <c r="D53" s="72">
        <v>30</v>
      </c>
      <c r="E53" s="72">
        <v>30</v>
      </c>
      <c r="F53" s="72">
        <v>30</v>
      </c>
      <c r="G53" s="72">
        <v>30</v>
      </c>
      <c r="H53" s="72">
        <v>30</v>
      </c>
      <c r="I53" s="72">
        <v>29.04</v>
      </c>
      <c r="J53" s="72">
        <v>26.26</v>
      </c>
      <c r="K53" s="72">
        <v>23.43</v>
      </c>
      <c r="L53" s="72">
        <v>20.9</v>
      </c>
      <c r="M53" s="72">
        <v>18.64</v>
      </c>
      <c r="N53" s="72">
        <v>16.62</v>
      </c>
      <c r="O53" s="72">
        <v>14.82</v>
      </c>
      <c r="P53" s="72">
        <v>13.23</v>
      </c>
      <c r="Q53" s="72">
        <v>11.82</v>
      </c>
      <c r="R53" s="72">
        <v>10.57</v>
      </c>
      <c r="S53" s="72">
        <v>9.4700000000000006</v>
      </c>
      <c r="T53" s="72">
        <v>8.5</v>
      </c>
      <c r="U53" s="72">
        <v>7.63</v>
      </c>
      <c r="V53" s="72">
        <v>6.87</v>
      </c>
      <c r="W53" s="72">
        <v>6.19</v>
      </c>
      <c r="X53" s="72">
        <v>5.59</v>
      </c>
      <c r="Y53" s="72">
        <v>5.0599999999999996</v>
      </c>
      <c r="Z53" s="72">
        <v>4.59</v>
      </c>
      <c r="AA53" s="72">
        <v>4.16</v>
      </c>
      <c r="AB53" s="72">
        <v>3.79</v>
      </c>
      <c r="AC53" s="72">
        <v>3.45</v>
      </c>
      <c r="AD53" s="72">
        <v>3.15</v>
      </c>
      <c r="AE53" s="72">
        <v>2.87</v>
      </c>
      <c r="AF53" s="72">
        <v>2.63</v>
      </c>
      <c r="AG53" s="72">
        <v>2.41</v>
      </c>
      <c r="AH53" s="72">
        <v>2.2000000000000002</v>
      </c>
      <c r="AI53" s="72">
        <v>2.02</v>
      </c>
      <c r="AJ53" s="72">
        <v>1.86</v>
      </c>
      <c r="AK53" s="72">
        <v>1.71</v>
      </c>
      <c r="AL53" s="72">
        <v>1.57</v>
      </c>
      <c r="AM53" s="72">
        <v>1.44</v>
      </c>
      <c r="AN53" s="72">
        <v>1.32</v>
      </c>
      <c r="AO53" s="72">
        <v>1.22</v>
      </c>
      <c r="AP53" s="72">
        <v>1.1200000000000001</v>
      </c>
      <c r="AQ53" s="72">
        <v>1.03</v>
      </c>
      <c r="AR53" s="72">
        <v>0.94</v>
      </c>
      <c r="AS53" s="72">
        <v>0.87</v>
      </c>
      <c r="AT53" s="72">
        <v>0.8</v>
      </c>
      <c r="AU53" s="72">
        <v>0.73</v>
      </c>
    </row>
    <row r="54" spans="1:47" x14ac:dyDescent="0.25">
      <c r="A54" s="71">
        <v>49</v>
      </c>
      <c r="B54" s="72">
        <v>30</v>
      </c>
      <c r="C54" s="72">
        <v>30</v>
      </c>
      <c r="D54" s="72">
        <v>30</v>
      </c>
      <c r="E54" s="72">
        <v>30</v>
      </c>
      <c r="F54" s="72">
        <v>30</v>
      </c>
      <c r="G54" s="72">
        <v>30</v>
      </c>
      <c r="H54" s="72">
        <v>30</v>
      </c>
      <c r="I54" s="72">
        <v>30</v>
      </c>
      <c r="J54" s="72">
        <v>28.72</v>
      </c>
      <c r="K54" s="72">
        <v>25.64</v>
      </c>
      <c r="L54" s="72">
        <v>22.86</v>
      </c>
      <c r="M54" s="72">
        <v>20.38</v>
      </c>
      <c r="N54" s="72">
        <v>18.16</v>
      </c>
      <c r="O54" s="72">
        <v>16.18</v>
      </c>
      <c r="P54" s="72">
        <v>14.42</v>
      </c>
      <c r="Q54" s="72">
        <v>12.86</v>
      </c>
      <c r="R54" s="72">
        <v>11.48</v>
      </c>
      <c r="S54" s="72">
        <v>10.27</v>
      </c>
      <c r="T54" s="72">
        <v>9.19</v>
      </c>
      <c r="U54" s="72">
        <v>8.24</v>
      </c>
      <c r="V54" s="72">
        <v>7.4</v>
      </c>
      <c r="W54" s="72">
        <v>6.65</v>
      </c>
      <c r="X54" s="72">
        <v>5.99</v>
      </c>
      <c r="Y54" s="72">
        <v>5.41</v>
      </c>
      <c r="Z54" s="72">
        <v>4.8899999999999997</v>
      </c>
      <c r="AA54" s="72">
        <v>4.43</v>
      </c>
      <c r="AB54" s="72">
        <v>4.0199999999999996</v>
      </c>
      <c r="AC54" s="72">
        <v>3.65</v>
      </c>
      <c r="AD54" s="72">
        <v>3.32</v>
      </c>
      <c r="AE54" s="72">
        <v>3.03</v>
      </c>
      <c r="AF54" s="72">
        <v>2.76</v>
      </c>
      <c r="AG54" s="72">
        <v>2.52</v>
      </c>
      <c r="AH54" s="72">
        <v>2.31</v>
      </c>
      <c r="AI54" s="72">
        <v>2.11</v>
      </c>
      <c r="AJ54" s="72">
        <v>1.94</v>
      </c>
      <c r="AK54" s="72">
        <v>1.78</v>
      </c>
      <c r="AL54" s="72">
        <v>1.63</v>
      </c>
      <c r="AM54" s="72">
        <v>1.5</v>
      </c>
      <c r="AN54" s="72">
        <v>1.37</v>
      </c>
      <c r="AO54" s="72">
        <v>1.26</v>
      </c>
      <c r="AP54" s="72">
        <v>1.1599999999999999</v>
      </c>
      <c r="AQ54" s="72">
        <v>1.06</v>
      </c>
      <c r="AR54" s="72">
        <v>0.97</v>
      </c>
      <c r="AS54" s="72">
        <v>0.89</v>
      </c>
      <c r="AT54" s="72">
        <v>0.82</v>
      </c>
      <c r="AU54" s="72">
        <v>0.75</v>
      </c>
    </row>
    <row r="55" spans="1:47" x14ac:dyDescent="0.25">
      <c r="A55" s="71">
        <v>50</v>
      </c>
      <c r="B55" s="72">
        <v>30</v>
      </c>
      <c r="C55" s="72">
        <v>30</v>
      </c>
      <c r="D55" s="72">
        <v>30</v>
      </c>
      <c r="E55" s="72">
        <v>30</v>
      </c>
      <c r="F55" s="72">
        <v>30</v>
      </c>
      <c r="G55" s="72">
        <v>30</v>
      </c>
      <c r="H55" s="72">
        <v>30</v>
      </c>
      <c r="I55" s="72">
        <v>30</v>
      </c>
      <c r="J55" s="72">
        <v>30</v>
      </c>
      <c r="K55" s="72">
        <v>28.07</v>
      </c>
      <c r="L55" s="72">
        <v>25.03</v>
      </c>
      <c r="M55" s="72">
        <v>22.3</v>
      </c>
      <c r="N55" s="72">
        <v>19.86</v>
      </c>
      <c r="O55" s="72">
        <v>17.68</v>
      </c>
      <c r="P55" s="72">
        <v>15.74</v>
      </c>
      <c r="Q55" s="72">
        <v>14.02</v>
      </c>
      <c r="R55" s="72">
        <v>12.5</v>
      </c>
      <c r="S55" s="72">
        <v>11.15</v>
      </c>
      <c r="T55" s="72">
        <v>9.9600000000000009</v>
      </c>
      <c r="U55" s="72">
        <v>8.91</v>
      </c>
      <c r="V55" s="72">
        <v>7.98</v>
      </c>
      <c r="W55" s="72">
        <v>7.16</v>
      </c>
      <c r="X55" s="72">
        <v>6.44</v>
      </c>
      <c r="Y55" s="72">
        <v>5.79</v>
      </c>
      <c r="Z55" s="72">
        <v>5.23</v>
      </c>
      <c r="AA55" s="72">
        <v>4.72</v>
      </c>
      <c r="AB55" s="72">
        <v>4.2699999999999996</v>
      </c>
      <c r="AC55" s="72">
        <v>3.87</v>
      </c>
      <c r="AD55" s="72">
        <v>3.52</v>
      </c>
      <c r="AE55" s="72">
        <v>3.2</v>
      </c>
      <c r="AF55" s="72">
        <v>2.91</v>
      </c>
      <c r="AG55" s="72">
        <v>2.65</v>
      </c>
      <c r="AH55" s="72">
        <v>2.42</v>
      </c>
      <c r="AI55" s="72">
        <v>2.21</v>
      </c>
      <c r="AJ55" s="72">
        <v>2.0299999999999998</v>
      </c>
      <c r="AK55" s="72">
        <v>1.85</v>
      </c>
      <c r="AL55" s="72">
        <v>1.7</v>
      </c>
      <c r="AM55" s="72">
        <v>1.56</v>
      </c>
      <c r="AN55" s="72">
        <v>1.43</v>
      </c>
      <c r="AO55" s="72">
        <v>1.31</v>
      </c>
      <c r="AP55" s="72">
        <v>1.2</v>
      </c>
      <c r="AQ55" s="72">
        <v>1.1000000000000001</v>
      </c>
      <c r="AR55" s="72">
        <v>1.01</v>
      </c>
      <c r="AS55" s="72">
        <v>0.92</v>
      </c>
      <c r="AT55" s="72">
        <v>0.85</v>
      </c>
      <c r="AU55" s="72">
        <v>0.78</v>
      </c>
    </row>
    <row r="56" spans="1:47" x14ac:dyDescent="0.25">
      <c r="A56" s="71">
        <v>51</v>
      </c>
      <c r="B56" s="72">
        <v>30</v>
      </c>
      <c r="C56" s="72">
        <v>30</v>
      </c>
      <c r="D56" s="72">
        <v>30</v>
      </c>
      <c r="E56" s="72">
        <v>30</v>
      </c>
      <c r="F56" s="72">
        <v>30</v>
      </c>
      <c r="G56" s="72">
        <v>30</v>
      </c>
      <c r="H56" s="72">
        <v>30</v>
      </c>
      <c r="I56" s="72">
        <v>30</v>
      </c>
      <c r="J56" s="72">
        <v>30</v>
      </c>
      <c r="K56" s="72">
        <v>29.67</v>
      </c>
      <c r="L56" s="72">
        <v>27.42</v>
      </c>
      <c r="M56" s="72">
        <v>24.43</v>
      </c>
      <c r="N56" s="72">
        <v>21.75</v>
      </c>
      <c r="O56" s="72">
        <v>19.350000000000001</v>
      </c>
      <c r="P56" s="72">
        <v>17.22</v>
      </c>
      <c r="Q56" s="72">
        <v>15.32</v>
      </c>
      <c r="R56" s="72">
        <v>13.64</v>
      </c>
      <c r="S56" s="72">
        <v>12.15</v>
      </c>
      <c r="T56" s="72">
        <v>10.83</v>
      </c>
      <c r="U56" s="72">
        <v>9.67</v>
      </c>
      <c r="V56" s="72">
        <v>8.64</v>
      </c>
      <c r="W56" s="72">
        <v>7.73</v>
      </c>
      <c r="X56" s="72">
        <v>6.93</v>
      </c>
      <c r="Y56" s="72">
        <v>6.23</v>
      </c>
      <c r="Z56" s="72">
        <v>5.6</v>
      </c>
      <c r="AA56" s="72">
        <v>5.05</v>
      </c>
      <c r="AB56" s="72">
        <v>4.55</v>
      </c>
      <c r="AC56" s="72">
        <v>4.12</v>
      </c>
      <c r="AD56" s="72">
        <v>3.73</v>
      </c>
      <c r="AE56" s="72">
        <v>3.38</v>
      </c>
      <c r="AF56" s="72">
        <v>3.07</v>
      </c>
      <c r="AG56" s="72">
        <v>2.8</v>
      </c>
      <c r="AH56" s="72">
        <v>2.5499999999999998</v>
      </c>
      <c r="AI56" s="72">
        <v>2.3199999999999998</v>
      </c>
      <c r="AJ56" s="72">
        <v>2.12</v>
      </c>
      <c r="AK56" s="72">
        <v>1.94</v>
      </c>
      <c r="AL56" s="72">
        <v>1.77</v>
      </c>
      <c r="AM56" s="72">
        <v>1.62</v>
      </c>
      <c r="AN56" s="72">
        <v>1.48</v>
      </c>
      <c r="AO56" s="72">
        <v>1.36</v>
      </c>
      <c r="AP56" s="72">
        <v>1.24</v>
      </c>
      <c r="AQ56" s="72">
        <v>1.1399999999999999</v>
      </c>
      <c r="AR56" s="72">
        <v>1.04</v>
      </c>
      <c r="AS56" s="72">
        <v>0.95</v>
      </c>
      <c r="AT56" s="72">
        <v>0.87</v>
      </c>
      <c r="AU56" s="72">
        <v>0.8</v>
      </c>
    </row>
    <row r="57" spans="1:47" x14ac:dyDescent="0.25">
      <c r="A57" s="71">
        <v>52</v>
      </c>
      <c r="B57" s="72">
        <v>30</v>
      </c>
      <c r="C57" s="72">
        <v>30</v>
      </c>
      <c r="D57" s="72">
        <v>30</v>
      </c>
      <c r="E57" s="72">
        <v>30</v>
      </c>
      <c r="F57" s="72">
        <v>30</v>
      </c>
      <c r="G57" s="72">
        <v>30</v>
      </c>
      <c r="H57" s="72">
        <v>30</v>
      </c>
      <c r="I57" s="72">
        <v>30</v>
      </c>
      <c r="J57" s="72">
        <v>30</v>
      </c>
      <c r="K57" s="72">
        <v>30</v>
      </c>
      <c r="L57" s="72">
        <v>29.34</v>
      </c>
      <c r="M57" s="72">
        <v>26.78</v>
      </c>
      <c r="N57" s="72">
        <v>23.84</v>
      </c>
      <c r="O57" s="72">
        <v>21.21</v>
      </c>
      <c r="P57" s="72">
        <v>18.850000000000001</v>
      </c>
      <c r="Q57" s="72">
        <v>16.760000000000002</v>
      </c>
      <c r="R57" s="72">
        <v>14.9</v>
      </c>
      <c r="S57" s="72">
        <v>13.26</v>
      </c>
      <c r="T57" s="72">
        <v>11.8</v>
      </c>
      <c r="U57" s="72">
        <v>10.51</v>
      </c>
      <c r="V57" s="72">
        <v>9.3800000000000008</v>
      </c>
      <c r="W57" s="72">
        <v>8.3699999999999992</v>
      </c>
      <c r="X57" s="72">
        <v>7.49</v>
      </c>
      <c r="Y57" s="72">
        <v>6.71</v>
      </c>
      <c r="Z57" s="72">
        <v>6.02</v>
      </c>
      <c r="AA57" s="72">
        <v>5.41</v>
      </c>
      <c r="AB57" s="72">
        <v>4.87</v>
      </c>
      <c r="AC57" s="72">
        <v>4.3899999999999997</v>
      </c>
      <c r="AD57" s="72">
        <v>3.97</v>
      </c>
      <c r="AE57" s="72">
        <v>3.59</v>
      </c>
      <c r="AF57" s="72">
        <v>3.26</v>
      </c>
      <c r="AG57" s="72">
        <v>2.96</v>
      </c>
      <c r="AH57" s="72">
        <v>2.69</v>
      </c>
      <c r="AI57" s="72">
        <v>2.4500000000000002</v>
      </c>
      <c r="AJ57" s="72">
        <v>2.23</v>
      </c>
      <c r="AK57" s="72">
        <v>2.0299999999999998</v>
      </c>
      <c r="AL57" s="72">
        <v>1.85</v>
      </c>
      <c r="AM57" s="72">
        <v>1.69</v>
      </c>
      <c r="AN57" s="72">
        <v>1.55</v>
      </c>
      <c r="AO57" s="72">
        <v>1.41</v>
      </c>
      <c r="AP57" s="72">
        <v>1.29</v>
      </c>
      <c r="AQ57" s="72">
        <v>1.18</v>
      </c>
      <c r="AR57" s="72">
        <v>1.08</v>
      </c>
      <c r="AS57" s="72">
        <v>0.99</v>
      </c>
      <c r="AT57" s="72">
        <v>0.9</v>
      </c>
      <c r="AU57" s="72">
        <v>0.83</v>
      </c>
    </row>
    <row r="58" spans="1:47" x14ac:dyDescent="0.25">
      <c r="A58" s="71">
        <v>53</v>
      </c>
      <c r="B58" s="72">
        <v>30</v>
      </c>
      <c r="C58" s="72">
        <v>30</v>
      </c>
      <c r="D58" s="72">
        <v>30</v>
      </c>
      <c r="E58" s="72">
        <v>30</v>
      </c>
      <c r="F58" s="72">
        <v>30</v>
      </c>
      <c r="G58" s="72">
        <v>30</v>
      </c>
      <c r="H58" s="72">
        <v>30</v>
      </c>
      <c r="I58" s="72">
        <v>30</v>
      </c>
      <c r="J58" s="72">
        <v>30</v>
      </c>
      <c r="K58" s="72">
        <v>30</v>
      </c>
      <c r="L58" s="72">
        <v>30</v>
      </c>
      <c r="M58" s="72">
        <v>29.01</v>
      </c>
      <c r="N58" s="72">
        <v>26.16</v>
      </c>
      <c r="O58" s="72">
        <v>23.27</v>
      </c>
      <c r="P58" s="72">
        <v>20.67</v>
      </c>
      <c r="Q58" s="72">
        <v>18.37</v>
      </c>
      <c r="R58" s="72">
        <v>16.309999999999999</v>
      </c>
      <c r="S58" s="72">
        <v>14.49</v>
      </c>
      <c r="T58" s="72">
        <v>12.88</v>
      </c>
      <c r="U58" s="72">
        <v>11.46</v>
      </c>
      <c r="V58" s="72">
        <v>10.199999999999999</v>
      </c>
      <c r="W58" s="72">
        <v>9.09</v>
      </c>
      <c r="X58" s="72">
        <v>8.11</v>
      </c>
      <c r="Y58" s="72">
        <v>7.25</v>
      </c>
      <c r="Z58" s="72">
        <v>6.49</v>
      </c>
      <c r="AA58" s="72">
        <v>5.81</v>
      </c>
      <c r="AB58" s="72">
        <v>5.22</v>
      </c>
      <c r="AC58" s="72">
        <v>4.7</v>
      </c>
      <c r="AD58" s="72">
        <v>4.2300000000000004</v>
      </c>
      <c r="AE58" s="72">
        <v>3.82</v>
      </c>
      <c r="AF58" s="72">
        <v>3.46</v>
      </c>
      <c r="AG58" s="72">
        <v>3.13</v>
      </c>
      <c r="AH58" s="72">
        <v>2.84</v>
      </c>
      <c r="AI58" s="72">
        <v>2.58</v>
      </c>
      <c r="AJ58" s="72">
        <v>2.34</v>
      </c>
      <c r="AK58" s="72">
        <v>2.13</v>
      </c>
      <c r="AL58" s="72">
        <v>1.94</v>
      </c>
      <c r="AM58" s="72">
        <v>1.77</v>
      </c>
      <c r="AN58" s="72">
        <v>1.62</v>
      </c>
      <c r="AO58" s="72">
        <v>1.48</v>
      </c>
      <c r="AP58" s="72">
        <v>1.35</v>
      </c>
      <c r="AQ58" s="72">
        <v>1.23</v>
      </c>
      <c r="AR58" s="72">
        <v>1.1200000000000001</v>
      </c>
      <c r="AS58" s="72">
        <v>1.02</v>
      </c>
      <c r="AT58" s="72">
        <v>0.94</v>
      </c>
      <c r="AU58" s="72">
        <v>0.85</v>
      </c>
    </row>
    <row r="59" spans="1:47" x14ac:dyDescent="0.25">
      <c r="A59" s="71">
        <v>54</v>
      </c>
      <c r="B59" s="72">
        <v>30</v>
      </c>
      <c r="C59" s="72">
        <v>30</v>
      </c>
      <c r="D59" s="72">
        <v>30</v>
      </c>
      <c r="E59" s="72">
        <v>30</v>
      </c>
      <c r="F59" s="72">
        <v>30</v>
      </c>
      <c r="G59" s="72">
        <v>30</v>
      </c>
      <c r="H59" s="72">
        <v>30</v>
      </c>
      <c r="I59" s="72">
        <v>30</v>
      </c>
      <c r="J59" s="72">
        <v>30</v>
      </c>
      <c r="K59" s="72">
        <v>30</v>
      </c>
      <c r="L59" s="72">
        <v>30</v>
      </c>
      <c r="M59" s="72">
        <v>30</v>
      </c>
      <c r="N59" s="72">
        <v>28.69</v>
      </c>
      <c r="O59" s="72">
        <v>25.54</v>
      </c>
      <c r="P59" s="72">
        <v>22.69</v>
      </c>
      <c r="Q59" s="72">
        <v>20.149999999999999</v>
      </c>
      <c r="R59" s="72">
        <v>17.89</v>
      </c>
      <c r="S59" s="72">
        <v>15.88</v>
      </c>
      <c r="T59" s="72">
        <v>14.09</v>
      </c>
      <c r="U59" s="72">
        <v>12.52</v>
      </c>
      <c r="V59" s="72">
        <v>11.12</v>
      </c>
      <c r="W59" s="72">
        <v>9.89</v>
      </c>
      <c r="X59" s="72">
        <v>8.81</v>
      </c>
      <c r="Y59" s="72">
        <v>7.85</v>
      </c>
      <c r="Z59" s="72">
        <v>7.01</v>
      </c>
      <c r="AA59" s="72">
        <v>6.27</v>
      </c>
      <c r="AB59" s="72">
        <v>5.62</v>
      </c>
      <c r="AC59" s="72">
        <v>5.04</v>
      </c>
      <c r="AD59" s="72">
        <v>4.53</v>
      </c>
      <c r="AE59" s="72">
        <v>4.08</v>
      </c>
      <c r="AF59" s="72">
        <v>3.68</v>
      </c>
      <c r="AG59" s="72">
        <v>3.32</v>
      </c>
      <c r="AH59" s="72">
        <v>3.01</v>
      </c>
      <c r="AI59" s="72">
        <v>2.73</v>
      </c>
      <c r="AJ59" s="72">
        <v>2.4700000000000002</v>
      </c>
      <c r="AK59" s="72">
        <v>2.25</v>
      </c>
      <c r="AL59" s="72">
        <v>2.04</v>
      </c>
      <c r="AM59" s="72">
        <v>1.86</v>
      </c>
      <c r="AN59" s="72">
        <v>1.69</v>
      </c>
      <c r="AO59" s="72">
        <v>1.54</v>
      </c>
      <c r="AP59" s="72">
        <v>1.4</v>
      </c>
      <c r="AQ59" s="72">
        <v>1.28</v>
      </c>
      <c r="AR59" s="72">
        <v>1.17</v>
      </c>
      <c r="AS59" s="72">
        <v>1.06</v>
      </c>
      <c r="AT59" s="72">
        <v>0.97</v>
      </c>
      <c r="AU59" s="72">
        <v>0.88</v>
      </c>
    </row>
    <row r="60" spans="1:47" x14ac:dyDescent="0.25">
      <c r="A60" s="71">
        <v>55</v>
      </c>
      <c r="B60" s="72">
        <v>30</v>
      </c>
      <c r="C60" s="72">
        <v>30</v>
      </c>
      <c r="D60" s="72">
        <v>30</v>
      </c>
      <c r="E60" s="72">
        <v>30</v>
      </c>
      <c r="F60" s="72">
        <v>30</v>
      </c>
      <c r="G60" s="72">
        <v>30</v>
      </c>
      <c r="H60" s="72">
        <v>30</v>
      </c>
      <c r="I60" s="72">
        <v>30</v>
      </c>
      <c r="J60" s="72">
        <v>30</v>
      </c>
      <c r="K60" s="72">
        <v>30</v>
      </c>
      <c r="L60" s="72">
        <v>30</v>
      </c>
      <c r="M60" s="72">
        <v>30</v>
      </c>
      <c r="N60" s="72">
        <v>30</v>
      </c>
      <c r="O60" s="72">
        <v>28.06</v>
      </c>
      <c r="P60" s="72">
        <v>24.93</v>
      </c>
      <c r="Q60" s="72">
        <v>22.14</v>
      </c>
      <c r="R60" s="72">
        <v>19.64</v>
      </c>
      <c r="S60" s="72">
        <v>17.420000000000002</v>
      </c>
      <c r="T60" s="72">
        <v>15.45</v>
      </c>
      <c r="U60" s="72">
        <v>13.7</v>
      </c>
      <c r="V60" s="72">
        <v>12.16</v>
      </c>
      <c r="W60" s="72">
        <v>10.79</v>
      </c>
      <c r="X60" s="72">
        <v>9.59</v>
      </c>
      <c r="Y60" s="72">
        <v>8.5299999999999994</v>
      </c>
      <c r="Z60" s="72">
        <v>7.6</v>
      </c>
      <c r="AA60" s="72">
        <v>6.78</v>
      </c>
      <c r="AB60" s="72">
        <v>6.06</v>
      </c>
      <c r="AC60" s="72">
        <v>5.42</v>
      </c>
      <c r="AD60" s="72">
        <v>4.8600000000000003</v>
      </c>
      <c r="AE60" s="72">
        <v>4.37</v>
      </c>
      <c r="AF60" s="72">
        <v>3.93</v>
      </c>
      <c r="AG60" s="72">
        <v>3.54</v>
      </c>
      <c r="AH60" s="72">
        <v>3.2</v>
      </c>
      <c r="AI60" s="72">
        <v>2.89</v>
      </c>
      <c r="AJ60" s="72">
        <v>2.61</v>
      </c>
      <c r="AK60" s="72">
        <v>2.37</v>
      </c>
      <c r="AL60" s="72">
        <v>2.15</v>
      </c>
      <c r="AM60" s="72">
        <v>1.95</v>
      </c>
      <c r="AN60" s="72">
        <v>1.77</v>
      </c>
      <c r="AO60" s="72">
        <v>1.61</v>
      </c>
      <c r="AP60" s="72">
        <v>1.47</v>
      </c>
      <c r="AQ60" s="72">
        <v>1.34</v>
      </c>
      <c r="AR60" s="72">
        <v>1.22</v>
      </c>
      <c r="AS60" s="72">
        <v>1.1100000000000001</v>
      </c>
      <c r="AT60" s="72">
        <v>1.01</v>
      </c>
      <c r="AU60" s="72">
        <v>0.92</v>
      </c>
    </row>
    <row r="61" spans="1:47" x14ac:dyDescent="0.25">
      <c r="A61" s="71">
        <v>56</v>
      </c>
      <c r="B61" s="72">
        <v>30</v>
      </c>
      <c r="C61" s="72">
        <v>30</v>
      </c>
      <c r="D61" s="72">
        <v>30</v>
      </c>
      <c r="E61" s="72">
        <v>30</v>
      </c>
      <c r="F61" s="72">
        <v>30</v>
      </c>
      <c r="G61" s="72">
        <v>30</v>
      </c>
      <c r="H61" s="72">
        <v>30</v>
      </c>
      <c r="I61" s="72">
        <v>30</v>
      </c>
      <c r="J61" s="72">
        <v>30</v>
      </c>
      <c r="K61" s="72">
        <v>30</v>
      </c>
      <c r="L61" s="72">
        <v>30</v>
      </c>
      <c r="M61" s="72">
        <v>30</v>
      </c>
      <c r="N61" s="72">
        <v>30</v>
      </c>
      <c r="O61" s="72">
        <v>29.69</v>
      </c>
      <c r="P61" s="72">
        <v>27.41</v>
      </c>
      <c r="Q61" s="72">
        <v>24.34</v>
      </c>
      <c r="R61" s="72">
        <v>21.59</v>
      </c>
      <c r="S61" s="72">
        <v>19.14</v>
      </c>
      <c r="T61" s="72">
        <v>16.96</v>
      </c>
      <c r="U61" s="72">
        <v>15.03</v>
      </c>
      <c r="V61" s="72">
        <v>13.32</v>
      </c>
      <c r="W61" s="72">
        <v>11.8</v>
      </c>
      <c r="X61" s="72">
        <v>10.47</v>
      </c>
      <c r="Y61" s="72">
        <v>9.2899999999999991</v>
      </c>
      <c r="Z61" s="72">
        <v>8.26</v>
      </c>
      <c r="AA61" s="72">
        <v>7.35</v>
      </c>
      <c r="AB61" s="72">
        <v>6.55</v>
      </c>
      <c r="AC61" s="72">
        <v>5.85</v>
      </c>
      <c r="AD61" s="72">
        <v>5.23</v>
      </c>
      <c r="AE61" s="72">
        <v>4.6900000000000004</v>
      </c>
      <c r="AF61" s="72">
        <v>4.21</v>
      </c>
      <c r="AG61" s="72">
        <v>3.78</v>
      </c>
      <c r="AH61" s="72">
        <v>3.4</v>
      </c>
      <c r="AI61" s="72">
        <v>3.07</v>
      </c>
      <c r="AJ61" s="72">
        <v>2.77</v>
      </c>
      <c r="AK61" s="72">
        <v>2.5099999999999998</v>
      </c>
      <c r="AL61" s="72">
        <v>2.27</v>
      </c>
      <c r="AM61" s="72">
        <v>2.06</v>
      </c>
      <c r="AN61" s="72">
        <v>1.86</v>
      </c>
      <c r="AO61" s="72">
        <v>1.69</v>
      </c>
      <c r="AP61" s="72">
        <v>1.54</v>
      </c>
      <c r="AQ61" s="72">
        <v>1.4</v>
      </c>
      <c r="AR61" s="72">
        <v>1.27</v>
      </c>
      <c r="AS61" s="72">
        <v>1.1499999999999999</v>
      </c>
      <c r="AT61" s="72">
        <v>1.05</v>
      </c>
      <c r="AU61" s="72">
        <v>0.95</v>
      </c>
    </row>
    <row r="62" spans="1:47" x14ac:dyDescent="0.25">
      <c r="A62" s="71">
        <v>57</v>
      </c>
      <c r="B62" s="72">
        <v>30</v>
      </c>
      <c r="C62" s="72">
        <v>30</v>
      </c>
      <c r="D62" s="72">
        <v>30</v>
      </c>
      <c r="E62" s="72">
        <v>30</v>
      </c>
      <c r="F62" s="72">
        <v>30</v>
      </c>
      <c r="G62" s="72">
        <v>30</v>
      </c>
      <c r="H62" s="72">
        <v>30</v>
      </c>
      <c r="I62" s="72">
        <v>30</v>
      </c>
      <c r="J62" s="72">
        <v>30</v>
      </c>
      <c r="K62" s="72">
        <v>30</v>
      </c>
      <c r="L62" s="72">
        <v>30</v>
      </c>
      <c r="M62" s="72">
        <v>30</v>
      </c>
      <c r="N62" s="72">
        <v>30</v>
      </c>
      <c r="O62" s="72">
        <v>30</v>
      </c>
      <c r="P62" s="72">
        <v>29.36</v>
      </c>
      <c r="Q62" s="72">
        <v>26.78</v>
      </c>
      <c r="R62" s="72">
        <v>23.76</v>
      </c>
      <c r="S62" s="72">
        <v>21.06</v>
      </c>
      <c r="T62" s="72">
        <v>18.649999999999999</v>
      </c>
      <c r="U62" s="72">
        <v>16.510000000000002</v>
      </c>
      <c r="V62" s="72">
        <v>14.61</v>
      </c>
      <c r="W62" s="72">
        <v>12.94</v>
      </c>
      <c r="X62" s="72">
        <v>11.46</v>
      </c>
      <c r="Y62" s="72">
        <v>10.15</v>
      </c>
      <c r="Z62" s="72">
        <v>9</v>
      </c>
      <c r="AA62" s="72">
        <v>8</v>
      </c>
      <c r="AB62" s="72">
        <v>7.11</v>
      </c>
      <c r="AC62" s="72">
        <v>6.33</v>
      </c>
      <c r="AD62" s="72">
        <v>5.65</v>
      </c>
      <c r="AE62" s="72">
        <v>5.05</v>
      </c>
      <c r="AF62" s="72">
        <v>4.5199999999999996</v>
      </c>
      <c r="AG62" s="72">
        <v>4.05</v>
      </c>
      <c r="AH62" s="72">
        <v>3.64</v>
      </c>
      <c r="AI62" s="72">
        <v>3.27</v>
      </c>
      <c r="AJ62" s="72">
        <v>2.95</v>
      </c>
      <c r="AK62" s="72">
        <v>2.66</v>
      </c>
      <c r="AL62" s="72">
        <v>2.4</v>
      </c>
      <c r="AM62" s="72">
        <v>2.17</v>
      </c>
      <c r="AN62" s="72">
        <v>1.96</v>
      </c>
      <c r="AO62" s="72">
        <v>1.78</v>
      </c>
      <c r="AP62" s="72">
        <v>1.61</v>
      </c>
      <c r="AQ62" s="72">
        <v>1.46</v>
      </c>
      <c r="AR62" s="72">
        <v>1.33</v>
      </c>
      <c r="AS62" s="72">
        <v>1.2</v>
      </c>
      <c r="AT62" s="72">
        <v>1.0900000000000001</v>
      </c>
      <c r="AU62" s="72">
        <v>0.99</v>
      </c>
    </row>
    <row r="63" spans="1:47" x14ac:dyDescent="0.25">
      <c r="A63" s="71">
        <v>58</v>
      </c>
      <c r="B63" s="72">
        <v>30</v>
      </c>
      <c r="C63" s="72">
        <v>30</v>
      </c>
      <c r="D63" s="72">
        <v>30</v>
      </c>
      <c r="E63" s="72">
        <v>30</v>
      </c>
      <c r="F63" s="72">
        <v>30</v>
      </c>
      <c r="G63" s="72">
        <v>30</v>
      </c>
      <c r="H63" s="72">
        <v>30</v>
      </c>
      <c r="I63" s="72">
        <v>30</v>
      </c>
      <c r="J63" s="72">
        <v>30</v>
      </c>
      <c r="K63" s="72">
        <v>30</v>
      </c>
      <c r="L63" s="72">
        <v>30</v>
      </c>
      <c r="M63" s="72">
        <v>30</v>
      </c>
      <c r="N63" s="72">
        <v>30</v>
      </c>
      <c r="O63" s="72">
        <v>30</v>
      </c>
      <c r="P63" s="72">
        <v>30</v>
      </c>
      <c r="Q63" s="72">
        <v>29.03</v>
      </c>
      <c r="R63" s="72">
        <v>26.17</v>
      </c>
      <c r="S63" s="72">
        <v>23.19</v>
      </c>
      <c r="T63" s="72">
        <v>20.53</v>
      </c>
      <c r="U63" s="72">
        <v>18.170000000000002</v>
      </c>
      <c r="V63" s="72">
        <v>16.07</v>
      </c>
      <c r="W63" s="72">
        <v>14.21</v>
      </c>
      <c r="X63" s="72">
        <v>12.56</v>
      </c>
      <c r="Y63" s="72">
        <v>11.11</v>
      </c>
      <c r="Z63" s="72">
        <v>9.84</v>
      </c>
      <c r="AA63" s="72">
        <v>8.7200000000000006</v>
      </c>
      <c r="AB63" s="72">
        <v>7.74</v>
      </c>
      <c r="AC63" s="72">
        <v>6.87</v>
      </c>
      <c r="AD63" s="72">
        <v>6.11</v>
      </c>
      <c r="AE63" s="72">
        <v>5.45</v>
      </c>
      <c r="AF63" s="72">
        <v>4.8600000000000003</v>
      </c>
      <c r="AG63" s="72">
        <v>4.3499999999999996</v>
      </c>
      <c r="AH63" s="72">
        <v>3.9</v>
      </c>
      <c r="AI63" s="72">
        <v>3.5</v>
      </c>
      <c r="AJ63" s="72">
        <v>3.14</v>
      </c>
      <c r="AK63" s="72">
        <v>2.83</v>
      </c>
      <c r="AL63" s="72">
        <v>2.5499999999999998</v>
      </c>
      <c r="AM63" s="72">
        <v>2.2999999999999998</v>
      </c>
      <c r="AN63" s="72">
        <v>2.0699999999999998</v>
      </c>
      <c r="AO63" s="72">
        <v>1.88</v>
      </c>
      <c r="AP63" s="72">
        <v>1.7</v>
      </c>
      <c r="AQ63" s="72">
        <v>1.53</v>
      </c>
      <c r="AR63" s="72">
        <v>1.39</v>
      </c>
      <c r="AS63" s="72">
        <v>1.26</v>
      </c>
      <c r="AT63" s="72">
        <v>1.1399999999999999</v>
      </c>
      <c r="AU63" s="72">
        <v>1.03</v>
      </c>
    </row>
    <row r="64" spans="1:47" x14ac:dyDescent="0.25">
      <c r="A64" s="71">
        <v>59</v>
      </c>
      <c r="B64" s="72">
        <v>30</v>
      </c>
      <c r="C64" s="72">
        <v>30</v>
      </c>
      <c r="D64" s="72">
        <v>30</v>
      </c>
      <c r="E64" s="72">
        <v>30</v>
      </c>
      <c r="F64" s="72">
        <v>30</v>
      </c>
      <c r="G64" s="72">
        <v>30</v>
      </c>
      <c r="H64" s="72">
        <v>30</v>
      </c>
      <c r="I64" s="72">
        <v>30</v>
      </c>
      <c r="J64" s="72">
        <v>30</v>
      </c>
      <c r="K64" s="72">
        <v>30</v>
      </c>
      <c r="L64" s="72">
        <v>30</v>
      </c>
      <c r="M64" s="72">
        <v>30</v>
      </c>
      <c r="N64" s="72">
        <v>30</v>
      </c>
      <c r="O64" s="72">
        <v>30</v>
      </c>
      <c r="P64" s="72">
        <v>30</v>
      </c>
      <c r="Q64" s="72">
        <v>30</v>
      </c>
      <c r="R64" s="72">
        <v>28.72</v>
      </c>
      <c r="S64" s="72">
        <v>25.56</v>
      </c>
      <c r="T64" s="72">
        <v>22.63</v>
      </c>
      <c r="U64" s="72">
        <v>20.02</v>
      </c>
      <c r="V64" s="72">
        <v>17.690000000000001</v>
      </c>
      <c r="W64" s="72">
        <v>15.63</v>
      </c>
      <c r="X64" s="72">
        <v>13.81</v>
      </c>
      <c r="Y64" s="72">
        <v>12.2</v>
      </c>
      <c r="Z64" s="72">
        <v>10.78</v>
      </c>
      <c r="AA64" s="72">
        <v>9.5299999999999994</v>
      </c>
      <c r="AB64" s="72">
        <v>8.44</v>
      </c>
      <c r="AC64" s="72">
        <v>7.48</v>
      </c>
      <c r="AD64" s="72">
        <v>6.64</v>
      </c>
      <c r="AE64" s="72">
        <v>5.9</v>
      </c>
      <c r="AF64" s="72">
        <v>5.26</v>
      </c>
      <c r="AG64" s="72">
        <v>4.6900000000000004</v>
      </c>
      <c r="AH64" s="72">
        <v>4.1900000000000004</v>
      </c>
      <c r="AI64" s="72">
        <v>3.75</v>
      </c>
      <c r="AJ64" s="72">
        <v>3.36</v>
      </c>
      <c r="AK64" s="72">
        <v>3.01</v>
      </c>
      <c r="AL64" s="72">
        <v>2.71</v>
      </c>
      <c r="AM64" s="72">
        <v>2.44</v>
      </c>
      <c r="AN64" s="72">
        <v>2.2000000000000002</v>
      </c>
      <c r="AO64" s="72">
        <v>1.98</v>
      </c>
      <c r="AP64" s="72">
        <v>1.79</v>
      </c>
      <c r="AQ64" s="72">
        <v>1.61</v>
      </c>
      <c r="AR64" s="72">
        <v>1.46</v>
      </c>
      <c r="AS64" s="72">
        <v>1.32</v>
      </c>
      <c r="AT64" s="72">
        <v>1.19</v>
      </c>
      <c r="AU64" s="72">
        <v>1.08</v>
      </c>
    </row>
    <row r="65" spans="1:47" x14ac:dyDescent="0.25">
      <c r="A65" s="71">
        <v>60</v>
      </c>
      <c r="B65" s="72">
        <v>30</v>
      </c>
      <c r="C65" s="72">
        <v>30</v>
      </c>
      <c r="D65" s="72">
        <v>30</v>
      </c>
      <c r="E65" s="72">
        <v>30</v>
      </c>
      <c r="F65" s="72">
        <v>30</v>
      </c>
      <c r="G65" s="72">
        <v>30</v>
      </c>
      <c r="H65" s="72">
        <v>30</v>
      </c>
      <c r="I65" s="72">
        <v>30</v>
      </c>
      <c r="J65" s="72">
        <v>30</v>
      </c>
      <c r="K65" s="72">
        <v>30</v>
      </c>
      <c r="L65" s="72">
        <v>30</v>
      </c>
      <c r="M65" s="72">
        <v>30</v>
      </c>
      <c r="N65" s="72">
        <v>30</v>
      </c>
      <c r="O65" s="72">
        <v>30</v>
      </c>
      <c r="P65" s="72">
        <v>30</v>
      </c>
      <c r="Q65" s="72">
        <v>30</v>
      </c>
      <c r="R65" s="72">
        <v>30</v>
      </c>
      <c r="S65" s="72">
        <v>28.2</v>
      </c>
      <c r="T65" s="72">
        <v>24.98</v>
      </c>
      <c r="U65" s="72">
        <v>22.09</v>
      </c>
      <c r="V65" s="72">
        <v>19.52</v>
      </c>
      <c r="W65" s="72">
        <v>17.23</v>
      </c>
      <c r="X65" s="72">
        <v>15.2</v>
      </c>
      <c r="Y65" s="72">
        <v>13.41</v>
      </c>
      <c r="Z65" s="72">
        <v>11.84</v>
      </c>
      <c r="AA65" s="72">
        <v>10.45</v>
      </c>
      <c r="AB65" s="72">
        <v>9.23</v>
      </c>
      <c r="AC65" s="72">
        <v>8.17</v>
      </c>
      <c r="AD65" s="72">
        <v>7.23</v>
      </c>
      <c r="AE65" s="72">
        <v>6.41</v>
      </c>
      <c r="AF65" s="72">
        <v>5.7</v>
      </c>
      <c r="AG65" s="72">
        <v>5.07</v>
      </c>
      <c r="AH65" s="72">
        <v>4.5199999999999996</v>
      </c>
      <c r="AI65" s="72">
        <v>4.03</v>
      </c>
      <c r="AJ65" s="72">
        <v>3.6</v>
      </c>
      <c r="AK65" s="72">
        <v>3.23</v>
      </c>
      <c r="AL65" s="72">
        <v>2.89</v>
      </c>
      <c r="AM65" s="72">
        <v>2.6</v>
      </c>
      <c r="AN65" s="72">
        <v>2.33</v>
      </c>
      <c r="AO65" s="72">
        <v>2.1</v>
      </c>
      <c r="AP65" s="72">
        <v>1.89</v>
      </c>
      <c r="AQ65" s="72">
        <v>1.7</v>
      </c>
      <c r="AR65" s="72">
        <v>1.54</v>
      </c>
      <c r="AS65" s="72">
        <v>1.39</v>
      </c>
      <c r="AT65" s="72">
        <v>1.25</v>
      </c>
      <c r="AU65" s="72">
        <v>1.1299999999999999</v>
      </c>
    </row>
    <row r="66" spans="1:47" x14ac:dyDescent="0.25">
      <c r="A66" s="71">
        <v>61</v>
      </c>
      <c r="B66" s="72">
        <v>30</v>
      </c>
      <c r="C66" s="72">
        <v>30</v>
      </c>
      <c r="D66" s="72">
        <v>30</v>
      </c>
      <c r="E66" s="72">
        <v>30</v>
      </c>
      <c r="F66" s="72">
        <v>30</v>
      </c>
      <c r="G66" s="72">
        <v>30</v>
      </c>
      <c r="H66" s="72">
        <v>30</v>
      </c>
      <c r="I66" s="72">
        <v>30</v>
      </c>
      <c r="J66" s="72">
        <v>30</v>
      </c>
      <c r="K66" s="72">
        <v>30</v>
      </c>
      <c r="L66" s="72">
        <v>30</v>
      </c>
      <c r="M66" s="72">
        <v>30</v>
      </c>
      <c r="N66" s="72">
        <v>30</v>
      </c>
      <c r="O66" s="72">
        <v>30</v>
      </c>
      <c r="P66" s="72">
        <v>30</v>
      </c>
      <c r="Q66" s="72">
        <v>30</v>
      </c>
      <c r="R66" s="72">
        <v>30</v>
      </c>
      <c r="S66" s="72">
        <v>29.8</v>
      </c>
      <c r="T66" s="72">
        <v>27.58</v>
      </c>
      <c r="U66" s="72">
        <v>24.4</v>
      </c>
      <c r="V66" s="72">
        <v>21.55</v>
      </c>
      <c r="W66" s="72">
        <v>19.02</v>
      </c>
      <c r="X66" s="72">
        <v>16.77</v>
      </c>
      <c r="Y66" s="72">
        <v>14.78</v>
      </c>
      <c r="Z66" s="72">
        <v>13.03</v>
      </c>
      <c r="AA66" s="72">
        <v>11.48</v>
      </c>
      <c r="AB66" s="72">
        <v>10.130000000000001</v>
      </c>
      <c r="AC66" s="72">
        <v>8.94</v>
      </c>
      <c r="AD66" s="72">
        <v>7.9</v>
      </c>
      <c r="AE66" s="72">
        <v>6.99</v>
      </c>
      <c r="AF66" s="72">
        <v>6.19</v>
      </c>
      <c r="AG66" s="72">
        <v>5.5</v>
      </c>
      <c r="AH66" s="72">
        <v>4.88</v>
      </c>
      <c r="AI66" s="72">
        <v>4.3499999999999996</v>
      </c>
      <c r="AJ66" s="72">
        <v>3.87</v>
      </c>
      <c r="AK66" s="72">
        <v>3.46</v>
      </c>
      <c r="AL66" s="72">
        <v>3.09</v>
      </c>
      <c r="AM66" s="72">
        <v>2.77</v>
      </c>
      <c r="AN66" s="72">
        <v>2.48</v>
      </c>
      <c r="AO66" s="72">
        <v>2.23</v>
      </c>
      <c r="AP66" s="72">
        <v>2</v>
      </c>
      <c r="AQ66" s="72">
        <v>1.8</v>
      </c>
      <c r="AR66" s="72">
        <v>1.62</v>
      </c>
      <c r="AS66" s="72">
        <v>1.46</v>
      </c>
      <c r="AT66" s="72">
        <v>1.31</v>
      </c>
      <c r="AU66" s="72">
        <v>1.19</v>
      </c>
    </row>
    <row r="67" spans="1:47" x14ac:dyDescent="0.25">
      <c r="A67" s="71">
        <v>62</v>
      </c>
      <c r="B67" s="72">
        <v>30</v>
      </c>
      <c r="C67" s="72">
        <v>30</v>
      </c>
      <c r="D67" s="72">
        <v>30</v>
      </c>
      <c r="E67" s="72">
        <v>30</v>
      </c>
      <c r="F67" s="72">
        <v>30</v>
      </c>
      <c r="G67" s="72">
        <v>30</v>
      </c>
      <c r="H67" s="72">
        <v>30</v>
      </c>
      <c r="I67" s="72">
        <v>30</v>
      </c>
      <c r="J67" s="72">
        <v>30</v>
      </c>
      <c r="K67" s="72">
        <v>30</v>
      </c>
      <c r="L67" s="72">
        <v>30</v>
      </c>
      <c r="M67" s="72">
        <v>30</v>
      </c>
      <c r="N67" s="72">
        <v>30</v>
      </c>
      <c r="O67" s="72">
        <v>30</v>
      </c>
      <c r="P67" s="72">
        <v>30</v>
      </c>
      <c r="Q67" s="72">
        <v>30</v>
      </c>
      <c r="R67" s="72">
        <v>30</v>
      </c>
      <c r="S67" s="72">
        <v>30</v>
      </c>
      <c r="T67" s="72">
        <v>29.48</v>
      </c>
      <c r="U67" s="72">
        <v>26.97</v>
      </c>
      <c r="V67" s="72">
        <v>23.83</v>
      </c>
      <c r="W67" s="72">
        <v>21.02</v>
      </c>
      <c r="X67" s="72">
        <v>18.53</v>
      </c>
      <c r="Y67" s="72">
        <v>16.32</v>
      </c>
      <c r="Z67" s="72">
        <v>14.37</v>
      </c>
      <c r="AA67" s="72">
        <v>12.65</v>
      </c>
      <c r="AB67" s="72">
        <v>11.14</v>
      </c>
      <c r="AC67" s="72">
        <v>9.82</v>
      </c>
      <c r="AD67" s="72">
        <v>8.66</v>
      </c>
      <c r="AE67" s="72">
        <v>7.64</v>
      </c>
      <c r="AF67" s="72">
        <v>6.75</v>
      </c>
      <c r="AG67" s="72">
        <v>5.98</v>
      </c>
      <c r="AH67" s="72">
        <v>5.3</v>
      </c>
      <c r="AI67" s="72">
        <v>4.7</v>
      </c>
      <c r="AJ67" s="72">
        <v>4.18</v>
      </c>
      <c r="AK67" s="72">
        <v>3.72</v>
      </c>
      <c r="AL67" s="72">
        <v>3.32</v>
      </c>
      <c r="AM67" s="72">
        <v>2.97</v>
      </c>
      <c r="AN67" s="72">
        <v>2.65</v>
      </c>
      <c r="AO67" s="72">
        <v>2.37</v>
      </c>
      <c r="AP67" s="72">
        <v>2.13</v>
      </c>
      <c r="AQ67" s="72">
        <v>1.91</v>
      </c>
      <c r="AR67" s="72">
        <v>1.71</v>
      </c>
      <c r="AS67" s="72">
        <v>1.54</v>
      </c>
      <c r="AT67" s="72">
        <v>1.38</v>
      </c>
      <c r="AU67" s="72">
        <v>1.25</v>
      </c>
    </row>
    <row r="68" spans="1:47" x14ac:dyDescent="0.25">
      <c r="A68" s="71">
        <v>63</v>
      </c>
      <c r="B68" s="72">
        <v>30</v>
      </c>
      <c r="C68" s="72">
        <v>30</v>
      </c>
      <c r="D68" s="72">
        <v>30</v>
      </c>
      <c r="E68" s="72">
        <v>30</v>
      </c>
      <c r="F68" s="72">
        <v>30</v>
      </c>
      <c r="G68" s="72">
        <v>30</v>
      </c>
      <c r="H68" s="72">
        <v>30</v>
      </c>
      <c r="I68" s="72">
        <v>30</v>
      </c>
      <c r="J68" s="72">
        <v>30</v>
      </c>
      <c r="K68" s="72">
        <v>30</v>
      </c>
      <c r="L68" s="72">
        <v>30</v>
      </c>
      <c r="M68" s="72">
        <v>30</v>
      </c>
      <c r="N68" s="72">
        <v>30</v>
      </c>
      <c r="O68" s="72">
        <v>30</v>
      </c>
      <c r="P68" s="72">
        <v>30</v>
      </c>
      <c r="Q68" s="72">
        <v>30</v>
      </c>
      <c r="R68" s="72">
        <v>30</v>
      </c>
      <c r="S68" s="72">
        <v>30</v>
      </c>
      <c r="T68" s="72">
        <v>30</v>
      </c>
      <c r="U68" s="72">
        <v>29.16</v>
      </c>
      <c r="V68" s="72">
        <v>26.37</v>
      </c>
      <c r="W68" s="72">
        <v>23.26</v>
      </c>
      <c r="X68" s="72">
        <v>20.5</v>
      </c>
      <c r="Y68" s="72">
        <v>18.04</v>
      </c>
      <c r="Z68" s="72">
        <v>15.87</v>
      </c>
      <c r="AA68" s="72">
        <v>13.96</v>
      </c>
      <c r="AB68" s="72">
        <v>12.28</v>
      </c>
      <c r="AC68" s="72">
        <v>10.8</v>
      </c>
      <c r="AD68" s="72">
        <v>9.51</v>
      </c>
      <c r="AE68" s="72">
        <v>8.3800000000000008</v>
      </c>
      <c r="AF68" s="72">
        <v>7.39</v>
      </c>
      <c r="AG68" s="72">
        <v>6.52</v>
      </c>
      <c r="AH68" s="72">
        <v>5.77</v>
      </c>
      <c r="AI68" s="72">
        <v>5.1100000000000003</v>
      </c>
      <c r="AJ68" s="72">
        <v>4.53</v>
      </c>
      <c r="AK68" s="72">
        <v>4.0199999999999996</v>
      </c>
      <c r="AL68" s="72">
        <v>3.58</v>
      </c>
      <c r="AM68" s="72">
        <v>3.19</v>
      </c>
      <c r="AN68" s="72">
        <v>2.84</v>
      </c>
      <c r="AO68" s="72">
        <v>2.54</v>
      </c>
      <c r="AP68" s="72">
        <v>2.27</v>
      </c>
      <c r="AQ68" s="72">
        <v>2.0299999999999998</v>
      </c>
      <c r="AR68" s="72">
        <v>1.82</v>
      </c>
      <c r="AS68" s="72">
        <v>1.63</v>
      </c>
      <c r="AT68" s="72">
        <v>1.46</v>
      </c>
      <c r="AU68" s="72">
        <v>1.31</v>
      </c>
    </row>
    <row r="69" spans="1:47" x14ac:dyDescent="0.25">
      <c r="A69" s="71">
        <v>64</v>
      </c>
      <c r="B69" s="72">
        <v>30</v>
      </c>
      <c r="C69" s="72">
        <v>30</v>
      </c>
      <c r="D69" s="72">
        <v>30</v>
      </c>
      <c r="E69" s="72">
        <v>30</v>
      </c>
      <c r="F69" s="72">
        <v>30</v>
      </c>
      <c r="G69" s="72">
        <v>30</v>
      </c>
      <c r="H69" s="72">
        <v>30</v>
      </c>
      <c r="I69" s="72">
        <v>30</v>
      </c>
      <c r="J69" s="72">
        <v>30</v>
      </c>
      <c r="K69" s="72">
        <v>30</v>
      </c>
      <c r="L69" s="72">
        <v>30</v>
      </c>
      <c r="M69" s="72">
        <v>30</v>
      </c>
      <c r="N69" s="72">
        <v>30</v>
      </c>
      <c r="O69" s="72">
        <v>30</v>
      </c>
      <c r="P69" s="72">
        <v>30</v>
      </c>
      <c r="Q69" s="72">
        <v>30</v>
      </c>
      <c r="R69" s="72">
        <v>30</v>
      </c>
      <c r="S69" s="72">
        <v>30</v>
      </c>
      <c r="T69" s="72">
        <v>30</v>
      </c>
      <c r="U69" s="72">
        <v>30</v>
      </c>
      <c r="V69" s="72">
        <v>28.85</v>
      </c>
      <c r="W69" s="72">
        <v>25.77</v>
      </c>
      <c r="X69" s="72">
        <v>22.71</v>
      </c>
      <c r="Y69" s="72">
        <v>19.98</v>
      </c>
      <c r="Z69" s="72">
        <v>17.57</v>
      </c>
      <c r="AA69" s="72">
        <v>15.44</v>
      </c>
      <c r="AB69" s="72">
        <v>13.56</v>
      </c>
      <c r="AC69" s="72">
        <v>11.91</v>
      </c>
      <c r="AD69" s="72">
        <v>10.47</v>
      </c>
      <c r="AE69" s="72">
        <v>9.2100000000000009</v>
      </c>
      <c r="AF69" s="72">
        <v>8.1</v>
      </c>
      <c r="AG69" s="72">
        <v>7.14</v>
      </c>
      <c r="AH69" s="72">
        <v>6.3</v>
      </c>
      <c r="AI69" s="72">
        <v>5.56</v>
      </c>
      <c r="AJ69" s="72">
        <v>4.92</v>
      </c>
      <c r="AK69" s="72">
        <v>4.3600000000000003</v>
      </c>
      <c r="AL69" s="72">
        <v>3.86</v>
      </c>
      <c r="AM69" s="72">
        <v>3.43</v>
      </c>
      <c r="AN69" s="72">
        <v>3.05</v>
      </c>
      <c r="AO69" s="72">
        <v>2.72</v>
      </c>
      <c r="AP69" s="72">
        <v>2.42</v>
      </c>
      <c r="AQ69" s="72">
        <v>2.16</v>
      </c>
      <c r="AR69" s="72">
        <v>1.93</v>
      </c>
      <c r="AS69" s="72">
        <v>1.73</v>
      </c>
      <c r="AT69" s="72">
        <v>1.55</v>
      </c>
      <c r="AU69" s="72">
        <v>1.39</v>
      </c>
    </row>
    <row r="70" spans="1:47" x14ac:dyDescent="0.25">
      <c r="A70" s="71">
        <v>65</v>
      </c>
      <c r="B70" s="72">
        <v>30</v>
      </c>
      <c r="C70" s="72">
        <v>30</v>
      </c>
      <c r="D70" s="72">
        <v>30</v>
      </c>
      <c r="E70" s="72">
        <v>30</v>
      </c>
      <c r="F70" s="72">
        <v>30</v>
      </c>
      <c r="G70" s="72">
        <v>30</v>
      </c>
      <c r="H70" s="72">
        <v>30</v>
      </c>
      <c r="I70" s="72">
        <v>30</v>
      </c>
      <c r="J70" s="72">
        <v>30</v>
      </c>
      <c r="K70" s="72">
        <v>30</v>
      </c>
      <c r="L70" s="72">
        <v>30</v>
      </c>
      <c r="M70" s="72">
        <v>30</v>
      </c>
      <c r="N70" s="72">
        <v>30</v>
      </c>
      <c r="O70" s="72">
        <v>30</v>
      </c>
      <c r="P70" s="72">
        <v>30</v>
      </c>
      <c r="Q70" s="72">
        <v>30</v>
      </c>
      <c r="R70" s="72">
        <v>30</v>
      </c>
      <c r="S70" s="72">
        <v>30</v>
      </c>
      <c r="T70" s="72">
        <v>30</v>
      </c>
      <c r="U70" s="72">
        <v>30</v>
      </c>
      <c r="V70" s="72">
        <v>30</v>
      </c>
      <c r="W70" s="72">
        <v>28.55</v>
      </c>
      <c r="X70" s="72">
        <v>25.18</v>
      </c>
      <c r="Y70" s="72">
        <v>22.16</v>
      </c>
      <c r="Z70" s="72">
        <v>19.48</v>
      </c>
      <c r="AA70" s="72">
        <v>17.100000000000001</v>
      </c>
      <c r="AB70" s="72">
        <v>15.01</v>
      </c>
      <c r="AC70" s="72">
        <v>13.17</v>
      </c>
      <c r="AD70" s="72">
        <v>11.56</v>
      </c>
      <c r="AE70" s="72">
        <v>10.15</v>
      </c>
      <c r="AF70" s="72">
        <v>8.92</v>
      </c>
      <c r="AG70" s="72">
        <v>7.84</v>
      </c>
      <c r="AH70" s="72">
        <v>6.9</v>
      </c>
      <c r="AI70" s="72">
        <v>6.08</v>
      </c>
      <c r="AJ70" s="72">
        <v>5.36</v>
      </c>
      <c r="AK70" s="72">
        <v>4.74</v>
      </c>
      <c r="AL70" s="72">
        <v>4.1900000000000004</v>
      </c>
      <c r="AM70" s="72">
        <v>3.71</v>
      </c>
      <c r="AN70" s="72">
        <v>3.29</v>
      </c>
      <c r="AO70" s="72">
        <v>2.92</v>
      </c>
      <c r="AP70" s="72">
        <v>2.6</v>
      </c>
      <c r="AQ70" s="72">
        <v>2.31</v>
      </c>
      <c r="AR70" s="72">
        <v>2.06</v>
      </c>
      <c r="AS70" s="72">
        <v>1.84</v>
      </c>
      <c r="AT70" s="72">
        <v>1.64</v>
      </c>
      <c r="AU70" s="72">
        <v>1.47</v>
      </c>
    </row>
    <row r="71" spans="1:47" x14ac:dyDescent="0.25">
      <c r="A71" s="71">
        <v>66</v>
      </c>
      <c r="B71" s="72">
        <v>30</v>
      </c>
      <c r="C71" s="72">
        <v>30</v>
      </c>
      <c r="D71" s="72">
        <v>30</v>
      </c>
      <c r="E71" s="72">
        <v>30</v>
      </c>
      <c r="F71" s="72">
        <v>30</v>
      </c>
      <c r="G71" s="72">
        <v>30</v>
      </c>
      <c r="H71" s="72">
        <v>30</v>
      </c>
      <c r="I71" s="72">
        <v>30</v>
      </c>
      <c r="J71" s="72">
        <v>30</v>
      </c>
      <c r="K71" s="72">
        <v>30</v>
      </c>
      <c r="L71" s="72">
        <v>30</v>
      </c>
      <c r="M71" s="72">
        <v>30</v>
      </c>
      <c r="N71" s="72">
        <v>30</v>
      </c>
      <c r="O71" s="72">
        <v>30</v>
      </c>
      <c r="P71" s="72">
        <v>30</v>
      </c>
      <c r="Q71" s="72">
        <v>30</v>
      </c>
      <c r="R71" s="72">
        <v>30</v>
      </c>
      <c r="S71" s="72">
        <v>30</v>
      </c>
      <c r="T71" s="72">
        <v>30</v>
      </c>
      <c r="U71" s="72">
        <v>30</v>
      </c>
      <c r="V71" s="72">
        <v>30</v>
      </c>
      <c r="W71" s="72">
        <v>30</v>
      </c>
      <c r="X71" s="72">
        <v>27.96</v>
      </c>
      <c r="Y71" s="72">
        <v>24.6</v>
      </c>
      <c r="Z71" s="72">
        <v>21.62</v>
      </c>
      <c r="AA71" s="72">
        <v>18.98</v>
      </c>
      <c r="AB71" s="72">
        <v>16.649999999999999</v>
      </c>
      <c r="AC71" s="72">
        <v>14.59</v>
      </c>
      <c r="AD71" s="72">
        <v>12.79</v>
      </c>
      <c r="AE71" s="72">
        <v>11.21</v>
      </c>
      <c r="AF71" s="72">
        <v>9.83</v>
      </c>
      <c r="AG71" s="72">
        <v>8.6300000000000008</v>
      </c>
      <c r="AH71" s="72">
        <v>7.58</v>
      </c>
      <c r="AI71" s="72">
        <v>6.66</v>
      </c>
      <c r="AJ71" s="72">
        <v>5.86</v>
      </c>
      <c r="AK71" s="72">
        <v>5.16</v>
      </c>
      <c r="AL71" s="72">
        <v>4.5599999999999996</v>
      </c>
      <c r="AM71" s="72">
        <v>4.0199999999999996</v>
      </c>
      <c r="AN71" s="72">
        <v>3.56</v>
      </c>
      <c r="AO71" s="72">
        <v>3.15</v>
      </c>
      <c r="AP71" s="72">
        <v>2.79</v>
      </c>
      <c r="AQ71" s="72">
        <v>2.48</v>
      </c>
      <c r="AR71" s="72">
        <v>2.2000000000000002</v>
      </c>
      <c r="AS71" s="72">
        <v>1.96</v>
      </c>
      <c r="AT71" s="72">
        <v>1.75</v>
      </c>
      <c r="AU71" s="72">
        <v>1.56</v>
      </c>
    </row>
    <row r="72" spans="1:47" x14ac:dyDescent="0.25">
      <c r="A72" s="71">
        <v>67</v>
      </c>
      <c r="B72" s="72">
        <v>30</v>
      </c>
      <c r="C72" s="72">
        <v>30</v>
      </c>
      <c r="D72" s="72">
        <v>30</v>
      </c>
      <c r="E72" s="72">
        <v>30</v>
      </c>
      <c r="F72" s="72">
        <v>30</v>
      </c>
      <c r="G72" s="72">
        <v>30</v>
      </c>
      <c r="H72" s="72">
        <v>30</v>
      </c>
      <c r="I72" s="72">
        <v>30</v>
      </c>
      <c r="J72" s="72">
        <v>30</v>
      </c>
      <c r="K72" s="72">
        <v>30</v>
      </c>
      <c r="L72" s="72">
        <v>30</v>
      </c>
      <c r="M72" s="72">
        <v>30</v>
      </c>
      <c r="N72" s="72">
        <v>30</v>
      </c>
      <c r="O72" s="72">
        <v>30</v>
      </c>
      <c r="P72" s="72">
        <v>30</v>
      </c>
      <c r="Q72" s="72">
        <v>30</v>
      </c>
      <c r="R72" s="72">
        <v>30</v>
      </c>
      <c r="S72" s="72">
        <v>30</v>
      </c>
      <c r="T72" s="72">
        <v>30</v>
      </c>
      <c r="U72" s="72">
        <v>30</v>
      </c>
      <c r="V72" s="72">
        <v>30</v>
      </c>
      <c r="W72" s="72">
        <v>30</v>
      </c>
      <c r="X72" s="72">
        <v>29.71</v>
      </c>
      <c r="Y72" s="72">
        <v>27.35</v>
      </c>
      <c r="Z72" s="72">
        <v>24.04</v>
      </c>
      <c r="AA72" s="72">
        <v>21.09</v>
      </c>
      <c r="AB72" s="72">
        <v>18.489999999999998</v>
      </c>
      <c r="AC72" s="72">
        <v>16.2</v>
      </c>
      <c r="AD72" s="72">
        <v>14.19</v>
      </c>
      <c r="AE72" s="72">
        <v>12.42</v>
      </c>
      <c r="AF72" s="72">
        <v>10.88</v>
      </c>
      <c r="AG72" s="72">
        <v>9.5299999999999994</v>
      </c>
      <c r="AH72" s="72">
        <v>8.35</v>
      </c>
      <c r="AI72" s="72">
        <v>7.33</v>
      </c>
      <c r="AJ72" s="72">
        <v>6.43</v>
      </c>
      <c r="AK72" s="72">
        <v>5.65</v>
      </c>
      <c r="AL72" s="72">
        <v>4.97</v>
      </c>
      <c r="AM72" s="72">
        <v>4.38</v>
      </c>
      <c r="AN72" s="72">
        <v>3.86</v>
      </c>
      <c r="AO72" s="72">
        <v>3.41</v>
      </c>
      <c r="AP72" s="72">
        <v>3.01</v>
      </c>
      <c r="AQ72" s="72">
        <v>2.67</v>
      </c>
      <c r="AR72" s="72">
        <v>2.36</v>
      </c>
      <c r="AS72" s="72">
        <v>2.1</v>
      </c>
      <c r="AT72" s="72">
        <v>1.86</v>
      </c>
      <c r="AU72" s="72">
        <v>1.66</v>
      </c>
    </row>
    <row r="73" spans="1:47" x14ac:dyDescent="0.25">
      <c r="A73" s="71">
        <v>68</v>
      </c>
      <c r="B73" s="72">
        <v>30</v>
      </c>
      <c r="C73" s="72">
        <v>30</v>
      </c>
      <c r="D73" s="72">
        <v>30</v>
      </c>
      <c r="E73" s="72">
        <v>30</v>
      </c>
      <c r="F73" s="72">
        <v>30</v>
      </c>
      <c r="G73" s="72">
        <v>30</v>
      </c>
      <c r="H73" s="72">
        <v>30</v>
      </c>
      <c r="I73" s="72">
        <v>30</v>
      </c>
      <c r="J73" s="72">
        <v>30</v>
      </c>
      <c r="K73" s="72">
        <v>30</v>
      </c>
      <c r="L73" s="72">
        <v>30</v>
      </c>
      <c r="M73" s="72">
        <v>30</v>
      </c>
      <c r="N73" s="72">
        <v>30</v>
      </c>
      <c r="O73" s="72">
        <v>30</v>
      </c>
      <c r="P73" s="72">
        <v>30</v>
      </c>
      <c r="Q73" s="72">
        <v>30</v>
      </c>
      <c r="R73" s="72">
        <v>30</v>
      </c>
      <c r="S73" s="72">
        <v>30</v>
      </c>
      <c r="T73" s="72">
        <v>30</v>
      </c>
      <c r="U73" s="72">
        <v>30</v>
      </c>
      <c r="V73" s="72">
        <v>30</v>
      </c>
      <c r="W73" s="72">
        <v>30</v>
      </c>
      <c r="X73" s="72">
        <v>30</v>
      </c>
      <c r="Y73" s="72">
        <v>29.4</v>
      </c>
      <c r="Z73" s="72">
        <v>26.76</v>
      </c>
      <c r="AA73" s="72">
        <v>23.48</v>
      </c>
      <c r="AB73" s="72">
        <v>20.58</v>
      </c>
      <c r="AC73" s="72">
        <v>18.02</v>
      </c>
      <c r="AD73" s="72">
        <v>15.77</v>
      </c>
      <c r="AE73" s="72">
        <v>13.79</v>
      </c>
      <c r="AF73" s="72">
        <v>12.06</v>
      </c>
      <c r="AG73" s="72">
        <v>10.55</v>
      </c>
      <c r="AH73" s="72">
        <v>9.23</v>
      </c>
      <c r="AI73" s="72">
        <v>8.08</v>
      </c>
      <c r="AJ73" s="72">
        <v>7.08</v>
      </c>
      <c r="AK73" s="72">
        <v>6.21</v>
      </c>
      <c r="AL73" s="72">
        <v>5.45</v>
      </c>
      <c r="AM73" s="72">
        <v>4.78</v>
      </c>
      <c r="AN73" s="72">
        <v>4.21</v>
      </c>
      <c r="AO73" s="72">
        <v>3.7</v>
      </c>
      <c r="AP73" s="72">
        <v>3.26</v>
      </c>
      <c r="AQ73" s="72">
        <v>2.88</v>
      </c>
      <c r="AR73" s="72">
        <v>2.54</v>
      </c>
      <c r="AS73" s="72">
        <v>2.25</v>
      </c>
      <c r="AT73" s="72">
        <v>2</v>
      </c>
      <c r="AU73" s="72">
        <v>1.77</v>
      </c>
    </row>
    <row r="74" spans="1:47" x14ac:dyDescent="0.25">
      <c r="A74" s="71">
        <v>69</v>
      </c>
      <c r="B74" s="72">
        <v>30</v>
      </c>
      <c r="C74" s="72">
        <v>30</v>
      </c>
      <c r="D74" s="72">
        <v>30</v>
      </c>
      <c r="E74" s="72">
        <v>30</v>
      </c>
      <c r="F74" s="72">
        <v>30</v>
      </c>
      <c r="G74" s="72">
        <v>30</v>
      </c>
      <c r="H74" s="72">
        <v>30</v>
      </c>
      <c r="I74" s="72">
        <v>30</v>
      </c>
      <c r="J74" s="72">
        <v>30</v>
      </c>
      <c r="K74" s="72">
        <v>30</v>
      </c>
      <c r="L74" s="72">
        <v>30</v>
      </c>
      <c r="M74" s="72">
        <v>30</v>
      </c>
      <c r="N74" s="72">
        <v>30</v>
      </c>
      <c r="O74" s="72">
        <v>30</v>
      </c>
      <c r="P74" s="72">
        <v>30</v>
      </c>
      <c r="Q74" s="72">
        <v>30</v>
      </c>
      <c r="R74" s="72">
        <v>30</v>
      </c>
      <c r="S74" s="72">
        <v>30</v>
      </c>
      <c r="T74" s="72">
        <v>30</v>
      </c>
      <c r="U74" s="72">
        <v>30</v>
      </c>
      <c r="V74" s="72">
        <v>30</v>
      </c>
      <c r="W74" s="72">
        <v>30</v>
      </c>
      <c r="X74" s="72">
        <v>30</v>
      </c>
      <c r="Y74" s="72">
        <v>30</v>
      </c>
      <c r="Z74" s="72">
        <v>29.1</v>
      </c>
      <c r="AA74" s="72">
        <v>26.17</v>
      </c>
      <c r="AB74" s="72">
        <v>22.94</v>
      </c>
      <c r="AC74" s="72">
        <v>20.079999999999998</v>
      </c>
      <c r="AD74" s="72">
        <v>17.559999999999999</v>
      </c>
      <c r="AE74" s="72">
        <v>15.35</v>
      </c>
      <c r="AF74" s="72">
        <v>13.41</v>
      </c>
      <c r="AG74" s="72">
        <v>11.72</v>
      </c>
      <c r="AH74" s="72">
        <v>10.24</v>
      </c>
      <c r="AI74" s="72">
        <v>8.94</v>
      </c>
      <c r="AJ74" s="72">
        <v>7.82</v>
      </c>
      <c r="AK74" s="72">
        <v>6.84</v>
      </c>
      <c r="AL74" s="72">
        <v>5.99</v>
      </c>
      <c r="AM74" s="72">
        <v>5.25</v>
      </c>
      <c r="AN74" s="72">
        <v>4.5999999999999996</v>
      </c>
      <c r="AO74" s="72">
        <v>4.04</v>
      </c>
      <c r="AP74" s="72">
        <v>3.55</v>
      </c>
      <c r="AQ74" s="72">
        <v>3.12</v>
      </c>
      <c r="AR74" s="72">
        <v>2.75</v>
      </c>
      <c r="AS74" s="72">
        <v>2.4300000000000002</v>
      </c>
      <c r="AT74" s="72">
        <v>2.14</v>
      </c>
      <c r="AU74" s="72">
        <v>1.9</v>
      </c>
    </row>
    <row r="75" spans="1:47" x14ac:dyDescent="0.25">
      <c r="A75" s="71">
        <v>70</v>
      </c>
      <c r="B75" s="72">
        <v>30</v>
      </c>
      <c r="C75" s="72">
        <v>30</v>
      </c>
      <c r="D75" s="72">
        <v>30</v>
      </c>
      <c r="E75" s="72">
        <v>30</v>
      </c>
      <c r="F75" s="72">
        <v>30</v>
      </c>
      <c r="G75" s="72">
        <v>30</v>
      </c>
      <c r="H75" s="72">
        <v>30</v>
      </c>
      <c r="I75" s="72">
        <v>30</v>
      </c>
      <c r="J75" s="72">
        <v>30</v>
      </c>
      <c r="K75" s="72">
        <v>30</v>
      </c>
      <c r="L75" s="72">
        <v>30</v>
      </c>
      <c r="M75" s="72">
        <v>30</v>
      </c>
      <c r="N75" s="72">
        <v>30</v>
      </c>
      <c r="O75" s="72">
        <v>30</v>
      </c>
      <c r="P75" s="72">
        <v>30</v>
      </c>
      <c r="Q75" s="72">
        <v>30</v>
      </c>
      <c r="R75" s="72">
        <v>30</v>
      </c>
      <c r="S75" s="72">
        <v>30</v>
      </c>
      <c r="T75" s="72">
        <v>30</v>
      </c>
      <c r="U75" s="72">
        <v>30</v>
      </c>
      <c r="V75" s="72">
        <v>30</v>
      </c>
      <c r="W75" s="72">
        <v>30</v>
      </c>
      <c r="X75" s="72">
        <v>30</v>
      </c>
      <c r="Y75" s="72">
        <v>30</v>
      </c>
      <c r="Z75" s="72">
        <v>30</v>
      </c>
      <c r="AA75" s="72">
        <v>28.8</v>
      </c>
      <c r="AB75" s="72">
        <v>25.61</v>
      </c>
      <c r="AC75" s="72">
        <v>22.42</v>
      </c>
      <c r="AD75" s="72">
        <v>19.600000000000001</v>
      </c>
      <c r="AE75" s="72">
        <v>17.12</v>
      </c>
      <c r="AF75" s="72">
        <v>14.95</v>
      </c>
      <c r="AG75" s="72">
        <v>13.04</v>
      </c>
      <c r="AH75" s="72">
        <v>11.38</v>
      </c>
      <c r="AI75" s="72">
        <v>9.93</v>
      </c>
      <c r="AJ75" s="72">
        <v>8.66</v>
      </c>
      <c r="AK75" s="72">
        <v>7.56</v>
      </c>
      <c r="AL75" s="72">
        <v>6.61</v>
      </c>
      <c r="AM75" s="72">
        <v>5.77</v>
      </c>
      <c r="AN75" s="72">
        <v>5.05</v>
      </c>
      <c r="AO75" s="72">
        <v>4.42</v>
      </c>
      <c r="AP75" s="72">
        <v>3.87</v>
      </c>
      <c r="AQ75" s="72">
        <v>3.39</v>
      </c>
      <c r="AR75" s="72">
        <v>2.98</v>
      </c>
      <c r="AS75" s="72">
        <v>2.62</v>
      </c>
      <c r="AT75" s="72">
        <v>2.31</v>
      </c>
      <c r="AU75" s="72">
        <v>2.04</v>
      </c>
    </row>
    <row r="76" spans="1:47" x14ac:dyDescent="0.25">
      <c r="A76" s="71">
        <v>71</v>
      </c>
      <c r="B76" s="72">
        <v>30</v>
      </c>
      <c r="C76" s="72">
        <v>30</v>
      </c>
      <c r="D76" s="72">
        <v>30</v>
      </c>
      <c r="E76" s="72">
        <v>30</v>
      </c>
      <c r="F76" s="72">
        <v>30</v>
      </c>
      <c r="G76" s="72">
        <v>30</v>
      </c>
      <c r="H76" s="72">
        <v>30</v>
      </c>
      <c r="I76" s="72">
        <v>30</v>
      </c>
      <c r="J76" s="72">
        <v>30</v>
      </c>
      <c r="K76" s="72">
        <v>30</v>
      </c>
      <c r="L76" s="72">
        <v>30</v>
      </c>
      <c r="M76" s="72">
        <v>30</v>
      </c>
      <c r="N76" s="72">
        <v>30</v>
      </c>
      <c r="O76" s="72">
        <v>30</v>
      </c>
      <c r="P76" s="72">
        <v>30</v>
      </c>
      <c r="Q76" s="72">
        <v>30</v>
      </c>
      <c r="R76" s="72">
        <v>30</v>
      </c>
      <c r="S76" s="72">
        <v>30</v>
      </c>
      <c r="T76" s="72">
        <v>30</v>
      </c>
      <c r="U76" s="72">
        <v>30</v>
      </c>
      <c r="V76" s="72">
        <v>30</v>
      </c>
      <c r="W76" s="72">
        <v>30</v>
      </c>
      <c r="X76" s="72">
        <v>30</v>
      </c>
      <c r="Y76" s="72">
        <v>30</v>
      </c>
      <c r="Z76" s="72">
        <v>30</v>
      </c>
      <c r="AA76" s="72">
        <v>30</v>
      </c>
      <c r="AB76" s="72">
        <v>28.51</v>
      </c>
      <c r="AC76" s="72">
        <v>25.06</v>
      </c>
      <c r="AD76" s="72">
        <v>21.91</v>
      </c>
      <c r="AE76" s="72">
        <v>19.13</v>
      </c>
      <c r="AF76" s="72">
        <v>16.690000000000001</v>
      </c>
      <c r="AG76" s="72">
        <v>14.55</v>
      </c>
      <c r="AH76" s="72">
        <v>12.69</v>
      </c>
      <c r="AI76" s="72">
        <v>11.05</v>
      </c>
      <c r="AJ76" s="72">
        <v>9.6300000000000008</v>
      </c>
      <c r="AK76" s="72">
        <v>8.39</v>
      </c>
      <c r="AL76" s="72">
        <v>7.31</v>
      </c>
      <c r="AM76" s="72">
        <v>6.37</v>
      </c>
      <c r="AN76" s="72">
        <v>5.56</v>
      </c>
      <c r="AO76" s="72">
        <v>4.8499999999999996</v>
      </c>
      <c r="AP76" s="72">
        <v>4.24</v>
      </c>
      <c r="AQ76" s="72">
        <v>3.71</v>
      </c>
      <c r="AR76" s="72">
        <v>3.25</v>
      </c>
      <c r="AS76" s="72">
        <v>2.85</v>
      </c>
      <c r="AT76" s="72">
        <v>2.5</v>
      </c>
      <c r="AU76" s="72">
        <v>2.2000000000000002</v>
      </c>
    </row>
    <row r="77" spans="1:47" x14ac:dyDescent="0.25">
      <c r="A77" s="71">
        <v>72</v>
      </c>
      <c r="B77" s="72">
        <v>30</v>
      </c>
      <c r="C77" s="72">
        <v>30</v>
      </c>
      <c r="D77" s="72">
        <v>30</v>
      </c>
      <c r="E77" s="72">
        <v>30</v>
      </c>
      <c r="F77" s="72">
        <v>30</v>
      </c>
      <c r="G77" s="72">
        <v>30</v>
      </c>
      <c r="H77" s="72">
        <v>30</v>
      </c>
      <c r="I77" s="72">
        <v>30</v>
      </c>
      <c r="J77" s="72">
        <v>30</v>
      </c>
      <c r="K77" s="72">
        <v>30</v>
      </c>
      <c r="L77" s="72">
        <v>30</v>
      </c>
      <c r="M77" s="72">
        <v>30</v>
      </c>
      <c r="N77" s="72">
        <v>30</v>
      </c>
      <c r="O77" s="72">
        <v>30</v>
      </c>
      <c r="P77" s="72">
        <v>30</v>
      </c>
      <c r="Q77" s="72">
        <v>30</v>
      </c>
      <c r="R77" s="72">
        <v>30</v>
      </c>
      <c r="S77" s="72">
        <v>30</v>
      </c>
      <c r="T77" s="72">
        <v>30</v>
      </c>
      <c r="U77" s="72">
        <v>30</v>
      </c>
      <c r="V77" s="72">
        <v>30</v>
      </c>
      <c r="W77" s="72">
        <v>30</v>
      </c>
      <c r="X77" s="72">
        <v>30</v>
      </c>
      <c r="Y77" s="72">
        <v>30</v>
      </c>
      <c r="Z77" s="72">
        <v>30</v>
      </c>
      <c r="AA77" s="72">
        <v>30</v>
      </c>
      <c r="AB77" s="72">
        <v>30</v>
      </c>
      <c r="AC77" s="72">
        <v>28.05</v>
      </c>
      <c r="AD77" s="72">
        <v>24.53</v>
      </c>
      <c r="AE77" s="72">
        <v>21.42</v>
      </c>
      <c r="AF77" s="72">
        <v>18.68</v>
      </c>
      <c r="AG77" s="72">
        <v>16.28</v>
      </c>
      <c r="AH77" s="72">
        <v>14.17</v>
      </c>
      <c r="AI77" s="72">
        <v>12.33</v>
      </c>
      <c r="AJ77" s="72">
        <v>10.73</v>
      </c>
      <c r="AK77" s="72">
        <v>9.33</v>
      </c>
      <c r="AL77" s="72">
        <v>8.1199999999999992</v>
      </c>
      <c r="AM77" s="72">
        <v>7.06</v>
      </c>
      <c r="AN77" s="72">
        <v>6.15</v>
      </c>
      <c r="AO77" s="72">
        <v>5.35</v>
      </c>
      <c r="AP77" s="72">
        <v>4.66</v>
      </c>
      <c r="AQ77" s="72">
        <v>4.0599999999999996</v>
      </c>
      <c r="AR77" s="72">
        <v>3.55</v>
      </c>
      <c r="AS77" s="72">
        <v>3.1</v>
      </c>
      <c r="AT77" s="72">
        <v>2.72</v>
      </c>
      <c r="AU77" s="72">
        <v>2.38</v>
      </c>
    </row>
    <row r="78" spans="1:47" x14ac:dyDescent="0.25">
      <c r="A78" s="71">
        <v>73</v>
      </c>
      <c r="B78" s="72">
        <v>30</v>
      </c>
      <c r="C78" s="72">
        <v>30</v>
      </c>
      <c r="D78" s="72">
        <v>30</v>
      </c>
      <c r="E78" s="72">
        <v>30</v>
      </c>
      <c r="F78" s="72">
        <v>30</v>
      </c>
      <c r="G78" s="72">
        <v>30</v>
      </c>
      <c r="H78" s="72">
        <v>30</v>
      </c>
      <c r="I78" s="72">
        <v>30</v>
      </c>
      <c r="J78" s="72">
        <v>30</v>
      </c>
      <c r="K78" s="72">
        <v>30</v>
      </c>
      <c r="L78" s="72">
        <v>30</v>
      </c>
      <c r="M78" s="72">
        <v>30</v>
      </c>
      <c r="N78" s="72">
        <v>30</v>
      </c>
      <c r="O78" s="72">
        <v>30</v>
      </c>
      <c r="P78" s="72">
        <v>30</v>
      </c>
      <c r="Q78" s="72">
        <v>30</v>
      </c>
      <c r="R78" s="72">
        <v>30</v>
      </c>
      <c r="S78" s="72">
        <v>30</v>
      </c>
      <c r="T78" s="72">
        <v>30</v>
      </c>
      <c r="U78" s="72">
        <v>30</v>
      </c>
      <c r="V78" s="72">
        <v>30</v>
      </c>
      <c r="W78" s="72">
        <v>30</v>
      </c>
      <c r="X78" s="72">
        <v>30</v>
      </c>
      <c r="Y78" s="72">
        <v>30</v>
      </c>
      <c r="Z78" s="72">
        <v>30</v>
      </c>
      <c r="AA78" s="72">
        <v>30</v>
      </c>
      <c r="AB78" s="72">
        <v>30</v>
      </c>
      <c r="AC78" s="72">
        <v>29.82</v>
      </c>
      <c r="AD78" s="72">
        <v>27.5</v>
      </c>
      <c r="AE78" s="72">
        <v>24.02</v>
      </c>
      <c r="AF78" s="72">
        <v>20.94</v>
      </c>
      <c r="AG78" s="72">
        <v>18.239999999999998</v>
      </c>
      <c r="AH78" s="72">
        <v>15.88</v>
      </c>
      <c r="AI78" s="72">
        <v>13.8</v>
      </c>
      <c r="AJ78" s="72">
        <v>11.99</v>
      </c>
      <c r="AK78" s="72">
        <v>10.42</v>
      </c>
      <c r="AL78" s="72">
        <v>9.0500000000000007</v>
      </c>
      <c r="AM78" s="72">
        <v>7.85</v>
      </c>
      <c r="AN78" s="72">
        <v>6.82</v>
      </c>
      <c r="AO78" s="72">
        <v>5.92</v>
      </c>
      <c r="AP78" s="72">
        <v>5.14</v>
      </c>
      <c r="AQ78" s="72">
        <v>4.47</v>
      </c>
      <c r="AR78" s="72">
        <v>3.89</v>
      </c>
      <c r="AS78" s="72">
        <v>3.39</v>
      </c>
      <c r="AT78" s="72">
        <v>2.96</v>
      </c>
      <c r="AU78" s="72">
        <v>2.59</v>
      </c>
    </row>
    <row r="79" spans="1:47" x14ac:dyDescent="0.25">
      <c r="A79" s="71">
        <v>74</v>
      </c>
      <c r="B79" s="72">
        <v>30</v>
      </c>
      <c r="C79" s="72">
        <v>30</v>
      </c>
      <c r="D79" s="72">
        <v>30</v>
      </c>
      <c r="E79" s="72">
        <v>30</v>
      </c>
      <c r="F79" s="72">
        <v>30</v>
      </c>
      <c r="G79" s="72">
        <v>30</v>
      </c>
      <c r="H79" s="72">
        <v>30</v>
      </c>
      <c r="I79" s="72">
        <v>30</v>
      </c>
      <c r="J79" s="72">
        <v>30</v>
      </c>
      <c r="K79" s="72">
        <v>30</v>
      </c>
      <c r="L79" s="72">
        <v>30</v>
      </c>
      <c r="M79" s="72">
        <v>30</v>
      </c>
      <c r="N79" s="72">
        <v>30</v>
      </c>
      <c r="O79" s="72">
        <v>30</v>
      </c>
      <c r="P79" s="72">
        <v>30</v>
      </c>
      <c r="Q79" s="72">
        <v>30</v>
      </c>
      <c r="R79" s="72">
        <v>30</v>
      </c>
      <c r="S79" s="72">
        <v>30</v>
      </c>
      <c r="T79" s="72">
        <v>30</v>
      </c>
      <c r="U79" s="72">
        <v>30</v>
      </c>
      <c r="V79" s="72">
        <v>30</v>
      </c>
      <c r="W79" s="72">
        <v>30</v>
      </c>
      <c r="X79" s="72">
        <v>30</v>
      </c>
      <c r="Y79" s="72">
        <v>30</v>
      </c>
      <c r="Z79" s="72">
        <v>30</v>
      </c>
      <c r="AA79" s="72">
        <v>30</v>
      </c>
      <c r="AB79" s="72">
        <v>30</v>
      </c>
      <c r="AC79" s="72">
        <v>30</v>
      </c>
      <c r="AD79" s="72">
        <v>29.54</v>
      </c>
      <c r="AE79" s="72">
        <v>26.98</v>
      </c>
      <c r="AF79" s="72">
        <v>23.53</v>
      </c>
      <c r="AG79" s="72">
        <v>20.49</v>
      </c>
      <c r="AH79" s="72">
        <v>17.82</v>
      </c>
      <c r="AI79" s="72">
        <v>15.49</v>
      </c>
      <c r="AJ79" s="72">
        <v>13.44</v>
      </c>
      <c r="AK79" s="72">
        <v>11.66</v>
      </c>
      <c r="AL79" s="72">
        <v>10.11</v>
      </c>
      <c r="AM79" s="72">
        <v>8.76</v>
      </c>
      <c r="AN79" s="72">
        <v>7.59</v>
      </c>
      <c r="AO79" s="72">
        <v>6.58</v>
      </c>
      <c r="AP79" s="72">
        <v>5.7</v>
      </c>
      <c r="AQ79" s="72">
        <v>4.9400000000000004</v>
      </c>
      <c r="AR79" s="72">
        <v>4.28</v>
      </c>
      <c r="AS79" s="72">
        <v>3.72</v>
      </c>
      <c r="AT79" s="72">
        <v>3.24</v>
      </c>
      <c r="AU79" s="72">
        <v>2.82</v>
      </c>
    </row>
    <row r="80" spans="1:47" x14ac:dyDescent="0.25">
      <c r="A80" s="71">
        <v>75</v>
      </c>
      <c r="B80" s="72">
        <v>30</v>
      </c>
      <c r="C80" s="72">
        <v>30</v>
      </c>
      <c r="D80" s="72">
        <v>30</v>
      </c>
      <c r="E80" s="72">
        <v>30</v>
      </c>
      <c r="F80" s="72">
        <v>30</v>
      </c>
      <c r="G80" s="72">
        <v>30</v>
      </c>
      <c r="H80" s="72">
        <v>30</v>
      </c>
      <c r="I80" s="72">
        <v>30</v>
      </c>
      <c r="J80" s="72">
        <v>30</v>
      </c>
      <c r="K80" s="72">
        <v>30</v>
      </c>
      <c r="L80" s="72">
        <v>30</v>
      </c>
      <c r="M80" s="72">
        <v>30</v>
      </c>
      <c r="N80" s="72">
        <v>30</v>
      </c>
      <c r="O80" s="72">
        <v>30</v>
      </c>
      <c r="P80" s="72">
        <v>30</v>
      </c>
      <c r="Q80" s="72">
        <v>30</v>
      </c>
      <c r="R80" s="72">
        <v>30</v>
      </c>
      <c r="S80" s="72">
        <v>30</v>
      </c>
      <c r="T80" s="72">
        <v>30</v>
      </c>
      <c r="U80" s="72">
        <v>30</v>
      </c>
      <c r="V80" s="72">
        <v>30</v>
      </c>
      <c r="W80" s="72">
        <v>30</v>
      </c>
      <c r="X80" s="72">
        <v>30</v>
      </c>
      <c r="Y80" s="72">
        <v>30</v>
      </c>
      <c r="Z80" s="72">
        <v>30</v>
      </c>
      <c r="AA80" s="72">
        <v>30</v>
      </c>
      <c r="AB80" s="72">
        <v>30</v>
      </c>
      <c r="AC80" s="72">
        <v>30</v>
      </c>
      <c r="AD80" s="72">
        <v>30</v>
      </c>
      <c r="AE80" s="72">
        <v>29.28</v>
      </c>
      <c r="AF80" s="72">
        <v>26.48</v>
      </c>
      <c r="AG80" s="72">
        <v>23.06</v>
      </c>
      <c r="AH80" s="72">
        <v>20.059999999999999</v>
      </c>
      <c r="AI80" s="72">
        <v>17.420000000000002</v>
      </c>
      <c r="AJ80" s="72">
        <v>15.11</v>
      </c>
      <c r="AK80" s="72">
        <v>13.1</v>
      </c>
      <c r="AL80" s="72">
        <v>11.34</v>
      </c>
      <c r="AM80" s="72">
        <v>9.81</v>
      </c>
      <c r="AN80" s="72">
        <v>8.48</v>
      </c>
      <c r="AO80" s="72">
        <v>7.33</v>
      </c>
      <c r="AP80" s="72">
        <v>6.34</v>
      </c>
      <c r="AQ80" s="72">
        <v>5.47</v>
      </c>
      <c r="AR80" s="72">
        <v>4.74</v>
      </c>
      <c r="AS80" s="72">
        <v>4.1100000000000003</v>
      </c>
      <c r="AT80" s="72">
        <v>3.56</v>
      </c>
      <c r="AU80" s="72">
        <v>3.09</v>
      </c>
    </row>
    <row r="81" spans="1:47" x14ac:dyDescent="0.25">
      <c r="A81" s="71">
        <v>76</v>
      </c>
      <c r="B81" s="72">
        <v>30</v>
      </c>
      <c r="C81" s="72">
        <v>30</v>
      </c>
      <c r="D81" s="72">
        <v>30</v>
      </c>
      <c r="E81" s="72">
        <v>30</v>
      </c>
      <c r="F81" s="72">
        <v>30</v>
      </c>
      <c r="G81" s="72">
        <v>30</v>
      </c>
      <c r="H81" s="72">
        <v>30</v>
      </c>
      <c r="I81" s="72">
        <v>30</v>
      </c>
      <c r="J81" s="72">
        <v>30</v>
      </c>
      <c r="K81" s="72">
        <v>30</v>
      </c>
      <c r="L81" s="72">
        <v>30</v>
      </c>
      <c r="M81" s="72">
        <v>30</v>
      </c>
      <c r="N81" s="72">
        <v>30</v>
      </c>
      <c r="O81" s="72">
        <v>30</v>
      </c>
      <c r="P81" s="72">
        <v>30</v>
      </c>
      <c r="Q81" s="72">
        <v>30</v>
      </c>
      <c r="R81" s="72">
        <v>30</v>
      </c>
      <c r="S81" s="72">
        <v>30</v>
      </c>
      <c r="T81" s="72">
        <v>30</v>
      </c>
      <c r="U81" s="72">
        <v>30</v>
      </c>
      <c r="V81" s="72">
        <v>30</v>
      </c>
      <c r="W81" s="72">
        <v>30</v>
      </c>
      <c r="X81" s="72">
        <v>30</v>
      </c>
      <c r="Y81" s="72">
        <v>30</v>
      </c>
      <c r="Z81" s="72">
        <v>30</v>
      </c>
      <c r="AA81" s="72">
        <v>30</v>
      </c>
      <c r="AB81" s="72">
        <v>30</v>
      </c>
      <c r="AC81" s="72">
        <v>30</v>
      </c>
      <c r="AD81" s="72">
        <v>30</v>
      </c>
      <c r="AE81" s="72">
        <v>30</v>
      </c>
      <c r="AF81" s="72">
        <v>29.03</v>
      </c>
      <c r="AG81" s="72">
        <v>26.01</v>
      </c>
      <c r="AH81" s="72">
        <v>22.62</v>
      </c>
      <c r="AI81" s="72">
        <v>19.64</v>
      </c>
      <c r="AJ81" s="72">
        <v>17.03</v>
      </c>
      <c r="AK81" s="72">
        <v>14.75</v>
      </c>
      <c r="AL81" s="72">
        <v>12.76</v>
      </c>
      <c r="AM81" s="72">
        <v>11.02</v>
      </c>
      <c r="AN81" s="72">
        <v>9.51</v>
      </c>
      <c r="AO81" s="72">
        <v>8.2100000000000009</v>
      </c>
      <c r="AP81" s="72">
        <v>7.08</v>
      </c>
      <c r="AQ81" s="72">
        <v>6.1</v>
      </c>
      <c r="AR81" s="72">
        <v>5.26</v>
      </c>
      <c r="AS81" s="72">
        <v>4.55</v>
      </c>
      <c r="AT81" s="72">
        <v>3.93</v>
      </c>
      <c r="AU81" s="72">
        <v>3.4</v>
      </c>
    </row>
    <row r="82" spans="1:47" x14ac:dyDescent="0.25">
      <c r="A82" s="71">
        <v>77</v>
      </c>
      <c r="B82" s="72">
        <v>30</v>
      </c>
      <c r="C82" s="72">
        <v>30</v>
      </c>
      <c r="D82" s="72">
        <v>30</v>
      </c>
      <c r="E82" s="72">
        <v>30</v>
      </c>
      <c r="F82" s="72">
        <v>30</v>
      </c>
      <c r="G82" s="72">
        <v>30</v>
      </c>
      <c r="H82" s="72">
        <v>30</v>
      </c>
      <c r="I82" s="72">
        <v>30</v>
      </c>
      <c r="J82" s="72">
        <v>30</v>
      </c>
      <c r="K82" s="72">
        <v>30</v>
      </c>
      <c r="L82" s="72">
        <v>30</v>
      </c>
      <c r="M82" s="72">
        <v>30</v>
      </c>
      <c r="N82" s="72">
        <v>30</v>
      </c>
      <c r="O82" s="72">
        <v>30</v>
      </c>
      <c r="P82" s="72">
        <v>30</v>
      </c>
      <c r="Q82" s="72">
        <v>30</v>
      </c>
      <c r="R82" s="72">
        <v>30</v>
      </c>
      <c r="S82" s="72">
        <v>30</v>
      </c>
      <c r="T82" s="72">
        <v>30</v>
      </c>
      <c r="U82" s="72">
        <v>30</v>
      </c>
      <c r="V82" s="72">
        <v>30</v>
      </c>
      <c r="W82" s="72">
        <v>30</v>
      </c>
      <c r="X82" s="72">
        <v>30</v>
      </c>
      <c r="Y82" s="72">
        <v>30</v>
      </c>
      <c r="Z82" s="72">
        <v>30</v>
      </c>
      <c r="AA82" s="72">
        <v>30</v>
      </c>
      <c r="AB82" s="72">
        <v>30</v>
      </c>
      <c r="AC82" s="72">
        <v>30</v>
      </c>
      <c r="AD82" s="72">
        <v>30</v>
      </c>
      <c r="AE82" s="72">
        <v>30</v>
      </c>
      <c r="AF82" s="72">
        <v>30</v>
      </c>
      <c r="AG82" s="72">
        <v>28.8</v>
      </c>
      <c r="AH82" s="72">
        <v>25.57</v>
      </c>
      <c r="AI82" s="72">
        <v>22.2</v>
      </c>
      <c r="AJ82" s="72">
        <v>19.239999999999998</v>
      </c>
      <c r="AK82" s="72">
        <v>16.66</v>
      </c>
      <c r="AL82" s="72">
        <v>14.4</v>
      </c>
      <c r="AM82" s="72">
        <v>12.42</v>
      </c>
      <c r="AN82" s="72">
        <v>10.71</v>
      </c>
      <c r="AO82" s="72">
        <v>9.2200000000000006</v>
      </c>
      <c r="AP82" s="72">
        <v>7.93</v>
      </c>
      <c r="AQ82" s="72">
        <v>6.82</v>
      </c>
      <c r="AR82" s="72">
        <v>5.87</v>
      </c>
      <c r="AS82" s="72">
        <v>5.05</v>
      </c>
      <c r="AT82" s="72">
        <v>4.3600000000000003</v>
      </c>
      <c r="AU82" s="72">
        <v>3.76</v>
      </c>
    </row>
    <row r="83" spans="1:47" x14ac:dyDescent="0.25">
      <c r="A83" s="71">
        <v>78</v>
      </c>
      <c r="B83" s="72">
        <v>30</v>
      </c>
      <c r="C83" s="72">
        <v>30</v>
      </c>
      <c r="D83" s="72">
        <v>30</v>
      </c>
      <c r="E83" s="72">
        <v>30</v>
      </c>
      <c r="F83" s="72">
        <v>30</v>
      </c>
      <c r="G83" s="72">
        <v>30</v>
      </c>
      <c r="H83" s="72">
        <v>30</v>
      </c>
      <c r="I83" s="72">
        <v>30</v>
      </c>
      <c r="J83" s="72">
        <v>30</v>
      </c>
      <c r="K83" s="72">
        <v>30</v>
      </c>
      <c r="L83" s="72">
        <v>30</v>
      </c>
      <c r="M83" s="72">
        <v>30</v>
      </c>
      <c r="N83" s="72">
        <v>30</v>
      </c>
      <c r="O83" s="72">
        <v>30</v>
      </c>
      <c r="P83" s="72">
        <v>30</v>
      </c>
      <c r="Q83" s="72">
        <v>30</v>
      </c>
      <c r="R83" s="72">
        <v>30</v>
      </c>
      <c r="S83" s="72">
        <v>30</v>
      </c>
      <c r="T83" s="72">
        <v>30</v>
      </c>
      <c r="U83" s="72">
        <v>30</v>
      </c>
      <c r="V83" s="72">
        <v>30</v>
      </c>
      <c r="W83" s="72">
        <v>30</v>
      </c>
      <c r="X83" s="72">
        <v>30</v>
      </c>
      <c r="Y83" s="72">
        <v>30</v>
      </c>
      <c r="Z83" s="72">
        <v>30</v>
      </c>
      <c r="AA83" s="72">
        <v>30</v>
      </c>
      <c r="AB83" s="72">
        <v>30</v>
      </c>
      <c r="AC83" s="72">
        <v>30</v>
      </c>
      <c r="AD83" s="72">
        <v>30</v>
      </c>
      <c r="AE83" s="72">
        <v>30</v>
      </c>
      <c r="AF83" s="72">
        <v>30</v>
      </c>
      <c r="AG83" s="72">
        <v>30</v>
      </c>
      <c r="AH83" s="72">
        <v>28.58</v>
      </c>
      <c r="AI83" s="72">
        <v>25.15</v>
      </c>
      <c r="AJ83" s="72">
        <v>21.8</v>
      </c>
      <c r="AK83" s="72">
        <v>18.86</v>
      </c>
      <c r="AL83" s="72">
        <v>16.29</v>
      </c>
      <c r="AM83" s="72">
        <v>14.05</v>
      </c>
      <c r="AN83" s="72">
        <v>12.09</v>
      </c>
      <c r="AO83" s="72">
        <v>10.39</v>
      </c>
      <c r="AP83" s="72">
        <v>8.93</v>
      </c>
      <c r="AQ83" s="72">
        <v>7.65</v>
      </c>
      <c r="AR83" s="72">
        <v>6.57</v>
      </c>
      <c r="AS83" s="72">
        <v>5.64</v>
      </c>
      <c r="AT83" s="72">
        <v>4.8499999999999996</v>
      </c>
      <c r="AU83" s="72">
        <v>4.17</v>
      </c>
    </row>
    <row r="84" spans="1:47" x14ac:dyDescent="0.25">
      <c r="A84" s="71">
        <v>79</v>
      </c>
      <c r="B84" s="72">
        <v>30</v>
      </c>
      <c r="C84" s="72">
        <v>30</v>
      </c>
      <c r="D84" s="72">
        <v>30</v>
      </c>
      <c r="E84" s="72">
        <v>30</v>
      </c>
      <c r="F84" s="72">
        <v>30</v>
      </c>
      <c r="G84" s="72">
        <v>30</v>
      </c>
      <c r="H84" s="72">
        <v>30</v>
      </c>
      <c r="I84" s="72">
        <v>30</v>
      </c>
      <c r="J84" s="72">
        <v>30</v>
      </c>
      <c r="K84" s="72">
        <v>30</v>
      </c>
      <c r="L84" s="72">
        <v>30</v>
      </c>
      <c r="M84" s="72">
        <v>30</v>
      </c>
      <c r="N84" s="72">
        <v>30</v>
      </c>
      <c r="O84" s="72">
        <v>30</v>
      </c>
      <c r="P84" s="72">
        <v>30</v>
      </c>
      <c r="Q84" s="72">
        <v>30</v>
      </c>
      <c r="R84" s="72">
        <v>30</v>
      </c>
      <c r="S84" s="72">
        <v>30</v>
      </c>
      <c r="T84" s="72">
        <v>30</v>
      </c>
      <c r="U84" s="72">
        <v>30</v>
      </c>
      <c r="V84" s="72">
        <v>30</v>
      </c>
      <c r="W84" s="72">
        <v>30</v>
      </c>
      <c r="X84" s="72">
        <v>30</v>
      </c>
      <c r="Y84" s="72">
        <v>30</v>
      </c>
      <c r="Z84" s="72">
        <v>30</v>
      </c>
      <c r="AA84" s="72">
        <v>30</v>
      </c>
      <c r="AB84" s="72">
        <v>30</v>
      </c>
      <c r="AC84" s="72">
        <v>30</v>
      </c>
      <c r="AD84" s="72">
        <v>30</v>
      </c>
      <c r="AE84" s="72">
        <v>30</v>
      </c>
      <c r="AF84" s="72">
        <v>30</v>
      </c>
      <c r="AG84" s="72">
        <v>30</v>
      </c>
      <c r="AH84" s="72">
        <v>30</v>
      </c>
      <c r="AI84" s="72">
        <v>28.37</v>
      </c>
      <c r="AJ84" s="72">
        <v>24.75</v>
      </c>
      <c r="AK84" s="72">
        <v>21.42</v>
      </c>
      <c r="AL84" s="72">
        <v>18.489999999999998</v>
      </c>
      <c r="AM84" s="72">
        <v>15.93</v>
      </c>
      <c r="AN84" s="72">
        <v>13.7</v>
      </c>
      <c r="AO84" s="72">
        <v>11.76</v>
      </c>
      <c r="AP84" s="72">
        <v>10.08</v>
      </c>
      <c r="AQ84" s="72">
        <v>8.6199999999999992</v>
      </c>
      <c r="AR84" s="72">
        <v>7.39</v>
      </c>
      <c r="AS84" s="72">
        <v>6.33</v>
      </c>
      <c r="AT84" s="72">
        <v>5.42</v>
      </c>
      <c r="AU84" s="72">
        <v>4.6500000000000004</v>
      </c>
    </row>
    <row r="85" spans="1:47" x14ac:dyDescent="0.25">
      <c r="A85" s="71">
        <v>80</v>
      </c>
      <c r="B85" s="72">
        <v>30</v>
      </c>
      <c r="C85" s="72">
        <v>30</v>
      </c>
      <c r="D85" s="72">
        <v>30</v>
      </c>
      <c r="E85" s="72">
        <v>30</v>
      </c>
      <c r="F85" s="72">
        <v>30</v>
      </c>
      <c r="G85" s="72">
        <v>30</v>
      </c>
      <c r="H85" s="72">
        <v>30</v>
      </c>
      <c r="I85" s="72">
        <v>30</v>
      </c>
      <c r="J85" s="72">
        <v>30</v>
      </c>
      <c r="K85" s="72">
        <v>30</v>
      </c>
      <c r="L85" s="72">
        <v>30</v>
      </c>
      <c r="M85" s="72">
        <v>30</v>
      </c>
      <c r="N85" s="72">
        <v>30</v>
      </c>
      <c r="O85" s="72">
        <v>30</v>
      </c>
      <c r="P85" s="72">
        <v>30</v>
      </c>
      <c r="Q85" s="72">
        <v>30</v>
      </c>
      <c r="R85" s="72">
        <v>30</v>
      </c>
      <c r="S85" s="72">
        <v>30</v>
      </c>
      <c r="T85" s="72">
        <v>30</v>
      </c>
      <c r="U85" s="72">
        <v>30</v>
      </c>
      <c r="V85" s="72">
        <v>30</v>
      </c>
      <c r="W85" s="72">
        <v>30</v>
      </c>
      <c r="X85" s="72">
        <v>30</v>
      </c>
      <c r="Y85" s="72">
        <v>30</v>
      </c>
      <c r="Z85" s="72">
        <v>30</v>
      </c>
      <c r="AA85" s="72">
        <v>30</v>
      </c>
      <c r="AB85" s="72">
        <v>30</v>
      </c>
      <c r="AC85" s="72">
        <v>30</v>
      </c>
      <c r="AD85" s="72">
        <v>30</v>
      </c>
      <c r="AE85" s="72">
        <v>30</v>
      </c>
      <c r="AF85" s="72">
        <v>30</v>
      </c>
      <c r="AG85" s="72">
        <v>30</v>
      </c>
      <c r="AH85" s="72">
        <v>30</v>
      </c>
      <c r="AI85" s="72">
        <v>30</v>
      </c>
      <c r="AJ85" s="72">
        <v>28.17</v>
      </c>
      <c r="AK85" s="72">
        <v>24.37</v>
      </c>
      <c r="AL85" s="72">
        <v>21.04</v>
      </c>
      <c r="AM85" s="72">
        <v>18.12</v>
      </c>
      <c r="AN85" s="72">
        <v>15.57</v>
      </c>
      <c r="AO85" s="72">
        <v>13.35</v>
      </c>
      <c r="AP85" s="72">
        <v>11.43</v>
      </c>
      <c r="AQ85" s="72">
        <v>9.75</v>
      </c>
      <c r="AR85" s="72">
        <v>8.33</v>
      </c>
      <c r="AS85" s="72">
        <v>7.12</v>
      </c>
      <c r="AT85" s="72">
        <v>6.09</v>
      </c>
      <c r="AU85" s="72">
        <v>5.21</v>
      </c>
    </row>
    <row r="86" spans="1:47" x14ac:dyDescent="0.25">
      <c r="A86" s="71">
        <v>81</v>
      </c>
      <c r="B86" s="72">
        <v>30</v>
      </c>
      <c r="C86" s="72">
        <v>30</v>
      </c>
      <c r="D86" s="72">
        <v>30</v>
      </c>
      <c r="E86" s="72">
        <v>30</v>
      </c>
      <c r="F86" s="72">
        <v>30</v>
      </c>
      <c r="G86" s="72">
        <v>30</v>
      </c>
      <c r="H86" s="72">
        <v>30</v>
      </c>
      <c r="I86" s="72">
        <v>30</v>
      </c>
      <c r="J86" s="72">
        <v>30</v>
      </c>
      <c r="K86" s="72">
        <v>30</v>
      </c>
      <c r="L86" s="72">
        <v>30</v>
      </c>
      <c r="M86" s="72">
        <v>30</v>
      </c>
      <c r="N86" s="72">
        <v>30</v>
      </c>
      <c r="O86" s="72">
        <v>30</v>
      </c>
      <c r="P86" s="72">
        <v>30</v>
      </c>
      <c r="Q86" s="72">
        <v>30</v>
      </c>
      <c r="R86" s="72">
        <v>30</v>
      </c>
      <c r="S86" s="72">
        <v>30</v>
      </c>
      <c r="T86" s="72">
        <v>30</v>
      </c>
      <c r="U86" s="72">
        <v>30</v>
      </c>
      <c r="V86" s="72">
        <v>30</v>
      </c>
      <c r="W86" s="72">
        <v>30</v>
      </c>
      <c r="X86" s="72">
        <v>30</v>
      </c>
      <c r="Y86" s="72">
        <v>30</v>
      </c>
      <c r="Z86" s="72">
        <v>30</v>
      </c>
      <c r="AA86" s="72">
        <v>30</v>
      </c>
      <c r="AB86" s="72">
        <v>30</v>
      </c>
      <c r="AC86" s="72">
        <v>30</v>
      </c>
      <c r="AD86" s="72">
        <v>30</v>
      </c>
      <c r="AE86" s="72">
        <v>30</v>
      </c>
      <c r="AF86" s="72">
        <v>30</v>
      </c>
      <c r="AG86" s="72">
        <v>30</v>
      </c>
      <c r="AH86" s="72">
        <v>30</v>
      </c>
      <c r="AI86" s="72">
        <v>30</v>
      </c>
      <c r="AJ86" s="72">
        <v>30</v>
      </c>
      <c r="AK86" s="72">
        <v>27.8</v>
      </c>
      <c r="AL86" s="72">
        <v>24</v>
      </c>
      <c r="AM86" s="72">
        <v>20.65</v>
      </c>
      <c r="AN86" s="72">
        <v>17.739999999999998</v>
      </c>
      <c r="AO86" s="72">
        <v>15.2</v>
      </c>
      <c r="AP86" s="72">
        <v>12.99</v>
      </c>
      <c r="AQ86" s="72">
        <v>11.07</v>
      </c>
      <c r="AR86" s="72">
        <v>9.44</v>
      </c>
      <c r="AS86" s="72">
        <v>8.0500000000000007</v>
      </c>
      <c r="AT86" s="72">
        <v>6.86</v>
      </c>
      <c r="AU86" s="72">
        <v>5.85</v>
      </c>
    </row>
    <row r="87" spans="1:47" x14ac:dyDescent="0.25">
      <c r="A87" s="71">
        <v>82</v>
      </c>
      <c r="B87" s="72">
        <v>30</v>
      </c>
      <c r="C87" s="72">
        <v>30</v>
      </c>
      <c r="D87" s="72">
        <v>30</v>
      </c>
      <c r="E87" s="72">
        <v>30</v>
      </c>
      <c r="F87" s="72">
        <v>30</v>
      </c>
      <c r="G87" s="72">
        <v>30</v>
      </c>
      <c r="H87" s="72">
        <v>30</v>
      </c>
      <c r="I87" s="72">
        <v>30</v>
      </c>
      <c r="J87" s="72">
        <v>30</v>
      </c>
      <c r="K87" s="72">
        <v>30</v>
      </c>
      <c r="L87" s="72">
        <v>30</v>
      </c>
      <c r="M87" s="72">
        <v>30</v>
      </c>
      <c r="N87" s="72">
        <v>30</v>
      </c>
      <c r="O87" s="72">
        <v>30</v>
      </c>
      <c r="P87" s="72">
        <v>30</v>
      </c>
      <c r="Q87" s="72">
        <v>30</v>
      </c>
      <c r="R87" s="72">
        <v>30</v>
      </c>
      <c r="S87" s="72">
        <v>30</v>
      </c>
      <c r="T87" s="72">
        <v>30</v>
      </c>
      <c r="U87" s="72">
        <v>30</v>
      </c>
      <c r="V87" s="72">
        <v>30</v>
      </c>
      <c r="W87" s="72">
        <v>30</v>
      </c>
      <c r="X87" s="72">
        <v>30</v>
      </c>
      <c r="Y87" s="72">
        <v>30</v>
      </c>
      <c r="Z87" s="72">
        <v>30</v>
      </c>
      <c r="AA87" s="72">
        <v>30</v>
      </c>
      <c r="AB87" s="72">
        <v>30</v>
      </c>
      <c r="AC87" s="72">
        <v>30</v>
      </c>
      <c r="AD87" s="72">
        <v>30</v>
      </c>
      <c r="AE87" s="72">
        <v>30</v>
      </c>
      <c r="AF87" s="72">
        <v>30</v>
      </c>
      <c r="AG87" s="72">
        <v>30</v>
      </c>
      <c r="AH87" s="72">
        <v>30</v>
      </c>
      <c r="AI87" s="72">
        <v>30</v>
      </c>
      <c r="AJ87" s="72">
        <v>30</v>
      </c>
      <c r="AK87" s="72">
        <v>29.82</v>
      </c>
      <c r="AL87" s="72">
        <v>27.43</v>
      </c>
      <c r="AM87" s="72">
        <v>23.61</v>
      </c>
      <c r="AN87" s="72">
        <v>20.27</v>
      </c>
      <c r="AO87" s="72">
        <v>17.350000000000001</v>
      </c>
      <c r="AP87" s="72">
        <v>14.81</v>
      </c>
      <c r="AQ87" s="72">
        <v>12.6</v>
      </c>
      <c r="AR87" s="72">
        <v>10.73</v>
      </c>
      <c r="AS87" s="72">
        <v>9.1300000000000008</v>
      </c>
      <c r="AT87" s="72">
        <v>7.76</v>
      </c>
      <c r="AU87" s="72">
        <v>6.6</v>
      </c>
    </row>
    <row r="88" spans="1:47" x14ac:dyDescent="0.25">
      <c r="A88" s="71">
        <v>83</v>
      </c>
      <c r="B88" s="72">
        <v>30</v>
      </c>
      <c r="C88" s="72">
        <v>30</v>
      </c>
      <c r="D88" s="72">
        <v>30</v>
      </c>
      <c r="E88" s="72">
        <v>30</v>
      </c>
      <c r="F88" s="72">
        <v>30</v>
      </c>
      <c r="G88" s="72">
        <v>30</v>
      </c>
      <c r="H88" s="72">
        <v>30</v>
      </c>
      <c r="I88" s="72">
        <v>30</v>
      </c>
      <c r="J88" s="72">
        <v>30</v>
      </c>
      <c r="K88" s="72">
        <v>30</v>
      </c>
      <c r="L88" s="72">
        <v>30</v>
      </c>
      <c r="M88" s="72">
        <v>30</v>
      </c>
      <c r="N88" s="72">
        <v>30</v>
      </c>
      <c r="O88" s="72">
        <v>30</v>
      </c>
      <c r="P88" s="72">
        <v>30</v>
      </c>
      <c r="Q88" s="72">
        <v>30</v>
      </c>
      <c r="R88" s="72">
        <v>30</v>
      </c>
      <c r="S88" s="72">
        <v>30</v>
      </c>
      <c r="T88" s="72">
        <v>30</v>
      </c>
      <c r="U88" s="72">
        <v>30</v>
      </c>
      <c r="V88" s="72">
        <v>30</v>
      </c>
      <c r="W88" s="72">
        <v>30</v>
      </c>
      <c r="X88" s="72">
        <v>30</v>
      </c>
      <c r="Y88" s="72">
        <v>30</v>
      </c>
      <c r="Z88" s="72">
        <v>30</v>
      </c>
      <c r="AA88" s="72">
        <v>30</v>
      </c>
      <c r="AB88" s="72">
        <v>30</v>
      </c>
      <c r="AC88" s="72">
        <v>30</v>
      </c>
      <c r="AD88" s="72">
        <v>30</v>
      </c>
      <c r="AE88" s="72">
        <v>30</v>
      </c>
      <c r="AF88" s="72">
        <v>30</v>
      </c>
      <c r="AG88" s="72">
        <v>30</v>
      </c>
      <c r="AH88" s="72">
        <v>30</v>
      </c>
      <c r="AI88" s="72">
        <v>30</v>
      </c>
      <c r="AJ88" s="72">
        <v>30</v>
      </c>
      <c r="AK88" s="72">
        <v>30</v>
      </c>
      <c r="AL88" s="72">
        <v>29.64</v>
      </c>
      <c r="AM88" s="72">
        <v>27.05</v>
      </c>
      <c r="AN88" s="72">
        <v>23.22</v>
      </c>
      <c r="AO88" s="72">
        <v>19.86</v>
      </c>
      <c r="AP88" s="72">
        <v>16.95</v>
      </c>
      <c r="AQ88" s="72">
        <v>14.39</v>
      </c>
      <c r="AR88" s="72">
        <v>12.23</v>
      </c>
      <c r="AS88" s="72">
        <v>10.39</v>
      </c>
      <c r="AT88" s="72">
        <v>8.81</v>
      </c>
      <c r="AU88" s="72">
        <v>7.48</v>
      </c>
    </row>
    <row r="89" spans="1:47" x14ac:dyDescent="0.25">
      <c r="A89" s="71">
        <v>84</v>
      </c>
      <c r="B89" s="72">
        <v>30</v>
      </c>
      <c r="C89" s="72">
        <v>30</v>
      </c>
      <c r="D89" s="72">
        <v>30</v>
      </c>
      <c r="E89" s="72">
        <v>30</v>
      </c>
      <c r="F89" s="72">
        <v>30</v>
      </c>
      <c r="G89" s="72">
        <v>30</v>
      </c>
      <c r="H89" s="72">
        <v>30</v>
      </c>
      <c r="I89" s="72">
        <v>30</v>
      </c>
      <c r="J89" s="72">
        <v>30</v>
      </c>
      <c r="K89" s="72">
        <v>30</v>
      </c>
      <c r="L89" s="72">
        <v>30</v>
      </c>
      <c r="M89" s="72">
        <v>30</v>
      </c>
      <c r="N89" s="72">
        <v>30</v>
      </c>
      <c r="O89" s="72">
        <v>30</v>
      </c>
      <c r="P89" s="72">
        <v>30</v>
      </c>
      <c r="Q89" s="72">
        <v>30</v>
      </c>
      <c r="R89" s="72">
        <v>30</v>
      </c>
      <c r="S89" s="72">
        <v>30</v>
      </c>
      <c r="T89" s="72">
        <v>30</v>
      </c>
      <c r="U89" s="72">
        <v>30</v>
      </c>
      <c r="V89" s="72">
        <v>30</v>
      </c>
      <c r="W89" s="72">
        <v>30</v>
      </c>
      <c r="X89" s="72">
        <v>30</v>
      </c>
      <c r="Y89" s="72">
        <v>30</v>
      </c>
      <c r="Z89" s="72">
        <v>30</v>
      </c>
      <c r="AA89" s="72">
        <v>30</v>
      </c>
      <c r="AB89" s="72">
        <v>30</v>
      </c>
      <c r="AC89" s="72">
        <v>30</v>
      </c>
      <c r="AD89" s="72">
        <v>30</v>
      </c>
      <c r="AE89" s="72">
        <v>30</v>
      </c>
      <c r="AF89" s="72">
        <v>30</v>
      </c>
      <c r="AG89" s="72">
        <v>30</v>
      </c>
      <c r="AH89" s="72">
        <v>30</v>
      </c>
      <c r="AI89" s="72">
        <v>30</v>
      </c>
      <c r="AJ89" s="72">
        <v>30</v>
      </c>
      <c r="AK89" s="72">
        <v>30</v>
      </c>
      <c r="AL89" s="72">
        <v>30</v>
      </c>
      <c r="AM89" s="72">
        <v>29.45</v>
      </c>
      <c r="AN89" s="72">
        <v>26.67</v>
      </c>
      <c r="AO89" s="72">
        <v>22.81</v>
      </c>
      <c r="AP89" s="72">
        <v>19.45</v>
      </c>
      <c r="AQ89" s="72">
        <v>16.5</v>
      </c>
      <c r="AR89" s="72">
        <v>14</v>
      </c>
      <c r="AS89" s="72">
        <v>11.87</v>
      </c>
      <c r="AT89" s="72">
        <v>10.050000000000001</v>
      </c>
      <c r="AU89" s="72">
        <v>8.5</v>
      </c>
    </row>
    <row r="90" spans="1:47" x14ac:dyDescent="0.25">
      <c r="A90" s="71">
        <v>85</v>
      </c>
      <c r="B90" s="72">
        <v>30</v>
      </c>
      <c r="C90" s="72">
        <v>30</v>
      </c>
      <c r="D90" s="72">
        <v>30</v>
      </c>
      <c r="E90" s="72">
        <v>30</v>
      </c>
      <c r="F90" s="72">
        <v>30</v>
      </c>
      <c r="G90" s="72">
        <v>30</v>
      </c>
      <c r="H90" s="72">
        <v>30</v>
      </c>
      <c r="I90" s="72">
        <v>30</v>
      </c>
      <c r="J90" s="72">
        <v>30</v>
      </c>
      <c r="K90" s="72">
        <v>30</v>
      </c>
      <c r="L90" s="72">
        <v>30</v>
      </c>
      <c r="M90" s="72">
        <v>30</v>
      </c>
      <c r="N90" s="72">
        <v>30</v>
      </c>
      <c r="O90" s="72">
        <v>30</v>
      </c>
      <c r="P90" s="72">
        <v>30</v>
      </c>
      <c r="Q90" s="72">
        <v>30</v>
      </c>
      <c r="R90" s="72">
        <v>30</v>
      </c>
      <c r="S90" s="72">
        <v>30</v>
      </c>
      <c r="T90" s="72">
        <v>30</v>
      </c>
      <c r="U90" s="72">
        <v>30</v>
      </c>
      <c r="V90" s="72">
        <v>30</v>
      </c>
      <c r="W90" s="72">
        <v>30</v>
      </c>
      <c r="X90" s="72">
        <v>30</v>
      </c>
      <c r="Y90" s="72">
        <v>30</v>
      </c>
      <c r="Z90" s="72">
        <v>30</v>
      </c>
      <c r="AA90" s="72">
        <v>30</v>
      </c>
      <c r="AB90" s="72">
        <v>30</v>
      </c>
      <c r="AC90" s="72">
        <v>30</v>
      </c>
      <c r="AD90" s="72">
        <v>30</v>
      </c>
      <c r="AE90" s="72">
        <v>30</v>
      </c>
      <c r="AF90" s="72">
        <v>30</v>
      </c>
      <c r="AG90" s="72">
        <v>30</v>
      </c>
      <c r="AH90" s="72">
        <v>30</v>
      </c>
      <c r="AI90" s="72">
        <v>30</v>
      </c>
      <c r="AJ90" s="72">
        <v>30</v>
      </c>
      <c r="AK90" s="72">
        <v>30</v>
      </c>
      <c r="AL90" s="72">
        <v>30</v>
      </c>
      <c r="AM90" s="72">
        <v>30</v>
      </c>
      <c r="AN90" s="72">
        <v>29.27</v>
      </c>
      <c r="AO90" s="72">
        <v>26.27</v>
      </c>
      <c r="AP90" s="72">
        <v>22.38</v>
      </c>
      <c r="AQ90" s="72">
        <v>18.97</v>
      </c>
      <c r="AR90" s="72">
        <v>16.079999999999998</v>
      </c>
      <c r="AS90" s="72">
        <v>13.6</v>
      </c>
      <c r="AT90" s="72">
        <v>11.5</v>
      </c>
      <c r="AU90" s="72">
        <v>9.7100000000000009</v>
      </c>
    </row>
    <row r="91" spans="1:47" x14ac:dyDescent="0.25">
      <c r="A91" s="71">
        <v>86</v>
      </c>
      <c r="B91" s="72">
        <v>30</v>
      </c>
      <c r="C91" s="72">
        <v>30</v>
      </c>
      <c r="D91" s="72">
        <v>30</v>
      </c>
      <c r="E91" s="72">
        <v>30</v>
      </c>
      <c r="F91" s="72">
        <v>30</v>
      </c>
      <c r="G91" s="72">
        <v>30</v>
      </c>
      <c r="H91" s="72">
        <v>30</v>
      </c>
      <c r="I91" s="72">
        <v>30</v>
      </c>
      <c r="J91" s="72">
        <v>30</v>
      </c>
      <c r="K91" s="72">
        <v>30</v>
      </c>
      <c r="L91" s="72">
        <v>30</v>
      </c>
      <c r="M91" s="72">
        <v>30</v>
      </c>
      <c r="N91" s="72">
        <v>30</v>
      </c>
      <c r="O91" s="72">
        <v>30</v>
      </c>
      <c r="P91" s="72">
        <v>30</v>
      </c>
      <c r="Q91" s="72">
        <v>30</v>
      </c>
      <c r="R91" s="72">
        <v>30</v>
      </c>
      <c r="S91" s="72">
        <v>30</v>
      </c>
      <c r="T91" s="72">
        <v>30</v>
      </c>
      <c r="U91" s="72">
        <v>30</v>
      </c>
      <c r="V91" s="72">
        <v>30</v>
      </c>
      <c r="W91" s="72">
        <v>30</v>
      </c>
      <c r="X91" s="72">
        <v>30</v>
      </c>
      <c r="Y91" s="72">
        <v>30</v>
      </c>
      <c r="Z91" s="72">
        <v>30</v>
      </c>
      <c r="AA91" s="72">
        <v>30</v>
      </c>
      <c r="AB91" s="72">
        <v>30</v>
      </c>
      <c r="AC91" s="72">
        <v>30</v>
      </c>
      <c r="AD91" s="72">
        <v>30</v>
      </c>
      <c r="AE91" s="72">
        <v>30</v>
      </c>
      <c r="AF91" s="72">
        <v>30</v>
      </c>
      <c r="AG91" s="72">
        <v>30</v>
      </c>
      <c r="AH91" s="72">
        <v>30</v>
      </c>
      <c r="AI91" s="72">
        <v>30</v>
      </c>
      <c r="AJ91" s="72">
        <v>30</v>
      </c>
      <c r="AK91" s="72">
        <v>30</v>
      </c>
      <c r="AL91" s="72">
        <v>30</v>
      </c>
      <c r="AM91" s="72">
        <v>30</v>
      </c>
      <c r="AN91" s="72">
        <v>30</v>
      </c>
      <c r="AO91" s="72">
        <v>29.07</v>
      </c>
      <c r="AP91" s="72">
        <v>25.84</v>
      </c>
      <c r="AQ91" s="72">
        <v>21.87</v>
      </c>
      <c r="AR91" s="72">
        <v>18.52</v>
      </c>
      <c r="AS91" s="72">
        <v>15.65</v>
      </c>
      <c r="AT91" s="72">
        <v>13.2</v>
      </c>
      <c r="AU91" s="72">
        <v>11.13</v>
      </c>
    </row>
    <row r="92" spans="1:47" x14ac:dyDescent="0.25">
      <c r="A92" s="71">
        <v>87</v>
      </c>
      <c r="B92" s="72">
        <v>30</v>
      </c>
      <c r="C92" s="72">
        <v>30</v>
      </c>
      <c r="D92" s="72">
        <v>30</v>
      </c>
      <c r="E92" s="72">
        <v>30</v>
      </c>
      <c r="F92" s="72">
        <v>30</v>
      </c>
      <c r="G92" s="72">
        <v>30</v>
      </c>
      <c r="H92" s="72">
        <v>30</v>
      </c>
      <c r="I92" s="72">
        <v>30</v>
      </c>
      <c r="J92" s="72">
        <v>30</v>
      </c>
      <c r="K92" s="72">
        <v>30</v>
      </c>
      <c r="L92" s="72">
        <v>30</v>
      </c>
      <c r="M92" s="72">
        <v>30</v>
      </c>
      <c r="N92" s="72">
        <v>30</v>
      </c>
      <c r="O92" s="72">
        <v>30</v>
      </c>
      <c r="P92" s="72">
        <v>30</v>
      </c>
      <c r="Q92" s="72">
        <v>30</v>
      </c>
      <c r="R92" s="72">
        <v>30</v>
      </c>
      <c r="S92" s="72">
        <v>30</v>
      </c>
      <c r="T92" s="72">
        <v>30</v>
      </c>
      <c r="U92" s="72">
        <v>30</v>
      </c>
      <c r="V92" s="72">
        <v>30</v>
      </c>
      <c r="W92" s="72">
        <v>30</v>
      </c>
      <c r="X92" s="72">
        <v>30</v>
      </c>
      <c r="Y92" s="72">
        <v>30</v>
      </c>
      <c r="Z92" s="72">
        <v>30</v>
      </c>
      <c r="AA92" s="72">
        <v>30</v>
      </c>
      <c r="AB92" s="72">
        <v>30</v>
      </c>
      <c r="AC92" s="72">
        <v>30</v>
      </c>
      <c r="AD92" s="72">
        <v>30</v>
      </c>
      <c r="AE92" s="72">
        <v>30</v>
      </c>
      <c r="AF92" s="72">
        <v>30</v>
      </c>
      <c r="AG92" s="72">
        <v>30</v>
      </c>
      <c r="AH92" s="72">
        <v>30</v>
      </c>
      <c r="AI92" s="72">
        <v>30</v>
      </c>
      <c r="AJ92" s="72">
        <v>30</v>
      </c>
      <c r="AK92" s="72">
        <v>30</v>
      </c>
      <c r="AL92" s="72">
        <v>30</v>
      </c>
      <c r="AM92" s="72">
        <v>30</v>
      </c>
      <c r="AN92" s="72">
        <v>30</v>
      </c>
      <c r="AO92" s="72">
        <v>30</v>
      </c>
      <c r="AP92" s="72">
        <v>28.85</v>
      </c>
      <c r="AQ92" s="72">
        <v>25.3</v>
      </c>
      <c r="AR92" s="72">
        <v>21.41</v>
      </c>
      <c r="AS92" s="72">
        <v>18.07</v>
      </c>
      <c r="AT92" s="72">
        <v>15.22</v>
      </c>
      <c r="AU92" s="72">
        <v>12.8</v>
      </c>
    </row>
    <row r="93" spans="1:47" x14ac:dyDescent="0.25">
      <c r="A93" s="71">
        <v>88</v>
      </c>
      <c r="B93" s="72">
        <v>30</v>
      </c>
      <c r="C93" s="72">
        <v>30</v>
      </c>
      <c r="D93" s="72">
        <v>30</v>
      </c>
      <c r="E93" s="72">
        <v>30</v>
      </c>
      <c r="F93" s="72">
        <v>30</v>
      </c>
      <c r="G93" s="72">
        <v>30</v>
      </c>
      <c r="H93" s="72">
        <v>30</v>
      </c>
      <c r="I93" s="72">
        <v>30</v>
      </c>
      <c r="J93" s="72">
        <v>30</v>
      </c>
      <c r="K93" s="72">
        <v>30</v>
      </c>
      <c r="L93" s="72">
        <v>30</v>
      </c>
      <c r="M93" s="72">
        <v>30</v>
      </c>
      <c r="N93" s="72">
        <v>30</v>
      </c>
      <c r="O93" s="72">
        <v>30</v>
      </c>
      <c r="P93" s="72">
        <v>30</v>
      </c>
      <c r="Q93" s="72">
        <v>30</v>
      </c>
      <c r="R93" s="72">
        <v>30</v>
      </c>
      <c r="S93" s="72">
        <v>30</v>
      </c>
      <c r="T93" s="72">
        <v>30</v>
      </c>
      <c r="U93" s="72">
        <v>30</v>
      </c>
      <c r="V93" s="72">
        <v>30</v>
      </c>
      <c r="W93" s="72">
        <v>30</v>
      </c>
      <c r="X93" s="72">
        <v>30</v>
      </c>
      <c r="Y93" s="72">
        <v>30</v>
      </c>
      <c r="Z93" s="72">
        <v>30</v>
      </c>
      <c r="AA93" s="72">
        <v>30</v>
      </c>
      <c r="AB93" s="72">
        <v>30</v>
      </c>
      <c r="AC93" s="72">
        <v>30</v>
      </c>
      <c r="AD93" s="72">
        <v>30</v>
      </c>
      <c r="AE93" s="72">
        <v>30</v>
      </c>
      <c r="AF93" s="72">
        <v>30</v>
      </c>
      <c r="AG93" s="72">
        <v>30</v>
      </c>
      <c r="AH93" s="72">
        <v>30</v>
      </c>
      <c r="AI93" s="72">
        <v>30</v>
      </c>
      <c r="AJ93" s="72">
        <v>30</v>
      </c>
      <c r="AK93" s="72">
        <v>30</v>
      </c>
      <c r="AL93" s="72">
        <v>30</v>
      </c>
      <c r="AM93" s="72">
        <v>30</v>
      </c>
      <c r="AN93" s="72">
        <v>30</v>
      </c>
      <c r="AO93" s="72">
        <v>30</v>
      </c>
      <c r="AP93" s="72">
        <v>30</v>
      </c>
      <c r="AQ93" s="72">
        <v>28.58</v>
      </c>
      <c r="AR93" s="72">
        <v>24.81</v>
      </c>
      <c r="AS93" s="72">
        <v>20.91</v>
      </c>
      <c r="AT93" s="72">
        <v>17.59</v>
      </c>
      <c r="AU93" s="72">
        <v>14.77</v>
      </c>
    </row>
    <row r="94" spans="1:47" x14ac:dyDescent="0.25">
      <c r="A94" s="71">
        <v>89</v>
      </c>
      <c r="B94" s="72">
        <v>30</v>
      </c>
      <c r="C94" s="72">
        <v>30</v>
      </c>
      <c r="D94" s="72">
        <v>30</v>
      </c>
      <c r="E94" s="72">
        <v>30</v>
      </c>
      <c r="F94" s="72">
        <v>30</v>
      </c>
      <c r="G94" s="72">
        <v>30</v>
      </c>
      <c r="H94" s="72">
        <v>30</v>
      </c>
      <c r="I94" s="72">
        <v>30</v>
      </c>
      <c r="J94" s="72">
        <v>30</v>
      </c>
      <c r="K94" s="72">
        <v>30</v>
      </c>
      <c r="L94" s="72">
        <v>30</v>
      </c>
      <c r="M94" s="72">
        <v>30</v>
      </c>
      <c r="N94" s="72">
        <v>30</v>
      </c>
      <c r="O94" s="72">
        <v>30</v>
      </c>
      <c r="P94" s="72">
        <v>30</v>
      </c>
      <c r="Q94" s="72">
        <v>30</v>
      </c>
      <c r="R94" s="72">
        <v>30</v>
      </c>
      <c r="S94" s="72">
        <v>30</v>
      </c>
      <c r="T94" s="72">
        <v>30</v>
      </c>
      <c r="U94" s="72">
        <v>30</v>
      </c>
      <c r="V94" s="72">
        <v>30</v>
      </c>
      <c r="W94" s="72">
        <v>30</v>
      </c>
      <c r="X94" s="72">
        <v>30</v>
      </c>
      <c r="Y94" s="72">
        <v>30</v>
      </c>
      <c r="Z94" s="72">
        <v>30</v>
      </c>
      <c r="AA94" s="72">
        <v>30</v>
      </c>
      <c r="AB94" s="72">
        <v>30</v>
      </c>
      <c r="AC94" s="72">
        <v>30</v>
      </c>
      <c r="AD94" s="72">
        <v>30</v>
      </c>
      <c r="AE94" s="72">
        <v>30</v>
      </c>
      <c r="AF94" s="72">
        <v>30</v>
      </c>
      <c r="AG94" s="72">
        <v>30</v>
      </c>
      <c r="AH94" s="72">
        <v>30</v>
      </c>
      <c r="AI94" s="72">
        <v>30</v>
      </c>
      <c r="AJ94" s="72">
        <v>30</v>
      </c>
      <c r="AK94" s="72">
        <v>30</v>
      </c>
      <c r="AL94" s="72">
        <v>30</v>
      </c>
      <c r="AM94" s="72">
        <v>30</v>
      </c>
      <c r="AN94" s="72">
        <v>30</v>
      </c>
      <c r="AO94" s="72">
        <v>30</v>
      </c>
      <c r="AP94" s="72">
        <v>30</v>
      </c>
      <c r="AQ94" s="72">
        <v>30</v>
      </c>
      <c r="AR94" s="72">
        <v>28.32</v>
      </c>
      <c r="AS94" s="72">
        <v>24.27</v>
      </c>
      <c r="AT94" s="72">
        <v>20.39</v>
      </c>
      <c r="AU94" s="72">
        <v>17.09</v>
      </c>
    </row>
    <row r="95" spans="1:47" x14ac:dyDescent="0.25">
      <c r="A95" s="71">
        <v>90</v>
      </c>
      <c r="B95" s="72">
        <v>30</v>
      </c>
      <c r="C95" s="72">
        <v>30</v>
      </c>
      <c r="D95" s="72">
        <v>30</v>
      </c>
      <c r="E95" s="72">
        <v>30</v>
      </c>
      <c r="F95" s="72">
        <v>30</v>
      </c>
      <c r="G95" s="72">
        <v>30</v>
      </c>
      <c r="H95" s="72">
        <v>30</v>
      </c>
      <c r="I95" s="72">
        <v>30</v>
      </c>
      <c r="J95" s="72">
        <v>30</v>
      </c>
      <c r="K95" s="72">
        <v>30</v>
      </c>
      <c r="L95" s="72">
        <v>30</v>
      </c>
      <c r="M95" s="72">
        <v>30</v>
      </c>
      <c r="N95" s="72">
        <v>30</v>
      </c>
      <c r="O95" s="72">
        <v>30</v>
      </c>
      <c r="P95" s="72">
        <v>30</v>
      </c>
      <c r="Q95" s="72">
        <v>30</v>
      </c>
      <c r="R95" s="72">
        <v>30</v>
      </c>
      <c r="S95" s="72">
        <v>30</v>
      </c>
      <c r="T95" s="72">
        <v>30</v>
      </c>
      <c r="U95" s="72">
        <v>30</v>
      </c>
      <c r="V95" s="72">
        <v>30</v>
      </c>
      <c r="W95" s="72">
        <v>30</v>
      </c>
      <c r="X95" s="72">
        <v>30</v>
      </c>
      <c r="Y95" s="72">
        <v>30</v>
      </c>
      <c r="Z95" s="72">
        <v>30</v>
      </c>
      <c r="AA95" s="72">
        <v>30</v>
      </c>
      <c r="AB95" s="72">
        <v>30</v>
      </c>
      <c r="AC95" s="72">
        <v>30</v>
      </c>
      <c r="AD95" s="72">
        <v>30</v>
      </c>
      <c r="AE95" s="72">
        <v>30</v>
      </c>
      <c r="AF95" s="72">
        <v>30</v>
      </c>
      <c r="AG95" s="72">
        <v>30</v>
      </c>
      <c r="AH95" s="72">
        <v>30</v>
      </c>
      <c r="AI95" s="72">
        <v>30</v>
      </c>
      <c r="AJ95" s="72">
        <v>30</v>
      </c>
      <c r="AK95" s="72">
        <v>30</v>
      </c>
      <c r="AL95" s="72">
        <v>30</v>
      </c>
      <c r="AM95" s="72">
        <v>30</v>
      </c>
      <c r="AN95" s="72">
        <v>30</v>
      </c>
      <c r="AO95" s="72">
        <v>30</v>
      </c>
      <c r="AP95" s="72">
        <v>30</v>
      </c>
      <c r="AQ95" s="72">
        <v>30</v>
      </c>
      <c r="AR95" s="72">
        <v>30</v>
      </c>
      <c r="AS95" s="72">
        <v>28.04</v>
      </c>
      <c r="AT95" s="72">
        <v>23.69</v>
      </c>
      <c r="AU95" s="72">
        <v>19.829999999999998</v>
      </c>
    </row>
    <row r="96" spans="1:47" x14ac:dyDescent="0.25">
      <c r="A96" s="71">
        <v>91</v>
      </c>
      <c r="B96" s="72">
        <v>30</v>
      </c>
      <c r="C96" s="72">
        <v>30</v>
      </c>
      <c r="D96" s="72">
        <v>30</v>
      </c>
      <c r="E96" s="72">
        <v>30</v>
      </c>
      <c r="F96" s="72">
        <v>30</v>
      </c>
      <c r="G96" s="72">
        <v>30</v>
      </c>
      <c r="H96" s="72">
        <v>30</v>
      </c>
      <c r="I96" s="72">
        <v>30</v>
      </c>
      <c r="J96" s="72">
        <v>30</v>
      </c>
      <c r="K96" s="72">
        <v>30</v>
      </c>
      <c r="L96" s="72">
        <v>30</v>
      </c>
      <c r="M96" s="72">
        <v>30</v>
      </c>
      <c r="N96" s="72">
        <v>30</v>
      </c>
      <c r="O96" s="72">
        <v>30</v>
      </c>
      <c r="P96" s="72">
        <v>30</v>
      </c>
      <c r="Q96" s="72">
        <v>30</v>
      </c>
      <c r="R96" s="72">
        <v>30</v>
      </c>
      <c r="S96" s="72">
        <v>30</v>
      </c>
      <c r="T96" s="72">
        <v>30</v>
      </c>
      <c r="U96" s="72">
        <v>30</v>
      </c>
      <c r="V96" s="72">
        <v>30</v>
      </c>
      <c r="W96" s="72">
        <v>30</v>
      </c>
      <c r="X96" s="72">
        <v>30</v>
      </c>
      <c r="Y96" s="72">
        <v>30</v>
      </c>
      <c r="Z96" s="72">
        <v>30</v>
      </c>
      <c r="AA96" s="72">
        <v>30</v>
      </c>
      <c r="AB96" s="72">
        <v>30</v>
      </c>
      <c r="AC96" s="72">
        <v>30</v>
      </c>
      <c r="AD96" s="72">
        <v>30</v>
      </c>
      <c r="AE96" s="72">
        <v>30</v>
      </c>
      <c r="AF96" s="72">
        <v>30</v>
      </c>
      <c r="AG96" s="72">
        <v>30</v>
      </c>
      <c r="AH96" s="72">
        <v>30</v>
      </c>
      <c r="AI96" s="72">
        <v>30</v>
      </c>
      <c r="AJ96" s="72">
        <v>30</v>
      </c>
      <c r="AK96" s="72">
        <v>30</v>
      </c>
      <c r="AL96" s="72">
        <v>30</v>
      </c>
      <c r="AM96" s="72">
        <v>30</v>
      </c>
      <c r="AN96" s="72">
        <v>30</v>
      </c>
      <c r="AO96" s="72">
        <v>30</v>
      </c>
      <c r="AP96" s="72">
        <v>30</v>
      </c>
      <c r="AQ96" s="72">
        <v>30</v>
      </c>
      <c r="AR96" s="72">
        <v>30</v>
      </c>
      <c r="AS96" s="72">
        <v>30</v>
      </c>
      <c r="AT96" s="72">
        <v>27.57</v>
      </c>
      <c r="AU96" s="72">
        <v>23.06</v>
      </c>
    </row>
    <row r="97" spans="1:47" x14ac:dyDescent="0.25">
      <c r="A97" s="71">
        <v>92</v>
      </c>
      <c r="B97" s="72">
        <v>30</v>
      </c>
      <c r="C97" s="72">
        <v>30</v>
      </c>
      <c r="D97" s="72">
        <v>30</v>
      </c>
      <c r="E97" s="72">
        <v>30</v>
      </c>
      <c r="F97" s="72">
        <v>30</v>
      </c>
      <c r="G97" s="72">
        <v>30</v>
      </c>
      <c r="H97" s="72">
        <v>30</v>
      </c>
      <c r="I97" s="72">
        <v>30</v>
      </c>
      <c r="J97" s="72">
        <v>30</v>
      </c>
      <c r="K97" s="72">
        <v>30</v>
      </c>
      <c r="L97" s="72">
        <v>30</v>
      </c>
      <c r="M97" s="72">
        <v>30</v>
      </c>
      <c r="N97" s="72">
        <v>30</v>
      </c>
      <c r="O97" s="72">
        <v>30</v>
      </c>
      <c r="P97" s="72">
        <v>30</v>
      </c>
      <c r="Q97" s="72">
        <v>30</v>
      </c>
      <c r="R97" s="72">
        <v>30</v>
      </c>
      <c r="S97" s="72">
        <v>30</v>
      </c>
      <c r="T97" s="72">
        <v>30</v>
      </c>
      <c r="U97" s="72">
        <v>30</v>
      </c>
      <c r="V97" s="72">
        <v>30</v>
      </c>
      <c r="W97" s="72">
        <v>30</v>
      </c>
      <c r="X97" s="72">
        <v>30</v>
      </c>
      <c r="Y97" s="72">
        <v>30</v>
      </c>
      <c r="Z97" s="72">
        <v>30</v>
      </c>
      <c r="AA97" s="72">
        <v>30</v>
      </c>
      <c r="AB97" s="72">
        <v>30</v>
      </c>
      <c r="AC97" s="72">
        <v>30</v>
      </c>
      <c r="AD97" s="72">
        <v>30</v>
      </c>
      <c r="AE97" s="72">
        <v>30</v>
      </c>
      <c r="AF97" s="72">
        <v>30</v>
      </c>
      <c r="AG97" s="72">
        <v>30</v>
      </c>
      <c r="AH97" s="72">
        <v>30</v>
      </c>
      <c r="AI97" s="72">
        <v>30</v>
      </c>
      <c r="AJ97" s="72">
        <v>30</v>
      </c>
      <c r="AK97" s="72">
        <v>30</v>
      </c>
      <c r="AL97" s="72">
        <v>30</v>
      </c>
      <c r="AM97" s="72">
        <v>30</v>
      </c>
      <c r="AN97" s="72">
        <v>30</v>
      </c>
      <c r="AO97" s="72">
        <v>30</v>
      </c>
      <c r="AP97" s="72">
        <v>30</v>
      </c>
      <c r="AQ97" s="72">
        <v>30</v>
      </c>
      <c r="AR97" s="72">
        <v>30</v>
      </c>
      <c r="AS97" s="72">
        <v>30</v>
      </c>
      <c r="AT97" s="72">
        <v>29.84</v>
      </c>
      <c r="AU97" s="72">
        <v>26.84</v>
      </c>
    </row>
    <row r="98" spans="1:47" x14ac:dyDescent="0.25">
      <c r="A98" s="71">
        <v>93</v>
      </c>
      <c r="B98" s="72">
        <v>30</v>
      </c>
      <c r="C98" s="72">
        <v>30</v>
      </c>
      <c r="D98" s="72">
        <v>30</v>
      </c>
      <c r="E98" s="72">
        <v>30</v>
      </c>
      <c r="F98" s="72">
        <v>30</v>
      </c>
      <c r="G98" s="72">
        <v>30</v>
      </c>
      <c r="H98" s="72">
        <v>30</v>
      </c>
      <c r="I98" s="72">
        <v>30</v>
      </c>
      <c r="J98" s="72">
        <v>30</v>
      </c>
      <c r="K98" s="72">
        <v>30</v>
      </c>
      <c r="L98" s="72">
        <v>30</v>
      </c>
      <c r="M98" s="72">
        <v>30</v>
      </c>
      <c r="N98" s="72">
        <v>30</v>
      </c>
      <c r="O98" s="72">
        <v>30</v>
      </c>
      <c r="P98" s="72">
        <v>30</v>
      </c>
      <c r="Q98" s="72">
        <v>30</v>
      </c>
      <c r="R98" s="72">
        <v>30</v>
      </c>
      <c r="S98" s="72">
        <v>30</v>
      </c>
      <c r="T98" s="72">
        <v>30</v>
      </c>
      <c r="U98" s="72">
        <v>30</v>
      </c>
      <c r="V98" s="72">
        <v>30</v>
      </c>
      <c r="W98" s="72">
        <v>30</v>
      </c>
      <c r="X98" s="72">
        <v>30</v>
      </c>
      <c r="Y98" s="72">
        <v>30</v>
      </c>
      <c r="Z98" s="72">
        <v>30</v>
      </c>
      <c r="AA98" s="72">
        <v>30</v>
      </c>
      <c r="AB98" s="72">
        <v>30</v>
      </c>
      <c r="AC98" s="72">
        <v>30</v>
      </c>
      <c r="AD98" s="72">
        <v>30</v>
      </c>
      <c r="AE98" s="72">
        <v>30</v>
      </c>
      <c r="AF98" s="72">
        <v>30</v>
      </c>
      <c r="AG98" s="72">
        <v>30</v>
      </c>
      <c r="AH98" s="72">
        <v>30</v>
      </c>
      <c r="AI98" s="72">
        <v>30</v>
      </c>
      <c r="AJ98" s="72">
        <v>30</v>
      </c>
      <c r="AK98" s="72">
        <v>30</v>
      </c>
      <c r="AL98" s="72">
        <v>30</v>
      </c>
      <c r="AM98" s="72">
        <v>30</v>
      </c>
      <c r="AN98" s="72">
        <v>30</v>
      </c>
      <c r="AO98" s="72">
        <v>30</v>
      </c>
      <c r="AP98" s="72">
        <v>30</v>
      </c>
      <c r="AQ98" s="72">
        <v>30</v>
      </c>
      <c r="AR98" s="72">
        <v>30</v>
      </c>
      <c r="AS98" s="72">
        <v>30</v>
      </c>
      <c r="AT98" s="72">
        <v>30</v>
      </c>
      <c r="AU98" s="72">
        <v>29.44</v>
      </c>
    </row>
    <row r="99" spans="1:47" x14ac:dyDescent="0.25">
      <c r="A99" s="71">
        <v>94</v>
      </c>
      <c r="B99" s="72">
        <v>30</v>
      </c>
      <c r="C99" s="72">
        <v>30</v>
      </c>
      <c r="D99" s="72">
        <v>30</v>
      </c>
      <c r="E99" s="72">
        <v>30</v>
      </c>
      <c r="F99" s="72">
        <v>30</v>
      </c>
      <c r="G99" s="72">
        <v>30</v>
      </c>
      <c r="H99" s="72">
        <v>30</v>
      </c>
      <c r="I99" s="72">
        <v>30</v>
      </c>
      <c r="J99" s="72">
        <v>30</v>
      </c>
      <c r="K99" s="72">
        <v>30</v>
      </c>
      <c r="L99" s="72">
        <v>30</v>
      </c>
      <c r="M99" s="72">
        <v>30</v>
      </c>
      <c r="N99" s="72">
        <v>30</v>
      </c>
      <c r="O99" s="72">
        <v>30</v>
      </c>
      <c r="P99" s="72">
        <v>30</v>
      </c>
      <c r="Q99" s="72">
        <v>30</v>
      </c>
      <c r="R99" s="72">
        <v>30</v>
      </c>
      <c r="S99" s="72">
        <v>30</v>
      </c>
      <c r="T99" s="72">
        <v>30</v>
      </c>
      <c r="U99" s="72">
        <v>30</v>
      </c>
      <c r="V99" s="72">
        <v>30</v>
      </c>
      <c r="W99" s="72">
        <v>30</v>
      </c>
      <c r="X99" s="72">
        <v>30</v>
      </c>
      <c r="Y99" s="72">
        <v>30</v>
      </c>
      <c r="Z99" s="72">
        <v>30</v>
      </c>
      <c r="AA99" s="72">
        <v>30</v>
      </c>
      <c r="AB99" s="72">
        <v>30</v>
      </c>
      <c r="AC99" s="72">
        <v>30</v>
      </c>
      <c r="AD99" s="72">
        <v>30</v>
      </c>
      <c r="AE99" s="72">
        <v>30</v>
      </c>
      <c r="AF99" s="72">
        <v>30</v>
      </c>
      <c r="AG99" s="72">
        <v>30</v>
      </c>
      <c r="AH99" s="72">
        <v>30</v>
      </c>
      <c r="AI99" s="72">
        <v>30</v>
      </c>
      <c r="AJ99" s="72">
        <v>30</v>
      </c>
      <c r="AK99" s="72">
        <v>30</v>
      </c>
      <c r="AL99" s="72">
        <v>30</v>
      </c>
      <c r="AM99" s="72">
        <v>30</v>
      </c>
      <c r="AN99" s="72">
        <v>30</v>
      </c>
      <c r="AO99" s="72">
        <v>30</v>
      </c>
      <c r="AP99" s="72">
        <v>30</v>
      </c>
      <c r="AQ99" s="72">
        <v>30</v>
      </c>
      <c r="AR99" s="72">
        <v>30</v>
      </c>
      <c r="AS99" s="72">
        <v>30</v>
      </c>
      <c r="AT99" s="72">
        <v>30</v>
      </c>
      <c r="AU99" s="72">
        <v>30</v>
      </c>
    </row>
    <row r="100" spans="1:47" x14ac:dyDescent="0.25">
      <c r="A100" s="71">
        <v>95</v>
      </c>
      <c r="B100" s="72">
        <v>30</v>
      </c>
      <c r="C100" s="72">
        <v>30</v>
      </c>
      <c r="D100" s="72">
        <v>30</v>
      </c>
      <c r="E100" s="72">
        <v>30</v>
      </c>
      <c r="F100" s="72">
        <v>30</v>
      </c>
      <c r="G100" s="72">
        <v>30</v>
      </c>
      <c r="H100" s="72">
        <v>30</v>
      </c>
      <c r="I100" s="72">
        <v>30</v>
      </c>
      <c r="J100" s="72">
        <v>30</v>
      </c>
      <c r="K100" s="72">
        <v>30</v>
      </c>
      <c r="L100" s="72">
        <v>30</v>
      </c>
      <c r="M100" s="72">
        <v>30</v>
      </c>
      <c r="N100" s="72">
        <v>30</v>
      </c>
      <c r="O100" s="72">
        <v>30</v>
      </c>
      <c r="P100" s="72">
        <v>30</v>
      </c>
      <c r="Q100" s="72">
        <v>30</v>
      </c>
      <c r="R100" s="72">
        <v>30</v>
      </c>
      <c r="S100" s="72">
        <v>30</v>
      </c>
      <c r="T100" s="72">
        <v>30</v>
      </c>
      <c r="U100" s="72">
        <v>30</v>
      </c>
      <c r="V100" s="72">
        <v>30</v>
      </c>
      <c r="W100" s="72">
        <v>30</v>
      </c>
      <c r="X100" s="72">
        <v>30</v>
      </c>
      <c r="Y100" s="72">
        <v>30</v>
      </c>
      <c r="Z100" s="72">
        <v>30</v>
      </c>
      <c r="AA100" s="72">
        <v>30</v>
      </c>
      <c r="AB100" s="72">
        <v>30</v>
      </c>
      <c r="AC100" s="72">
        <v>30</v>
      </c>
      <c r="AD100" s="72">
        <v>30</v>
      </c>
      <c r="AE100" s="72">
        <v>30</v>
      </c>
      <c r="AF100" s="72">
        <v>30</v>
      </c>
      <c r="AG100" s="72">
        <v>30</v>
      </c>
      <c r="AH100" s="72">
        <v>30</v>
      </c>
      <c r="AI100" s="72">
        <v>30</v>
      </c>
      <c r="AJ100" s="72">
        <v>30</v>
      </c>
      <c r="AK100" s="72">
        <v>30</v>
      </c>
      <c r="AL100" s="72">
        <v>30</v>
      </c>
      <c r="AM100" s="72">
        <v>30</v>
      </c>
      <c r="AN100" s="72">
        <v>30</v>
      </c>
      <c r="AO100" s="72">
        <v>30</v>
      </c>
      <c r="AP100" s="72">
        <v>30</v>
      </c>
      <c r="AQ100" s="72">
        <v>30</v>
      </c>
      <c r="AR100" s="72">
        <v>30</v>
      </c>
      <c r="AS100" s="72">
        <v>30</v>
      </c>
      <c r="AT100" s="72">
        <v>30</v>
      </c>
      <c r="AU100" s="72">
        <v>30</v>
      </c>
    </row>
    <row r="101" spans="1:47" x14ac:dyDescent="0.25">
      <c r="A101" s="71">
        <v>96</v>
      </c>
      <c r="B101" s="72">
        <v>30</v>
      </c>
      <c r="C101" s="72">
        <v>30</v>
      </c>
      <c r="D101" s="72">
        <v>30</v>
      </c>
      <c r="E101" s="72">
        <v>30</v>
      </c>
      <c r="F101" s="72">
        <v>30</v>
      </c>
      <c r="G101" s="72">
        <v>30</v>
      </c>
      <c r="H101" s="72">
        <v>30</v>
      </c>
      <c r="I101" s="72">
        <v>30</v>
      </c>
      <c r="J101" s="72">
        <v>30</v>
      </c>
      <c r="K101" s="72">
        <v>30</v>
      </c>
      <c r="L101" s="72">
        <v>30</v>
      </c>
      <c r="M101" s="72">
        <v>30</v>
      </c>
      <c r="N101" s="72">
        <v>30</v>
      </c>
      <c r="O101" s="72">
        <v>30</v>
      </c>
      <c r="P101" s="72">
        <v>30</v>
      </c>
      <c r="Q101" s="72">
        <v>30</v>
      </c>
      <c r="R101" s="72">
        <v>30</v>
      </c>
      <c r="S101" s="72">
        <v>30</v>
      </c>
      <c r="T101" s="72">
        <v>30</v>
      </c>
      <c r="U101" s="72">
        <v>30</v>
      </c>
      <c r="V101" s="72">
        <v>30</v>
      </c>
      <c r="W101" s="72">
        <v>30</v>
      </c>
      <c r="X101" s="72">
        <v>30</v>
      </c>
      <c r="Y101" s="72">
        <v>30</v>
      </c>
      <c r="Z101" s="72">
        <v>30</v>
      </c>
      <c r="AA101" s="72">
        <v>30</v>
      </c>
      <c r="AB101" s="72">
        <v>30</v>
      </c>
      <c r="AC101" s="72">
        <v>30</v>
      </c>
      <c r="AD101" s="72">
        <v>30</v>
      </c>
      <c r="AE101" s="72">
        <v>30</v>
      </c>
      <c r="AF101" s="72">
        <v>30</v>
      </c>
      <c r="AG101" s="72">
        <v>30</v>
      </c>
      <c r="AH101" s="72">
        <v>30</v>
      </c>
      <c r="AI101" s="72">
        <v>30</v>
      </c>
      <c r="AJ101" s="72">
        <v>30</v>
      </c>
      <c r="AK101" s="72">
        <v>30</v>
      </c>
      <c r="AL101" s="72">
        <v>30</v>
      </c>
      <c r="AM101" s="72">
        <v>30</v>
      </c>
      <c r="AN101" s="72">
        <v>30</v>
      </c>
      <c r="AO101" s="72">
        <v>30</v>
      </c>
      <c r="AP101" s="72">
        <v>30</v>
      </c>
      <c r="AQ101" s="72">
        <v>30</v>
      </c>
      <c r="AR101" s="72">
        <v>30</v>
      </c>
      <c r="AS101" s="72">
        <v>30</v>
      </c>
      <c r="AT101" s="72">
        <v>30</v>
      </c>
      <c r="AU101" s="72">
        <v>30</v>
      </c>
    </row>
    <row r="102" spans="1:47" x14ac:dyDescent="0.25">
      <c r="A102" s="71">
        <v>97</v>
      </c>
      <c r="B102" s="72">
        <v>30</v>
      </c>
      <c r="C102" s="72">
        <v>30</v>
      </c>
      <c r="D102" s="72">
        <v>30</v>
      </c>
      <c r="E102" s="72">
        <v>30</v>
      </c>
      <c r="F102" s="72">
        <v>30</v>
      </c>
      <c r="G102" s="72">
        <v>30</v>
      </c>
      <c r="H102" s="72">
        <v>30</v>
      </c>
      <c r="I102" s="72">
        <v>30</v>
      </c>
      <c r="J102" s="72">
        <v>30</v>
      </c>
      <c r="K102" s="72">
        <v>30</v>
      </c>
      <c r="L102" s="72">
        <v>30</v>
      </c>
      <c r="M102" s="72">
        <v>30</v>
      </c>
      <c r="N102" s="72">
        <v>30</v>
      </c>
      <c r="O102" s="72">
        <v>30</v>
      </c>
      <c r="P102" s="72">
        <v>30</v>
      </c>
      <c r="Q102" s="72">
        <v>30</v>
      </c>
      <c r="R102" s="72">
        <v>30</v>
      </c>
      <c r="S102" s="72">
        <v>30</v>
      </c>
      <c r="T102" s="72">
        <v>30</v>
      </c>
      <c r="U102" s="72">
        <v>30</v>
      </c>
      <c r="V102" s="72">
        <v>30</v>
      </c>
      <c r="W102" s="72">
        <v>30</v>
      </c>
      <c r="X102" s="72">
        <v>30</v>
      </c>
      <c r="Y102" s="72">
        <v>30</v>
      </c>
      <c r="Z102" s="72">
        <v>30</v>
      </c>
      <c r="AA102" s="72">
        <v>30</v>
      </c>
      <c r="AB102" s="72">
        <v>30</v>
      </c>
      <c r="AC102" s="72">
        <v>30</v>
      </c>
      <c r="AD102" s="72">
        <v>30</v>
      </c>
      <c r="AE102" s="72">
        <v>30</v>
      </c>
      <c r="AF102" s="72">
        <v>30</v>
      </c>
      <c r="AG102" s="72">
        <v>30</v>
      </c>
      <c r="AH102" s="72">
        <v>30</v>
      </c>
      <c r="AI102" s="72">
        <v>30</v>
      </c>
      <c r="AJ102" s="72">
        <v>30</v>
      </c>
      <c r="AK102" s="72">
        <v>30</v>
      </c>
      <c r="AL102" s="72">
        <v>30</v>
      </c>
      <c r="AM102" s="72">
        <v>30</v>
      </c>
      <c r="AN102" s="72">
        <v>30</v>
      </c>
      <c r="AO102" s="72">
        <v>30</v>
      </c>
      <c r="AP102" s="72">
        <v>30</v>
      </c>
      <c r="AQ102" s="72">
        <v>30</v>
      </c>
      <c r="AR102" s="72">
        <v>30</v>
      </c>
      <c r="AS102" s="72">
        <v>30</v>
      </c>
      <c r="AT102" s="72">
        <v>30</v>
      </c>
      <c r="AU102" s="72">
        <v>30</v>
      </c>
    </row>
    <row r="103" spans="1:47" x14ac:dyDescent="0.25">
      <c r="A103" s="71">
        <v>98</v>
      </c>
      <c r="B103" s="72">
        <v>30</v>
      </c>
      <c r="C103" s="72">
        <v>30</v>
      </c>
      <c r="D103" s="72">
        <v>30</v>
      </c>
      <c r="E103" s="72">
        <v>30</v>
      </c>
      <c r="F103" s="72">
        <v>30</v>
      </c>
      <c r="G103" s="72">
        <v>30</v>
      </c>
      <c r="H103" s="72">
        <v>30</v>
      </c>
      <c r="I103" s="72">
        <v>30</v>
      </c>
      <c r="J103" s="72">
        <v>30</v>
      </c>
      <c r="K103" s="72">
        <v>30</v>
      </c>
      <c r="L103" s="72">
        <v>30</v>
      </c>
      <c r="M103" s="72">
        <v>30</v>
      </c>
      <c r="N103" s="72">
        <v>30</v>
      </c>
      <c r="O103" s="72">
        <v>30</v>
      </c>
      <c r="P103" s="72">
        <v>30</v>
      </c>
      <c r="Q103" s="72">
        <v>30</v>
      </c>
      <c r="R103" s="72">
        <v>30</v>
      </c>
      <c r="S103" s="72">
        <v>30</v>
      </c>
      <c r="T103" s="72">
        <v>30</v>
      </c>
      <c r="U103" s="72">
        <v>30</v>
      </c>
      <c r="V103" s="72">
        <v>30</v>
      </c>
      <c r="W103" s="72">
        <v>30</v>
      </c>
      <c r="X103" s="72">
        <v>30</v>
      </c>
      <c r="Y103" s="72">
        <v>30</v>
      </c>
      <c r="Z103" s="72">
        <v>30</v>
      </c>
      <c r="AA103" s="72">
        <v>30</v>
      </c>
      <c r="AB103" s="72">
        <v>30</v>
      </c>
      <c r="AC103" s="72">
        <v>30</v>
      </c>
      <c r="AD103" s="72">
        <v>30</v>
      </c>
      <c r="AE103" s="72">
        <v>30</v>
      </c>
      <c r="AF103" s="72">
        <v>30</v>
      </c>
      <c r="AG103" s="72">
        <v>30</v>
      </c>
      <c r="AH103" s="72">
        <v>30</v>
      </c>
      <c r="AI103" s="72">
        <v>30</v>
      </c>
      <c r="AJ103" s="72">
        <v>30</v>
      </c>
      <c r="AK103" s="72">
        <v>30</v>
      </c>
      <c r="AL103" s="72">
        <v>30</v>
      </c>
      <c r="AM103" s="72">
        <v>30</v>
      </c>
      <c r="AN103" s="72">
        <v>30</v>
      </c>
      <c r="AO103" s="72">
        <v>30</v>
      </c>
      <c r="AP103" s="72">
        <v>30</v>
      </c>
      <c r="AQ103" s="72">
        <v>30</v>
      </c>
      <c r="AR103" s="72">
        <v>30</v>
      </c>
      <c r="AS103" s="72">
        <v>30</v>
      </c>
      <c r="AT103" s="72">
        <v>30</v>
      </c>
      <c r="AU103" s="72">
        <v>30</v>
      </c>
    </row>
    <row r="104" spans="1:47" x14ac:dyDescent="0.25">
      <c r="A104" s="83" t="s">
        <v>841</v>
      </c>
      <c r="B104" s="72">
        <v>30</v>
      </c>
      <c r="C104" s="72">
        <v>30</v>
      </c>
      <c r="D104" s="72">
        <v>30</v>
      </c>
      <c r="E104" s="72">
        <v>30</v>
      </c>
      <c r="F104" s="72">
        <v>30</v>
      </c>
      <c r="G104" s="72">
        <v>30</v>
      </c>
      <c r="H104" s="72">
        <v>30</v>
      </c>
      <c r="I104" s="72">
        <v>30</v>
      </c>
      <c r="J104" s="72">
        <v>30</v>
      </c>
      <c r="K104" s="72">
        <v>30</v>
      </c>
      <c r="L104" s="72">
        <v>30</v>
      </c>
      <c r="M104" s="72">
        <v>30</v>
      </c>
      <c r="N104" s="72">
        <v>30</v>
      </c>
      <c r="O104" s="72">
        <v>30</v>
      </c>
      <c r="P104" s="72">
        <v>30</v>
      </c>
      <c r="Q104" s="72">
        <v>30</v>
      </c>
      <c r="R104" s="72">
        <v>30</v>
      </c>
      <c r="S104" s="72">
        <v>30</v>
      </c>
      <c r="T104" s="72">
        <v>30</v>
      </c>
      <c r="U104" s="72">
        <v>30</v>
      </c>
      <c r="V104" s="72">
        <v>30</v>
      </c>
      <c r="W104" s="72">
        <v>30</v>
      </c>
      <c r="X104" s="72">
        <v>30</v>
      </c>
      <c r="Y104" s="72">
        <v>30</v>
      </c>
      <c r="Z104" s="72">
        <v>30</v>
      </c>
      <c r="AA104" s="72">
        <v>30</v>
      </c>
      <c r="AB104" s="72">
        <v>30</v>
      </c>
      <c r="AC104" s="72">
        <v>30</v>
      </c>
      <c r="AD104" s="72">
        <v>30</v>
      </c>
      <c r="AE104" s="72">
        <v>30</v>
      </c>
      <c r="AF104" s="72">
        <v>30</v>
      </c>
      <c r="AG104" s="72">
        <v>30</v>
      </c>
      <c r="AH104" s="72">
        <v>30</v>
      </c>
      <c r="AI104" s="72">
        <v>30</v>
      </c>
      <c r="AJ104" s="72">
        <v>30</v>
      </c>
      <c r="AK104" s="72">
        <v>30</v>
      </c>
      <c r="AL104" s="72">
        <v>30</v>
      </c>
      <c r="AM104" s="72">
        <v>30</v>
      </c>
      <c r="AN104" s="72">
        <v>30</v>
      </c>
      <c r="AO104" s="72">
        <v>30</v>
      </c>
      <c r="AP104" s="72">
        <v>30</v>
      </c>
      <c r="AQ104" s="72">
        <v>30</v>
      </c>
      <c r="AR104" s="72">
        <v>30</v>
      </c>
      <c r="AS104" s="72">
        <v>30</v>
      </c>
      <c r="AT104" s="72">
        <v>30</v>
      </c>
      <c r="AU104" s="72">
        <v>30</v>
      </c>
    </row>
    <row r="188" spans="1:47" x14ac:dyDescent="0.25">
      <c r="A188" s="26" t="b">
        <f>A107=A27</f>
        <v>0</v>
      </c>
      <c r="B188" s="26" t="b">
        <f t="shared" ref="B188:AU188" si="0">B107=B27</f>
        <v>0</v>
      </c>
      <c r="C188" s="26" t="b">
        <f t="shared" si="0"/>
        <v>0</v>
      </c>
      <c r="D188" s="26" t="b">
        <f t="shared" si="0"/>
        <v>0</v>
      </c>
      <c r="E188" s="26" t="b">
        <f t="shared" si="0"/>
        <v>0</v>
      </c>
      <c r="F188" s="26" t="b">
        <f t="shared" si="0"/>
        <v>0</v>
      </c>
      <c r="G188" s="26" t="b">
        <f t="shared" si="0"/>
        <v>0</v>
      </c>
      <c r="H188" s="26" t="b">
        <f t="shared" si="0"/>
        <v>0</v>
      </c>
      <c r="I188" s="26" t="b">
        <f t="shared" si="0"/>
        <v>0</v>
      </c>
      <c r="J188" s="26" t="b">
        <f t="shared" si="0"/>
        <v>0</v>
      </c>
      <c r="K188" s="26" t="b">
        <f t="shared" si="0"/>
        <v>0</v>
      </c>
      <c r="L188" s="26" t="b">
        <f t="shared" si="0"/>
        <v>0</v>
      </c>
      <c r="M188" s="26" t="b">
        <f t="shared" si="0"/>
        <v>0</v>
      </c>
      <c r="N188" s="26" t="b">
        <f t="shared" si="0"/>
        <v>0</v>
      </c>
      <c r="O188" s="26" t="b">
        <f t="shared" si="0"/>
        <v>0</v>
      </c>
      <c r="P188" s="26" t="b">
        <f t="shared" si="0"/>
        <v>0</v>
      </c>
      <c r="Q188" s="26" t="b">
        <f t="shared" si="0"/>
        <v>0</v>
      </c>
      <c r="R188" s="26" t="b">
        <f t="shared" si="0"/>
        <v>0</v>
      </c>
      <c r="S188" s="26" t="b">
        <f t="shared" si="0"/>
        <v>0</v>
      </c>
      <c r="T188" s="26" t="b">
        <f t="shared" si="0"/>
        <v>0</v>
      </c>
      <c r="U188" s="26" t="b">
        <f t="shared" si="0"/>
        <v>0</v>
      </c>
      <c r="V188" s="26" t="b">
        <f t="shared" si="0"/>
        <v>0</v>
      </c>
      <c r="W188" s="26" t="b">
        <f t="shared" si="0"/>
        <v>0</v>
      </c>
      <c r="X188" s="26" t="b">
        <f t="shared" si="0"/>
        <v>0</v>
      </c>
      <c r="Y188" s="26" t="b">
        <f t="shared" si="0"/>
        <v>0</v>
      </c>
      <c r="Z188" s="26" t="b">
        <f t="shared" si="0"/>
        <v>0</v>
      </c>
      <c r="AA188" s="26" t="b">
        <f t="shared" si="0"/>
        <v>0</v>
      </c>
      <c r="AB188" s="26" t="b">
        <f t="shared" si="0"/>
        <v>0</v>
      </c>
      <c r="AC188" s="26" t="b">
        <f t="shared" si="0"/>
        <v>0</v>
      </c>
      <c r="AD188" s="26" t="b">
        <f t="shared" si="0"/>
        <v>0</v>
      </c>
      <c r="AE188" s="26" t="b">
        <f t="shared" si="0"/>
        <v>0</v>
      </c>
      <c r="AF188" s="26" t="b">
        <f t="shared" si="0"/>
        <v>0</v>
      </c>
      <c r="AG188" s="26" t="b">
        <f t="shared" si="0"/>
        <v>0</v>
      </c>
      <c r="AH188" s="26" t="b">
        <f t="shared" si="0"/>
        <v>0</v>
      </c>
      <c r="AI188" s="26" t="b">
        <f t="shared" si="0"/>
        <v>0</v>
      </c>
      <c r="AJ188" s="26" t="b">
        <f t="shared" si="0"/>
        <v>0</v>
      </c>
      <c r="AK188" s="26" t="b">
        <f t="shared" si="0"/>
        <v>0</v>
      </c>
      <c r="AL188" s="26" t="b">
        <f t="shared" si="0"/>
        <v>0</v>
      </c>
      <c r="AM188" s="26" t="b">
        <f t="shared" si="0"/>
        <v>0</v>
      </c>
      <c r="AN188" s="26" t="b">
        <f t="shared" si="0"/>
        <v>0</v>
      </c>
      <c r="AO188" s="26" t="b">
        <f t="shared" si="0"/>
        <v>0</v>
      </c>
      <c r="AP188" s="26" t="b">
        <f t="shared" si="0"/>
        <v>0</v>
      </c>
      <c r="AQ188" s="26" t="b">
        <f t="shared" si="0"/>
        <v>0</v>
      </c>
      <c r="AR188" s="26" t="b">
        <f t="shared" si="0"/>
        <v>0</v>
      </c>
      <c r="AS188" s="26" t="b">
        <f t="shared" si="0"/>
        <v>0</v>
      </c>
      <c r="AT188" s="26" t="b">
        <f t="shared" si="0"/>
        <v>0</v>
      </c>
      <c r="AU188" s="26" t="b">
        <f t="shared" si="0"/>
        <v>0</v>
      </c>
    </row>
  </sheetData>
  <sheetProtection algorithmName="SHA-512" hashValue="9g3UEPSQ4RSkxz0kP+X8xKBF/7KO6i95F0rtPwvldQUY80B//+T9boYGlHAurisulvX68icYHJnDhHgegzx8gA==" saltValue="TkuSIgMm0OIDPTCr4Iic6A==" spinCount="100000" sheet="1" objects="1" scenarios="1"/>
  <conditionalFormatting sqref="A6:A21">
    <cfRule type="expression" dxfId="47" priority="5" stopIfTrue="1">
      <formula>MOD(ROW(),2)=0</formula>
    </cfRule>
    <cfRule type="expression" dxfId="46" priority="6" stopIfTrue="1">
      <formula>MOD(ROW(),2)&lt;&gt;0</formula>
    </cfRule>
  </conditionalFormatting>
  <conditionalFormatting sqref="A26:A104">
    <cfRule type="expression" dxfId="45" priority="13" stopIfTrue="1">
      <formula>MOD(ROW(),2)=0</formula>
    </cfRule>
    <cfRule type="expression" dxfId="44" priority="14" stopIfTrue="1">
      <formula>MOD(ROW(),2)&lt;&gt;0</formula>
    </cfRule>
  </conditionalFormatting>
  <conditionalFormatting sqref="B17:B21">
    <cfRule type="expression" dxfId="43" priority="1" stopIfTrue="1">
      <formula>MOD(ROW(),2)=0</formula>
    </cfRule>
    <cfRule type="expression" dxfId="42" priority="2" stopIfTrue="1">
      <formula>MOD(ROW(),2)&lt;&gt;0</formula>
    </cfRule>
  </conditionalFormatting>
  <conditionalFormatting sqref="B6:AU21">
    <cfRule type="expression" dxfId="41" priority="21" stopIfTrue="1">
      <formula>MOD(ROW(),2)=0</formula>
    </cfRule>
    <cfRule type="expression" dxfId="40" priority="22" stopIfTrue="1">
      <formula>MOD(ROW(),2)&lt;&gt;0</formula>
    </cfRule>
  </conditionalFormatting>
  <conditionalFormatting sqref="B26:AU104">
    <cfRule type="expression" dxfId="39" priority="7" stopIfTrue="1">
      <formula>MOD(ROW(),2)=0</formula>
    </cfRule>
    <cfRule type="expression" dxfId="38" priority="8" stopIfTrue="1">
      <formula>MOD(ROW(),2)&lt;&gt;0</formula>
    </cfRule>
  </conditionalFormatting>
  <hyperlinks>
    <hyperlink ref="B24" location="Assumptions!A1" display="Assumptions" xr:uid="{4F97ED6A-ACC8-4615-AC97-5A8C71AABB2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8"/>
  <dimension ref="A1:AA104"/>
  <sheetViews>
    <sheetView showGridLines="0" zoomScale="85" zoomScaleNormal="85" workbookViewId="0">
      <selection activeCell="A4" sqref="A4"/>
    </sheetView>
  </sheetViews>
  <sheetFormatPr defaultColWidth="10" defaultRowHeight="12.5" x14ac:dyDescent="0.25"/>
  <cols>
    <col min="1" max="1" width="31.453125" style="26" customWidth="1"/>
    <col min="2" max="27" width="22.54296875" style="26" customWidth="1"/>
    <col min="28" max="16384" width="10" style="26"/>
  </cols>
  <sheetData>
    <row r="1" spans="1:27" ht="20" x14ac:dyDescent="0.4">
      <c r="A1" s="37" t="s">
        <v>0</v>
      </c>
      <c r="B1" s="38"/>
      <c r="C1" s="38"/>
      <c r="D1" s="38"/>
      <c r="E1" s="38"/>
      <c r="F1" s="38"/>
      <c r="G1" s="38"/>
      <c r="H1" s="38"/>
      <c r="I1" s="38"/>
    </row>
    <row r="2" spans="1:27" ht="15.5" x14ac:dyDescent="0.35">
      <c r="A2" s="39" t="str">
        <f>IF(title="&gt; Enter workbook title here","Enter workbook title in Cover sheet",title)</f>
        <v>NHSPS_S - Consolidated Factor Spreadsheet</v>
      </c>
      <c r="B2" s="40"/>
      <c r="C2" s="40"/>
      <c r="D2" s="40"/>
      <c r="E2" s="40"/>
      <c r="F2" s="40"/>
      <c r="G2" s="40"/>
      <c r="H2" s="40"/>
      <c r="I2" s="40"/>
    </row>
    <row r="3" spans="1:27" ht="15.5" x14ac:dyDescent="0.35">
      <c r="A3" s="41" t="str">
        <f>TABLE_FACTOR_TYPE_1&amp;" - x-"&amp;TABLE_SERIES_NUMBER_1</f>
        <v>Allocation - x-825</v>
      </c>
      <c r="B3" s="40"/>
      <c r="C3" s="40"/>
      <c r="D3" s="40"/>
      <c r="E3" s="40"/>
      <c r="F3" s="40"/>
      <c r="G3" s="40"/>
      <c r="H3" s="40"/>
      <c r="I3" s="40"/>
    </row>
    <row r="4" spans="1:27" x14ac:dyDescent="0.25">
      <c r="A4" s="42"/>
    </row>
    <row r="6" spans="1:27" ht="13" x14ac:dyDescent="0.3">
      <c r="A6" s="73" t="s">
        <v>274</v>
      </c>
      <c r="B6" s="114" t="s">
        <v>275</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row>
    <row r="7" spans="1:27" x14ac:dyDescent="0.25">
      <c r="A7" s="74" t="s">
        <v>276</v>
      </c>
      <c r="B7" s="114" t="s">
        <v>72</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row>
    <row r="8" spans="1:27" x14ac:dyDescent="0.25">
      <c r="A8" s="74" t="s">
        <v>278</v>
      </c>
      <c r="B8" s="114" t="s">
        <v>74</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row>
    <row r="9" spans="1:27" x14ac:dyDescent="0.25">
      <c r="A9" s="74" t="s">
        <v>280</v>
      </c>
      <c r="B9" s="114" t="s">
        <v>679</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row>
    <row r="10" spans="1:27" x14ac:dyDescent="0.25">
      <c r="A10" s="74" t="s">
        <v>6</v>
      </c>
      <c r="B10" s="114" t="s">
        <v>680</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row>
    <row r="11" spans="1:27" x14ac:dyDescent="0.25">
      <c r="A11" s="74" t="s">
        <v>283</v>
      </c>
      <c r="B11" s="114" t="s">
        <v>355</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row>
    <row r="12" spans="1:27" x14ac:dyDescent="0.25">
      <c r="A12" s="74" t="s">
        <v>285</v>
      </c>
      <c r="B12" s="114" t="s">
        <v>681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row>
    <row r="13" spans="1:27" x14ac:dyDescent="0.25">
      <c r="A13" s="74" t="s">
        <v>287</v>
      </c>
      <c r="B13" s="114">
        <v>1</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row>
    <row r="14" spans="1:27" x14ac:dyDescent="0.25">
      <c r="A14" s="74" t="s">
        <v>289</v>
      </c>
      <c r="B14" s="114">
        <v>825</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row>
    <row r="15" spans="1:27" x14ac:dyDescent="0.25">
      <c r="A15" s="74" t="s">
        <v>291</v>
      </c>
      <c r="B15" s="114" t="s">
        <v>683</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row>
    <row r="16" spans="1:27" x14ac:dyDescent="0.25">
      <c r="A16" s="74" t="s">
        <v>293</v>
      </c>
      <c r="B16" s="114" t="s">
        <v>684</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row>
    <row r="17" spans="1:27" x14ac:dyDescent="0.25">
      <c r="A17" s="74" t="s">
        <v>760</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row>
    <row r="18" spans="1:27" x14ac:dyDescent="0.25">
      <c r="A18" s="74" t="s">
        <v>297</v>
      </c>
      <c r="B18" s="162">
        <v>45202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row>
    <row r="19" spans="1:27" x14ac:dyDescent="0.25">
      <c r="A19" s="74" t="s">
        <v>299</v>
      </c>
      <c r="B19" s="162">
        <v>45202</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row>
    <row r="20" spans="1:27" x14ac:dyDescent="0.25">
      <c r="A20" s="74" t="s">
        <v>301</v>
      </c>
      <c r="B20" s="114" t="s">
        <v>314</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row>
    <row r="21" spans="1:27" x14ac:dyDescent="0.25">
      <c r="A21" s="74" t="s">
        <v>307</v>
      </c>
      <c r="B21" s="114" t="s">
        <v>315</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row>
    <row r="23" spans="1:27" x14ac:dyDescent="0.25">
      <c r="B23" s="100" t="str">
        <f>HYPERLINK("#'Factor List'!A1","Back to Factor List")</f>
        <v>Back to Factor List</v>
      </c>
    </row>
    <row r="24" spans="1:27" x14ac:dyDescent="0.25">
      <c r="B24" s="100" t="s">
        <v>13</v>
      </c>
    </row>
    <row r="26" spans="1:27" ht="13" x14ac:dyDescent="0.3">
      <c r="A26" s="73" t="s">
        <v>417</v>
      </c>
      <c r="B26" s="70">
        <v>50</v>
      </c>
      <c r="C26" s="70">
        <v>51</v>
      </c>
      <c r="D26" s="70">
        <v>52</v>
      </c>
      <c r="E26" s="70">
        <v>53</v>
      </c>
      <c r="F26" s="70">
        <v>54</v>
      </c>
      <c r="G26" s="70">
        <v>55</v>
      </c>
      <c r="H26" s="70">
        <v>56</v>
      </c>
      <c r="I26" s="70">
        <v>57</v>
      </c>
      <c r="J26" s="70">
        <v>58</v>
      </c>
      <c r="K26" s="70">
        <v>59</v>
      </c>
      <c r="L26" s="70">
        <v>60</v>
      </c>
      <c r="M26" s="70">
        <v>61</v>
      </c>
      <c r="N26" s="70">
        <v>62</v>
      </c>
      <c r="O26" s="70">
        <v>63</v>
      </c>
      <c r="P26" s="70">
        <v>64</v>
      </c>
      <c r="Q26" s="70">
        <v>65</v>
      </c>
      <c r="R26" s="70">
        <v>66</v>
      </c>
      <c r="S26" s="70">
        <v>67</v>
      </c>
      <c r="T26" s="70">
        <v>68</v>
      </c>
      <c r="U26" s="70">
        <v>69</v>
      </c>
      <c r="V26" s="70">
        <v>70</v>
      </c>
      <c r="W26" s="70">
        <v>71</v>
      </c>
      <c r="X26" s="70">
        <v>72</v>
      </c>
      <c r="Y26" s="70">
        <v>73</v>
      </c>
      <c r="Z26" s="70">
        <v>74</v>
      </c>
      <c r="AA26" s="70">
        <v>75</v>
      </c>
    </row>
    <row r="27" spans="1:27" x14ac:dyDescent="0.25">
      <c r="A27" s="71">
        <v>22</v>
      </c>
      <c r="B27" s="72">
        <v>2.17</v>
      </c>
      <c r="C27" s="72">
        <v>2.0499999999999998</v>
      </c>
      <c r="D27" s="72">
        <v>1.93</v>
      </c>
      <c r="E27" s="72">
        <v>1.82</v>
      </c>
      <c r="F27" s="72">
        <v>1.71</v>
      </c>
      <c r="G27" s="72">
        <v>1.61</v>
      </c>
      <c r="H27" s="72">
        <v>1.52</v>
      </c>
      <c r="I27" s="72">
        <v>1.43</v>
      </c>
      <c r="J27" s="72">
        <v>1.35</v>
      </c>
      <c r="K27" s="72">
        <v>1.27</v>
      </c>
      <c r="L27" s="72">
        <v>1.19</v>
      </c>
      <c r="M27" s="72">
        <v>1.1200000000000001</v>
      </c>
      <c r="N27" s="72">
        <v>1.06</v>
      </c>
      <c r="O27" s="72">
        <v>0.99</v>
      </c>
      <c r="P27" s="72">
        <v>0.93</v>
      </c>
      <c r="Q27" s="72">
        <v>0.88</v>
      </c>
      <c r="R27" s="72">
        <v>0.82</v>
      </c>
      <c r="S27" s="72">
        <v>0.77</v>
      </c>
      <c r="T27" s="72">
        <v>0.72</v>
      </c>
      <c r="U27" s="72">
        <v>0.68</v>
      </c>
      <c r="V27" s="72">
        <v>0.63</v>
      </c>
      <c r="W27" s="72">
        <v>0.59</v>
      </c>
      <c r="X27" s="72">
        <v>0.55000000000000004</v>
      </c>
      <c r="Y27" s="72">
        <v>0.51</v>
      </c>
      <c r="Z27" s="72">
        <v>0.48</v>
      </c>
      <c r="AA27" s="72">
        <v>0.45</v>
      </c>
    </row>
    <row r="28" spans="1:27" x14ac:dyDescent="0.25">
      <c r="A28" s="71">
        <v>23</v>
      </c>
      <c r="B28" s="72">
        <v>2.23</v>
      </c>
      <c r="C28" s="72">
        <v>2.1</v>
      </c>
      <c r="D28" s="72">
        <v>1.97</v>
      </c>
      <c r="E28" s="72">
        <v>1.86</v>
      </c>
      <c r="F28" s="72">
        <v>1.75</v>
      </c>
      <c r="G28" s="72">
        <v>1.65</v>
      </c>
      <c r="H28" s="72">
        <v>1.55</v>
      </c>
      <c r="I28" s="72">
        <v>1.46</v>
      </c>
      <c r="J28" s="72">
        <v>1.37</v>
      </c>
      <c r="K28" s="72">
        <v>1.29</v>
      </c>
      <c r="L28" s="72">
        <v>1.22</v>
      </c>
      <c r="M28" s="72">
        <v>1.1399999999999999</v>
      </c>
      <c r="N28" s="72">
        <v>1.08</v>
      </c>
      <c r="O28" s="72">
        <v>1.01</v>
      </c>
      <c r="P28" s="72">
        <v>0.95</v>
      </c>
      <c r="Q28" s="72">
        <v>0.89</v>
      </c>
      <c r="R28" s="72">
        <v>0.84</v>
      </c>
      <c r="S28" s="72">
        <v>0.78</v>
      </c>
      <c r="T28" s="72">
        <v>0.73</v>
      </c>
      <c r="U28" s="72">
        <v>0.69</v>
      </c>
      <c r="V28" s="72">
        <v>0.64</v>
      </c>
      <c r="W28" s="72">
        <v>0.6</v>
      </c>
      <c r="X28" s="72">
        <v>0.56000000000000005</v>
      </c>
      <c r="Y28" s="72">
        <v>0.52</v>
      </c>
      <c r="Z28" s="72">
        <v>0.49</v>
      </c>
      <c r="AA28" s="72">
        <v>0.45</v>
      </c>
    </row>
    <row r="29" spans="1:27" x14ac:dyDescent="0.25">
      <c r="A29" s="71">
        <v>24</v>
      </c>
      <c r="B29" s="72">
        <v>2.29</v>
      </c>
      <c r="C29" s="72">
        <v>2.15</v>
      </c>
      <c r="D29" s="72">
        <v>2.02</v>
      </c>
      <c r="E29" s="72">
        <v>1.9</v>
      </c>
      <c r="F29" s="72">
        <v>1.79</v>
      </c>
      <c r="G29" s="72">
        <v>1.68</v>
      </c>
      <c r="H29" s="72">
        <v>1.58</v>
      </c>
      <c r="I29" s="72">
        <v>1.49</v>
      </c>
      <c r="J29" s="72">
        <v>1.4</v>
      </c>
      <c r="K29" s="72">
        <v>1.32</v>
      </c>
      <c r="L29" s="72">
        <v>1.24</v>
      </c>
      <c r="M29" s="72">
        <v>1.17</v>
      </c>
      <c r="N29" s="72">
        <v>1.1000000000000001</v>
      </c>
      <c r="O29" s="72">
        <v>1.03</v>
      </c>
      <c r="P29" s="72">
        <v>0.97</v>
      </c>
      <c r="Q29" s="72">
        <v>0.91</v>
      </c>
      <c r="R29" s="72">
        <v>0.85</v>
      </c>
      <c r="S29" s="72">
        <v>0.8</v>
      </c>
      <c r="T29" s="72">
        <v>0.75</v>
      </c>
      <c r="U29" s="72">
        <v>0.7</v>
      </c>
      <c r="V29" s="72">
        <v>0.65</v>
      </c>
      <c r="W29" s="72">
        <v>0.61</v>
      </c>
      <c r="X29" s="72">
        <v>0.56999999999999995</v>
      </c>
      <c r="Y29" s="72">
        <v>0.53</v>
      </c>
      <c r="Z29" s="72">
        <v>0.49</v>
      </c>
      <c r="AA29" s="72">
        <v>0.46</v>
      </c>
    </row>
    <row r="30" spans="1:27" x14ac:dyDescent="0.25">
      <c r="A30" s="71">
        <v>25</v>
      </c>
      <c r="B30" s="72">
        <v>2.35</v>
      </c>
      <c r="C30" s="72">
        <v>2.21</v>
      </c>
      <c r="D30" s="72">
        <v>2.08</v>
      </c>
      <c r="E30" s="72">
        <v>1.95</v>
      </c>
      <c r="F30" s="72">
        <v>1.83</v>
      </c>
      <c r="G30" s="72">
        <v>1.72</v>
      </c>
      <c r="H30" s="72">
        <v>1.62</v>
      </c>
      <c r="I30" s="72">
        <v>1.52</v>
      </c>
      <c r="J30" s="72">
        <v>1.43</v>
      </c>
      <c r="K30" s="72">
        <v>1.35</v>
      </c>
      <c r="L30" s="72">
        <v>1.26</v>
      </c>
      <c r="M30" s="72">
        <v>1.19</v>
      </c>
      <c r="N30" s="72">
        <v>1.1200000000000001</v>
      </c>
      <c r="O30" s="72">
        <v>1.05</v>
      </c>
      <c r="P30" s="72">
        <v>0.98</v>
      </c>
      <c r="Q30" s="72">
        <v>0.92</v>
      </c>
      <c r="R30" s="72">
        <v>0.86</v>
      </c>
      <c r="S30" s="72">
        <v>0.81</v>
      </c>
      <c r="T30" s="72">
        <v>0.76</v>
      </c>
      <c r="U30" s="72">
        <v>0.71</v>
      </c>
      <c r="V30" s="72">
        <v>0.66</v>
      </c>
      <c r="W30" s="72">
        <v>0.62</v>
      </c>
      <c r="X30" s="72">
        <v>0.57999999999999996</v>
      </c>
      <c r="Y30" s="72">
        <v>0.54</v>
      </c>
      <c r="Z30" s="72">
        <v>0.5</v>
      </c>
      <c r="AA30" s="72">
        <v>0.46</v>
      </c>
    </row>
    <row r="31" spans="1:27" x14ac:dyDescent="0.25">
      <c r="A31" s="71">
        <v>26</v>
      </c>
      <c r="B31" s="72">
        <v>2.42</v>
      </c>
      <c r="C31" s="72">
        <v>2.27</v>
      </c>
      <c r="D31" s="72">
        <v>2.13</v>
      </c>
      <c r="E31" s="72">
        <v>2</v>
      </c>
      <c r="F31" s="72">
        <v>1.88</v>
      </c>
      <c r="G31" s="72">
        <v>1.77</v>
      </c>
      <c r="H31" s="72">
        <v>1.66</v>
      </c>
      <c r="I31" s="72">
        <v>1.56</v>
      </c>
      <c r="J31" s="72">
        <v>1.46</v>
      </c>
      <c r="K31" s="72">
        <v>1.37</v>
      </c>
      <c r="L31" s="72">
        <v>1.29</v>
      </c>
      <c r="M31" s="72">
        <v>1.21</v>
      </c>
      <c r="N31" s="72">
        <v>1.1399999999999999</v>
      </c>
      <c r="O31" s="72">
        <v>1.07</v>
      </c>
      <c r="P31" s="72">
        <v>1</v>
      </c>
      <c r="Q31" s="72">
        <v>0.94</v>
      </c>
      <c r="R31" s="72">
        <v>0.88</v>
      </c>
      <c r="S31" s="72">
        <v>0.82</v>
      </c>
      <c r="T31" s="72">
        <v>0.77</v>
      </c>
      <c r="U31" s="72">
        <v>0.72</v>
      </c>
      <c r="V31" s="72">
        <v>0.67</v>
      </c>
      <c r="W31" s="72">
        <v>0.63</v>
      </c>
      <c r="X31" s="72">
        <v>0.57999999999999996</v>
      </c>
      <c r="Y31" s="72">
        <v>0.54</v>
      </c>
      <c r="Z31" s="72">
        <v>0.51</v>
      </c>
      <c r="AA31" s="72">
        <v>0.47</v>
      </c>
    </row>
    <row r="32" spans="1:27" x14ac:dyDescent="0.25">
      <c r="A32" s="71">
        <v>27</v>
      </c>
      <c r="B32" s="72">
        <v>2.4900000000000002</v>
      </c>
      <c r="C32" s="72">
        <v>2.34</v>
      </c>
      <c r="D32" s="72">
        <v>2.19</v>
      </c>
      <c r="E32" s="72">
        <v>2.06</v>
      </c>
      <c r="F32" s="72">
        <v>1.93</v>
      </c>
      <c r="G32" s="72">
        <v>1.81</v>
      </c>
      <c r="H32" s="72">
        <v>1.7</v>
      </c>
      <c r="I32" s="72">
        <v>1.59</v>
      </c>
      <c r="J32" s="72">
        <v>1.5</v>
      </c>
      <c r="K32" s="72">
        <v>1.4</v>
      </c>
      <c r="L32" s="72">
        <v>1.32</v>
      </c>
      <c r="M32" s="72">
        <v>1.24</v>
      </c>
      <c r="N32" s="72">
        <v>1.1599999999999999</v>
      </c>
      <c r="O32" s="72">
        <v>1.0900000000000001</v>
      </c>
      <c r="P32" s="72">
        <v>1.02</v>
      </c>
      <c r="Q32" s="72">
        <v>0.96</v>
      </c>
      <c r="R32" s="72">
        <v>0.9</v>
      </c>
      <c r="S32" s="72">
        <v>0.84</v>
      </c>
      <c r="T32" s="72">
        <v>0.78</v>
      </c>
      <c r="U32" s="72">
        <v>0.73</v>
      </c>
      <c r="V32" s="72">
        <v>0.68</v>
      </c>
      <c r="W32" s="72">
        <v>0.64</v>
      </c>
      <c r="X32" s="72">
        <v>0.59</v>
      </c>
      <c r="Y32" s="72">
        <v>0.55000000000000004</v>
      </c>
      <c r="Z32" s="72">
        <v>0.51</v>
      </c>
      <c r="AA32" s="72">
        <v>0.48</v>
      </c>
    </row>
    <row r="33" spans="1:27" x14ac:dyDescent="0.25">
      <c r="A33" s="71">
        <v>28</v>
      </c>
      <c r="B33" s="72">
        <v>2.57</v>
      </c>
      <c r="C33" s="72">
        <v>2.41</v>
      </c>
      <c r="D33" s="72">
        <v>2.25</v>
      </c>
      <c r="E33" s="72">
        <v>2.11</v>
      </c>
      <c r="F33" s="72">
        <v>1.98</v>
      </c>
      <c r="G33" s="72">
        <v>1.86</v>
      </c>
      <c r="H33" s="72">
        <v>1.74</v>
      </c>
      <c r="I33" s="72">
        <v>1.63</v>
      </c>
      <c r="J33" s="72">
        <v>1.53</v>
      </c>
      <c r="K33" s="72">
        <v>1.44</v>
      </c>
      <c r="L33" s="72">
        <v>1.35</v>
      </c>
      <c r="M33" s="72">
        <v>1.26</v>
      </c>
      <c r="N33" s="72">
        <v>1.18</v>
      </c>
      <c r="O33" s="72">
        <v>1.1100000000000001</v>
      </c>
      <c r="P33" s="72">
        <v>1.04</v>
      </c>
      <c r="Q33" s="72">
        <v>0.97</v>
      </c>
      <c r="R33" s="72">
        <v>0.91</v>
      </c>
      <c r="S33" s="72">
        <v>0.85</v>
      </c>
      <c r="T33" s="72">
        <v>0.8</v>
      </c>
      <c r="U33" s="72">
        <v>0.74</v>
      </c>
      <c r="V33" s="72">
        <v>0.69</v>
      </c>
      <c r="W33" s="72">
        <v>0.65</v>
      </c>
      <c r="X33" s="72">
        <v>0.6</v>
      </c>
      <c r="Y33" s="72">
        <v>0.56000000000000005</v>
      </c>
      <c r="Z33" s="72">
        <v>0.52</v>
      </c>
      <c r="AA33" s="72">
        <v>0.48</v>
      </c>
    </row>
    <row r="34" spans="1:27" x14ac:dyDescent="0.25">
      <c r="A34" s="71">
        <v>29</v>
      </c>
      <c r="B34" s="72">
        <v>2.65</v>
      </c>
      <c r="C34" s="72">
        <v>2.48</v>
      </c>
      <c r="D34" s="72">
        <v>2.3199999999999998</v>
      </c>
      <c r="E34" s="72">
        <v>2.17</v>
      </c>
      <c r="F34" s="72">
        <v>2.04</v>
      </c>
      <c r="G34" s="72">
        <v>1.91</v>
      </c>
      <c r="H34" s="72">
        <v>1.79</v>
      </c>
      <c r="I34" s="72">
        <v>1.67</v>
      </c>
      <c r="J34" s="72">
        <v>1.57</v>
      </c>
      <c r="K34" s="72">
        <v>1.47</v>
      </c>
      <c r="L34" s="72">
        <v>1.38</v>
      </c>
      <c r="M34" s="72">
        <v>1.29</v>
      </c>
      <c r="N34" s="72">
        <v>1.21</v>
      </c>
      <c r="O34" s="72">
        <v>1.1299999999999999</v>
      </c>
      <c r="P34" s="72">
        <v>1.06</v>
      </c>
      <c r="Q34" s="72">
        <v>0.99</v>
      </c>
      <c r="R34" s="72">
        <v>0.93</v>
      </c>
      <c r="S34" s="72">
        <v>0.87</v>
      </c>
      <c r="T34" s="72">
        <v>0.81</v>
      </c>
      <c r="U34" s="72">
        <v>0.76</v>
      </c>
      <c r="V34" s="72">
        <v>0.71</v>
      </c>
      <c r="W34" s="72">
        <v>0.66</v>
      </c>
      <c r="X34" s="72">
        <v>0.61</v>
      </c>
      <c r="Y34" s="72">
        <v>0.56999999999999995</v>
      </c>
      <c r="Z34" s="72">
        <v>0.53</v>
      </c>
      <c r="AA34" s="72">
        <v>0.49</v>
      </c>
    </row>
    <row r="35" spans="1:27" x14ac:dyDescent="0.25">
      <c r="A35" s="71">
        <v>30</v>
      </c>
      <c r="B35" s="72">
        <v>2.74</v>
      </c>
      <c r="C35" s="72">
        <v>2.56</v>
      </c>
      <c r="D35" s="72">
        <v>2.4</v>
      </c>
      <c r="E35" s="72">
        <v>2.2400000000000002</v>
      </c>
      <c r="F35" s="72">
        <v>2.1</v>
      </c>
      <c r="G35" s="72">
        <v>1.96</v>
      </c>
      <c r="H35" s="72">
        <v>1.84</v>
      </c>
      <c r="I35" s="72">
        <v>1.72</v>
      </c>
      <c r="J35" s="72">
        <v>1.61</v>
      </c>
      <c r="K35" s="72">
        <v>1.51</v>
      </c>
      <c r="L35" s="72">
        <v>1.41</v>
      </c>
      <c r="M35" s="72">
        <v>1.32</v>
      </c>
      <c r="N35" s="72">
        <v>1.24</v>
      </c>
      <c r="O35" s="72">
        <v>1.1599999999999999</v>
      </c>
      <c r="P35" s="72">
        <v>1.08</v>
      </c>
      <c r="Q35" s="72">
        <v>1.01</v>
      </c>
      <c r="R35" s="72">
        <v>0.95</v>
      </c>
      <c r="S35" s="72">
        <v>0.89</v>
      </c>
      <c r="T35" s="72">
        <v>0.83</v>
      </c>
      <c r="U35" s="72">
        <v>0.77</v>
      </c>
      <c r="V35" s="72">
        <v>0.72</v>
      </c>
      <c r="W35" s="72">
        <v>0.67</v>
      </c>
      <c r="X35" s="72">
        <v>0.62</v>
      </c>
      <c r="Y35" s="72">
        <v>0.57999999999999996</v>
      </c>
      <c r="Z35" s="72">
        <v>0.54</v>
      </c>
      <c r="AA35" s="72">
        <v>0.5</v>
      </c>
    </row>
    <row r="36" spans="1:27" x14ac:dyDescent="0.25">
      <c r="A36" s="71">
        <v>31</v>
      </c>
      <c r="B36" s="72">
        <v>2.84</v>
      </c>
      <c r="C36" s="72">
        <v>2.65</v>
      </c>
      <c r="D36" s="72">
        <v>2.4700000000000002</v>
      </c>
      <c r="E36" s="72">
        <v>2.31</v>
      </c>
      <c r="F36" s="72">
        <v>2.16</v>
      </c>
      <c r="G36" s="72">
        <v>2.02</v>
      </c>
      <c r="H36" s="72">
        <v>1.89</v>
      </c>
      <c r="I36" s="72">
        <v>1.77</v>
      </c>
      <c r="J36" s="72">
        <v>1.65</v>
      </c>
      <c r="K36" s="72">
        <v>1.55</v>
      </c>
      <c r="L36" s="72">
        <v>1.45</v>
      </c>
      <c r="M36" s="72">
        <v>1.35</v>
      </c>
      <c r="N36" s="72">
        <v>1.27</v>
      </c>
      <c r="O36" s="72">
        <v>1.18</v>
      </c>
      <c r="P36" s="72">
        <v>1.1100000000000001</v>
      </c>
      <c r="Q36" s="72">
        <v>1.04</v>
      </c>
      <c r="R36" s="72">
        <v>0.97</v>
      </c>
      <c r="S36" s="72">
        <v>0.9</v>
      </c>
      <c r="T36" s="72">
        <v>0.84</v>
      </c>
      <c r="U36" s="72">
        <v>0.79</v>
      </c>
      <c r="V36" s="72">
        <v>0.73</v>
      </c>
      <c r="W36" s="72">
        <v>0.68</v>
      </c>
      <c r="X36" s="72">
        <v>0.63</v>
      </c>
      <c r="Y36" s="72">
        <v>0.59</v>
      </c>
      <c r="Z36" s="72">
        <v>0.55000000000000004</v>
      </c>
      <c r="AA36" s="72">
        <v>0.51</v>
      </c>
    </row>
    <row r="37" spans="1:27" x14ac:dyDescent="0.25">
      <c r="A37" s="71">
        <v>32</v>
      </c>
      <c r="B37" s="72">
        <v>2.95</v>
      </c>
      <c r="C37" s="72">
        <v>2.75</v>
      </c>
      <c r="D37" s="72">
        <v>2.56</v>
      </c>
      <c r="E37" s="72">
        <v>2.39</v>
      </c>
      <c r="F37" s="72">
        <v>2.23</v>
      </c>
      <c r="G37" s="72">
        <v>2.08</v>
      </c>
      <c r="H37" s="72">
        <v>1.94</v>
      </c>
      <c r="I37" s="72">
        <v>1.82</v>
      </c>
      <c r="J37" s="72">
        <v>1.7</v>
      </c>
      <c r="K37" s="72">
        <v>1.59</v>
      </c>
      <c r="L37" s="72">
        <v>1.48</v>
      </c>
      <c r="M37" s="72">
        <v>1.39</v>
      </c>
      <c r="N37" s="72">
        <v>1.3</v>
      </c>
      <c r="O37" s="72">
        <v>1.21</v>
      </c>
      <c r="P37" s="72">
        <v>1.1299999999999999</v>
      </c>
      <c r="Q37" s="72">
        <v>1.06</v>
      </c>
      <c r="R37" s="72">
        <v>0.99</v>
      </c>
      <c r="S37" s="72">
        <v>0.92</v>
      </c>
      <c r="T37" s="72">
        <v>0.86</v>
      </c>
      <c r="U37" s="72">
        <v>0.8</v>
      </c>
      <c r="V37" s="72">
        <v>0.75</v>
      </c>
      <c r="W37" s="72">
        <v>0.69</v>
      </c>
      <c r="X37" s="72">
        <v>0.65</v>
      </c>
      <c r="Y37" s="72">
        <v>0.6</v>
      </c>
      <c r="Z37" s="72">
        <v>0.56000000000000005</v>
      </c>
      <c r="AA37" s="72">
        <v>0.52</v>
      </c>
    </row>
    <row r="38" spans="1:27" x14ac:dyDescent="0.25">
      <c r="A38" s="71">
        <v>33</v>
      </c>
      <c r="B38" s="72">
        <v>3.06</v>
      </c>
      <c r="C38" s="72">
        <v>2.85</v>
      </c>
      <c r="D38" s="72">
        <v>2.65</v>
      </c>
      <c r="E38" s="72">
        <v>2.4700000000000002</v>
      </c>
      <c r="F38" s="72">
        <v>2.2999999999999998</v>
      </c>
      <c r="G38" s="72">
        <v>2.15</v>
      </c>
      <c r="H38" s="72">
        <v>2</v>
      </c>
      <c r="I38" s="72">
        <v>1.87</v>
      </c>
      <c r="J38" s="72">
        <v>1.75</v>
      </c>
      <c r="K38" s="72">
        <v>1.63</v>
      </c>
      <c r="L38" s="72">
        <v>1.52</v>
      </c>
      <c r="M38" s="72">
        <v>1.42</v>
      </c>
      <c r="N38" s="72">
        <v>1.33</v>
      </c>
      <c r="O38" s="72">
        <v>1.24</v>
      </c>
      <c r="P38" s="72">
        <v>1.1599999999999999</v>
      </c>
      <c r="Q38" s="72">
        <v>1.08</v>
      </c>
      <c r="R38" s="72">
        <v>1.01</v>
      </c>
      <c r="S38" s="72">
        <v>0.94</v>
      </c>
      <c r="T38" s="72">
        <v>0.88</v>
      </c>
      <c r="U38" s="72">
        <v>0.82</v>
      </c>
      <c r="V38" s="72">
        <v>0.76</v>
      </c>
      <c r="W38" s="72">
        <v>0.71</v>
      </c>
      <c r="X38" s="72">
        <v>0.66</v>
      </c>
      <c r="Y38" s="72">
        <v>0.61</v>
      </c>
      <c r="Z38" s="72">
        <v>0.56999999999999995</v>
      </c>
      <c r="AA38" s="72">
        <v>0.52</v>
      </c>
    </row>
    <row r="39" spans="1:27" x14ac:dyDescent="0.25">
      <c r="A39" s="71">
        <v>34</v>
      </c>
      <c r="B39" s="72">
        <v>3.18</v>
      </c>
      <c r="C39" s="72">
        <v>2.96</v>
      </c>
      <c r="D39" s="72">
        <v>2.75</v>
      </c>
      <c r="E39" s="72">
        <v>2.56</v>
      </c>
      <c r="F39" s="72">
        <v>2.38</v>
      </c>
      <c r="G39" s="72">
        <v>2.2200000000000002</v>
      </c>
      <c r="H39" s="72">
        <v>2.0699999999999998</v>
      </c>
      <c r="I39" s="72">
        <v>1.93</v>
      </c>
      <c r="J39" s="72">
        <v>1.8</v>
      </c>
      <c r="K39" s="72">
        <v>1.68</v>
      </c>
      <c r="L39" s="72">
        <v>1.56</v>
      </c>
      <c r="M39" s="72">
        <v>1.46</v>
      </c>
      <c r="N39" s="72">
        <v>1.36</v>
      </c>
      <c r="O39" s="72">
        <v>1.27</v>
      </c>
      <c r="P39" s="72">
        <v>1.19</v>
      </c>
      <c r="Q39" s="72">
        <v>1.1100000000000001</v>
      </c>
      <c r="R39" s="72">
        <v>1.03</v>
      </c>
      <c r="S39" s="72">
        <v>0.96</v>
      </c>
      <c r="T39" s="72">
        <v>0.9</v>
      </c>
      <c r="U39" s="72">
        <v>0.83</v>
      </c>
      <c r="V39" s="72">
        <v>0.78</v>
      </c>
      <c r="W39" s="72">
        <v>0.72</v>
      </c>
      <c r="X39" s="72">
        <v>0.67</v>
      </c>
      <c r="Y39" s="72">
        <v>0.62</v>
      </c>
      <c r="Z39" s="72">
        <v>0.57999999999999996</v>
      </c>
      <c r="AA39" s="72">
        <v>0.53</v>
      </c>
    </row>
    <row r="40" spans="1:27" x14ac:dyDescent="0.25">
      <c r="A40" s="71">
        <v>35</v>
      </c>
      <c r="B40" s="72">
        <v>3.32</v>
      </c>
      <c r="C40" s="72">
        <v>3.08</v>
      </c>
      <c r="D40" s="72">
        <v>2.85</v>
      </c>
      <c r="E40" s="72">
        <v>2.65</v>
      </c>
      <c r="F40" s="72">
        <v>2.4700000000000002</v>
      </c>
      <c r="G40" s="72">
        <v>2.29</v>
      </c>
      <c r="H40" s="72">
        <v>2.14</v>
      </c>
      <c r="I40" s="72">
        <v>1.99</v>
      </c>
      <c r="J40" s="72">
        <v>1.85</v>
      </c>
      <c r="K40" s="72">
        <v>1.73</v>
      </c>
      <c r="L40" s="72">
        <v>1.61</v>
      </c>
      <c r="M40" s="72">
        <v>1.5</v>
      </c>
      <c r="N40" s="72">
        <v>1.4</v>
      </c>
      <c r="O40" s="72">
        <v>1.31</v>
      </c>
      <c r="P40" s="72">
        <v>1.22</v>
      </c>
      <c r="Q40" s="72">
        <v>1.1299999999999999</v>
      </c>
      <c r="R40" s="72">
        <v>1.06</v>
      </c>
      <c r="S40" s="72">
        <v>0.98</v>
      </c>
      <c r="T40" s="72">
        <v>0.92</v>
      </c>
      <c r="U40" s="72">
        <v>0.85</v>
      </c>
      <c r="V40" s="72">
        <v>0.79</v>
      </c>
      <c r="W40" s="72">
        <v>0.74</v>
      </c>
      <c r="X40" s="72">
        <v>0.68</v>
      </c>
      <c r="Y40" s="72">
        <v>0.63</v>
      </c>
      <c r="Z40" s="72">
        <v>0.59</v>
      </c>
      <c r="AA40" s="72">
        <v>0.54</v>
      </c>
    </row>
    <row r="41" spans="1:27" x14ac:dyDescent="0.25">
      <c r="A41" s="71">
        <v>36</v>
      </c>
      <c r="B41" s="72">
        <v>3.46</v>
      </c>
      <c r="C41" s="72">
        <v>3.2</v>
      </c>
      <c r="D41" s="72">
        <v>2.97</v>
      </c>
      <c r="E41" s="72">
        <v>2.75</v>
      </c>
      <c r="F41" s="72">
        <v>2.56</v>
      </c>
      <c r="G41" s="72">
        <v>2.38</v>
      </c>
      <c r="H41" s="72">
        <v>2.21</v>
      </c>
      <c r="I41" s="72">
        <v>2.0499999999999998</v>
      </c>
      <c r="J41" s="72">
        <v>1.91</v>
      </c>
      <c r="K41" s="72">
        <v>1.78</v>
      </c>
      <c r="L41" s="72">
        <v>1.66</v>
      </c>
      <c r="M41" s="72">
        <v>1.54</v>
      </c>
      <c r="N41" s="72">
        <v>1.44</v>
      </c>
      <c r="O41" s="72">
        <v>1.34</v>
      </c>
      <c r="P41" s="72">
        <v>1.25</v>
      </c>
      <c r="Q41" s="72">
        <v>1.1599999999999999</v>
      </c>
      <c r="R41" s="72">
        <v>1.08</v>
      </c>
      <c r="S41" s="72">
        <v>1.01</v>
      </c>
      <c r="T41" s="72">
        <v>0.94</v>
      </c>
      <c r="U41" s="72">
        <v>0.87</v>
      </c>
      <c r="V41" s="72">
        <v>0.81</v>
      </c>
      <c r="W41" s="72">
        <v>0.75</v>
      </c>
      <c r="X41" s="72">
        <v>0.7</v>
      </c>
      <c r="Y41" s="72">
        <v>0.65</v>
      </c>
      <c r="Z41" s="72">
        <v>0.6</v>
      </c>
      <c r="AA41" s="72">
        <v>0.55000000000000004</v>
      </c>
    </row>
    <row r="42" spans="1:27" x14ac:dyDescent="0.25">
      <c r="A42" s="71">
        <v>37</v>
      </c>
      <c r="B42" s="72">
        <v>3.62</v>
      </c>
      <c r="C42" s="72">
        <v>3.34</v>
      </c>
      <c r="D42" s="72">
        <v>3.09</v>
      </c>
      <c r="E42" s="72">
        <v>2.87</v>
      </c>
      <c r="F42" s="72">
        <v>2.66</v>
      </c>
      <c r="G42" s="72">
        <v>2.46</v>
      </c>
      <c r="H42" s="72">
        <v>2.29</v>
      </c>
      <c r="I42" s="72">
        <v>2.13</v>
      </c>
      <c r="J42" s="72">
        <v>1.98</v>
      </c>
      <c r="K42" s="72">
        <v>1.84</v>
      </c>
      <c r="L42" s="72">
        <v>1.71</v>
      </c>
      <c r="M42" s="72">
        <v>1.59</v>
      </c>
      <c r="N42" s="72">
        <v>1.48</v>
      </c>
      <c r="O42" s="72">
        <v>1.38</v>
      </c>
      <c r="P42" s="72">
        <v>1.28</v>
      </c>
      <c r="Q42" s="72">
        <v>1.19</v>
      </c>
      <c r="R42" s="72">
        <v>1.1100000000000001</v>
      </c>
      <c r="S42" s="72">
        <v>1.03</v>
      </c>
      <c r="T42" s="72">
        <v>0.96</v>
      </c>
      <c r="U42" s="72">
        <v>0.89</v>
      </c>
      <c r="V42" s="72">
        <v>0.83</v>
      </c>
      <c r="W42" s="72">
        <v>0.77</v>
      </c>
      <c r="X42" s="72">
        <v>0.71</v>
      </c>
      <c r="Y42" s="72">
        <v>0.66</v>
      </c>
      <c r="Z42" s="72">
        <v>0.61</v>
      </c>
      <c r="AA42" s="72">
        <v>0.56000000000000005</v>
      </c>
    </row>
    <row r="43" spans="1:27" x14ac:dyDescent="0.25">
      <c r="A43" s="71">
        <v>38</v>
      </c>
      <c r="B43" s="72">
        <v>3.79</v>
      </c>
      <c r="C43" s="72">
        <v>3.5</v>
      </c>
      <c r="D43" s="72">
        <v>3.23</v>
      </c>
      <c r="E43" s="72">
        <v>2.99</v>
      </c>
      <c r="F43" s="72">
        <v>2.76</v>
      </c>
      <c r="G43" s="72">
        <v>2.56</v>
      </c>
      <c r="H43" s="72">
        <v>2.37</v>
      </c>
      <c r="I43" s="72">
        <v>2.2000000000000002</v>
      </c>
      <c r="J43" s="72">
        <v>2.04</v>
      </c>
      <c r="K43" s="72">
        <v>1.9</v>
      </c>
      <c r="L43" s="72">
        <v>1.76</v>
      </c>
      <c r="M43" s="72">
        <v>1.64</v>
      </c>
      <c r="N43" s="72">
        <v>1.52</v>
      </c>
      <c r="O43" s="72">
        <v>1.42</v>
      </c>
      <c r="P43" s="72">
        <v>1.32</v>
      </c>
      <c r="Q43" s="72">
        <v>1.22</v>
      </c>
      <c r="R43" s="72">
        <v>1.1399999999999999</v>
      </c>
      <c r="S43" s="72">
        <v>1.06</v>
      </c>
      <c r="T43" s="72">
        <v>0.98</v>
      </c>
      <c r="U43" s="72">
        <v>0.91</v>
      </c>
      <c r="V43" s="72">
        <v>0.85</v>
      </c>
      <c r="W43" s="72">
        <v>0.78</v>
      </c>
      <c r="X43" s="72">
        <v>0.73</v>
      </c>
      <c r="Y43" s="72">
        <v>0.67</v>
      </c>
      <c r="Z43" s="72">
        <v>0.62</v>
      </c>
      <c r="AA43" s="72">
        <v>0.57999999999999996</v>
      </c>
    </row>
    <row r="44" spans="1:27" x14ac:dyDescent="0.25">
      <c r="A44" s="71">
        <v>39</v>
      </c>
      <c r="B44" s="72">
        <v>3.98</v>
      </c>
      <c r="C44" s="72">
        <v>3.67</v>
      </c>
      <c r="D44" s="72">
        <v>3.38</v>
      </c>
      <c r="E44" s="72">
        <v>3.12</v>
      </c>
      <c r="F44" s="72">
        <v>2.88</v>
      </c>
      <c r="G44" s="72">
        <v>2.66</v>
      </c>
      <c r="H44" s="72">
        <v>2.4700000000000002</v>
      </c>
      <c r="I44" s="72">
        <v>2.2799999999999998</v>
      </c>
      <c r="J44" s="72">
        <v>2.12</v>
      </c>
      <c r="K44" s="72">
        <v>1.96</v>
      </c>
      <c r="L44" s="72">
        <v>1.82</v>
      </c>
      <c r="M44" s="72">
        <v>1.69</v>
      </c>
      <c r="N44" s="72">
        <v>1.57</v>
      </c>
      <c r="O44" s="72">
        <v>1.46</v>
      </c>
      <c r="P44" s="72">
        <v>1.36</v>
      </c>
      <c r="Q44" s="72">
        <v>1.26</v>
      </c>
      <c r="R44" s="72">
        <v>1.17</v>
      </c>
      <c r="S44" s="72">
        <v>1.0900000000000001</v>
      </c>
      <c r="T44" s="72">
        <v>1.01</v>
      </c>
      <c r="U44" s="72">
        <v>0.93</v>
      </c>
      <c r="V44" s="72">
        <v>0.87</v>
      </c>
      <c r="W44" s="72">
        <v>0.8</v>
      </c>
      <c r="X44" s="72">
        <v>0.74</v>
      </c>
      <c r="Y44" s="72">
        <v>0.69</v>
      </c>
      <c r="Z44" s="72">
        <v>0.64</v>
      </c>
      <c r="AA44" s="72">
        <v>0.59</v>
      </c>
    </row>
    <row r="45" spans="1:27" x14ac:dyDescent="0.25">
      <c r="A45" s="71">
        <v>40</v>
      </c>
      <c r="B45" s="72">
        <v>4.1900000000000004</v>
      </c>
      <c r="C45" s="72">
        <v>3.85</v>
      </c>
      <c r="D45" s="72">
        <v>3.54</v>
      </c>
      <c r="E45" s="72">
        <v>3.26</v>
      </c>
      <c r="F45" s="72">
        <v>3.01</v>
      </c>
      <c r="G45" s="72">
        <v>2.78</v>
      </c>
      <c r="H45" s="72">
        <v>2.57</v>
      </c>
      <c r="I45" s="72">
        <v>2.37</v>
      </c>
      <c r="J45" s="72">
        <v>2.2000000000000002</v>
      </c>
      <c r="K45" s="72">
        <v>2.04</v>
      </c>
      <c r="L45" s="72">
        <v>1.89</v>
      </c>
      <c r="M45" s="72">
        <v>1.75</v>
      </c>
      <c r="N45" s="72">
        <v>1.62</v>
      </c>
      <c r="O45" s="72">
        <v>1.5</v>
      </c>
      <c r="P45" s="72">
        <v>1.4</v>
      </c>
      <c r="Q45" s="72">
        <v>1.3</v>
      </c>
      <c r="R45" s="72">
        <v>1.2</v>
      </c>
      <c r="S45" s="72">
        <v>1.1200000000000001</v>
      </c>
      <c r="T45" s="72">
        <v>1.03</v>
      </c>
      <c r="U45" s="72">
        <v>0.96</v>
      </c>
      <c r="V45" s="72">
        <v>0.89</v>
      </c>
      <c r="W45" s="72">
        <v>0.82</v>
      </c>
      <c r="X45" s="72">
        <v>0.76</v>
      </c>
      <c r="Y45" s="72">
        <v>0.7</v>
      </c>
      <c r="Z45" s="72">
        <v>0.65</v>
      </c>
      <c r="AA45" s="72">
        <v>0.6</v>
      </c>
    </row>
    <row r="46" spans="1:27" x14ac:dyDescent="0.25">
      <c r="A46" s="71">
        <v>41</v>
      </c>
      <c r="B46" s="72">
        <v>4.42</v>
      </c>
      <c r="C46" s="72">
        <v>4.05</v>
      </c>
      <c r="D46" s="72">
        <v>3.72</v>
      </c>
      <c r="E46" s="72">
        <v>3.42</v>
      </c>
      <c r="F46" s="72">
        <v>3.15</v>
      </c>
      <c r="G46" s="72">
        <v>2.9</v>
      </c>
      <c r="H46" s="72">
        <v>2.68</v>
      </c>
      <c r="I46" s="72">
        <v>2.4700000000000002</v>
      </c>
      <c r="J46" s="72">
        <v>2.2799999999999998</v>
      </c>
      <c r="K46" s="72">
        <v>2.11</v>
      </c>
      <c r="L46" s="72">
        <v>1.95</v>
      </c>
      <c r="M46" s="72">
        <v>1.81</v>
      </c>
      <c r="N46" s="72">
        <v>1.68</v>
      </c>
      <c r="O46" s="72">
        <v>1.55</v>
      </c>
      <c r="P46" s="72">
        <v>1.44</v>
      </c>
      <c r="Q46" s="72">
        <v>1.34</v>
      </c>
      <c r="R46" s="72">
        <v>1.24</v>
      </c>
      <c r="S46" s="72">
        <v>1.1499999999999999</v>
      </c>
      <c r="T46" s="72">
        <v>1.06</v>
      </c>
      <c r="U46" s="72">
        <v>0.98</v>
      </c>
      <c r="V46" s="72">
        <v>0.91</v>
      </c>
      <c r="W46" s="72">
        <v>0.84</v>
      </c>
      <c r="X46" s="72">
        <v>0.78</v>
      </c>
      <c r="Y46" s="72">
        <v>0.72</v>
      </c>
      <c r="Z46" s="72">
        <v>0.66</v>
      </c>
      <c r="AA46" s="72">
        <v>0.61</v>
      </c>
    </row>
    <row r="47" spans="1:27" x14ac:dyDescent="0.25">
      <c r="A47" s="71">
        <v>42</v>
      </c>
      <c r="B47" s="72">
        <v>4.67</v>
      </c>
      <c r="C47" s="72">
        <v>4.2699999999999996</v>
      </c>
      <c r="D47" s="72">
        <v>3.91</v>
      </c>
      <c r="E47" s="72">
        <v>3.59</v>
      </c>
      <c r="F47" s="72">
        <v>3.3</v>
      </c>
      <c r="G47" s="72">
        <v>3.03</v>
      </c>
      <c r="H47" s="72">
        <v>2.79</v>
      </c>
      <c r="I47" s="72">
        <v>2.58</v>
      </c>
      <c r="J47" s="72">
        <v>2.38</v>
      </c>
      <c r="K47" s="72">
        <v>2.2000000000000002</v>
      </c>
      <c r="L47" s="72">
        <v>2.0299999999999998</v>
      </c>
      <c r="M47" s="72">
        <v>1.88</v>
      </c>
      <c r="N47" s="72">
        <v>1.74</v>
      </c>
      <c r="O47" s="72">
        <v>1.61</v>
      </c>
      <c r="P47" s="72">
        <v>1.49</v>
      </c>
      <c r="Q47" s="72">
        <v>1.38</v>
      </c>
      <c r="R47" s="72">
        <v>1.27</v>
      </c>
      <c r="S47" s="72">
        <v>1.18</v>
      </c>
      <c r="T47" s="72">
        <v>1.0900000000000001</v>
      </c>
      <c r="U47" s="72">
        <v>1.01</v>
      </c>
      <c r="V47" s="72">
        <v>0.93</v>
      </c>
      <c r="W47" s="72">
        <v>0.86</v>
      </c>
      <c r="X47" s="72">
        <v>0.8</v>
      </c>
      <c r="Y47" s="72">
        <v>0.74</v>
      </c>
      <c r="Z47" s="72">
        <v>0.68</v>
      </c>
      <c r="AA47" s="72">
        <v>0.63</v>
      </c>
    </row>
    <row r="48" spans="1:27" x14ac:dyDescent="0.25">
      <c r="A48" s="71">
        <v>43</v>
      </c>
      <c r="B48" s="72">
        <v>4.95</v>
      </c>
      <c r="C48" s="72">
        <v>4.5199999999999996</v>
      </c>
      <c r="D48" s="72">
        <v>4.13</v>
      </c>
      <c r="E48" s="72">
        <v>3.78</v>
      </c>
      <c r="F48" s="72">
        <v>3.47</v>
      </c>
      <c r="G48" s="72">
        <v>3.18</v>
      </c>
      <c r="H48" s="72">
        <v>2.92</v>
      </c>
      <c r="I48" s="72">
        <v>2.69</v>
      </c>
      <c r="J48" s="72">
        <v>2.48</v>
      </c>
      <c r="K48" s="72">
        <v>2.29</v>
      </c>
      <c r="L48" s="72">
        <v>2.11</v>
      </c>
      <c r="M48" s="72">
        <v>1.95</v>
      </c>
      <c r="N48" s="72">
        <v>1.8</v>
      </c>
      <c r="O48" s="72">
        <v>1.66</v>
      </c>
      <c r="P48" s="72">
        <v>1.54</v>
      </c>
      <c r="Q48" s="72">
        <v>1.42</v>
      </c>
      <c r="R48" s="72">
        <v>1.32</v>
      </c>
      <c r="S48" s="72">
        <v>1.22</v>
      </c>
      <c r="T48" s="72">
        <v>1.1200000000000001</v>
      </c>
      <c r="U48" s="72">
        <v>1.04</v>
      </c>
      <c r="V48" s="72">
        <v>0.96</v>
      </c>
      <c r="W48" s="72">
        <v>0.89</v>
      </c>
      <c r="X48" s="72">
        <v>0.82</v>
      </c>
      <c r="Y48" s="72">
        <v>0.76</v>
      </c>
      <c r="Z48" s="72">
        <v>0.7</v>
      </c>
      <c r="AA48" s="72">
        <v>0.64</v>
      </c>
    </row>
    <row r="49" spans="1:27" x14ac:dyDescent="0.25">
      <c r="A49" s="71">
        <v>44</v>
      </c>
      <c r="B49" s="72">
        <v>5.26</v>
      </c>
      <c r="C49" s="72">
        <v>4.79</v>
      </c>
      <c r="D49" s="72">
        <v>4.3600000000000003</v>
      </c>
      <c r="E49" s="72">
        <v>3.99</v>
      </c>
      <c r="F49" s="72">
        <v>3.65</v>
      </c>
      <c r="G49" s="72">
        <v>3.34</v>
      </c>
      <c r="H49" s="72">
        <v>3.07</v>
      </c>
      <c r="I49" s="72">
        <v>2.82</v>
      </c>
      <c r="J49" s="72">
        <v>2.59</v>
      </c>
      <c r="K49" s="72">
        <v>2.38</v>
      </c>
      <c r="L49" s="72">
        <v>2.2000000000000002</v>
      </c>
      <c r="M49" s="72">
        <v>2.02</v>
      </c>
      <c r="N49" s="72">
        <v>1.87</v>
      </c>
      <c r="O49" s="72">
        <v>1.72</v>
      </c>
      <c r="P49" s="72">
        <v>1.59</v>
      </c>
      <c r="Q49" s="72">
        <v>1.47</v>
      </c>
      <c r="R49" s="72">
        <v>1.36</v>
      </c>
      <c r="S49" s="72">
        <v>1.26</v>
      </c>
      <c r="T49" s="72">
        <v>1.1599999999999999</v>
      </c>
      <c r="U49" s="72">
        <v>1.07</v>
      </c>
      <c r="V49" s="72">
        <v>0.99</v>
      </c>
      <c r="W49" s="72">
        <v>0.91</v>
      </c>
      <c r="X49" s="72">
        <v>0.84</v>
      </c>
      <c r="Y49" s="72">
        <v>0.78</v>
      </c>
      <c r="Z49" s="72">
        <v>0.71</v>
      </c>
      <c r="AA49" s="72">
        <v>0.66</v>
      </c>
    </row>
    <row r="50" spans="1:27" x14ac:dyDescent="0.25">
      <c r="A50" s="71">
        <v>45</v>
      </c>
      <c r="B50" s="72">
        <v>5.6</v>
      </c>
      <c r="C50" s="72">
        <v>5.08</v>
      </c>
      <c r="D50" s="72">
        <v>4.63</v>
      </c>
      <c r="E50" s="72">
        <v>4.22</v>
      </c>
      <c r="F50" s="72">
        <v>3.85</v>
      </c>
      <c r="G50" s="72">
        <v>3.52</v>
      </c>
      <c r="H50" s="72">
        <v>3.22</v>
      </c>
      <c r="I50" s="72">
        <v>2.95</v>
      </c>
      <c r="J50" s="72">
        <v>2.71</v>
      </c>
      <c r="K50" s="72">
        <v>2.4900000000000002</v>
      </c>
      <c r="L50" s="72">
        <v>2.29</v>
      </c>
      <c r="M50" s="72">
        <v>2.11</v>
      </c>
      <c r="N50" s="72">
        <v>1.94</v>
      </c>
      <c r="O50" s="72">
        <v>1.79</v>
      </c>
      <c r="P50" s="72">
        <v>1.65</v>
      </c>
      <c r="Q50" s="72">
        <v>1.52</v>
      </c>
      <c r="R50" s="72">
        <v>1.41</v>
      </c>
      <c r="S50" s="72">
        <v>1.3</v>
      </c>
      <c r="T50" s="72">
        <v>1.2</v>
      </c>
      <c r="U50" s="72">
        <v>1.1000000000000001</v>
      </c>
      <c r="V50" s="72">
        <v>1.02</v>
      </c>
      <c r="W50" s="72">
        <v>0.94</v>
      </c>
      <c r="X50" s="72">
        <v>0.86</v>
      </c>
      <c r="Y50" s="72">
        <v>0.8</v>
      </c>
      <c r="Z50" s="72">
        <v>0.73</v>
      </c>
      <c r="AA50" s="72">
        <v>0.67</v>
      </c>
    </row>
    <row r="51" spans="1:27" x14ac:dyDescent="0.25">
      <c r="A51" s="71">
        <v>46</v>
      </c>
      <c r="B51" s="72">
        <v>5.98</v>
      </c>
      <c r="C51" s="72">
        <v>5.42</v>
      </c>
      <c r="D51" s="72">
        <v>4.92</v>
      </c>
      <c r="E51" s="72">
        <v>4.47</v>
      </c>
      <c r="F51" s="72">
        <v>4.07</v>
      </c>
      <c r="G51" s="72">
        <v>3.71</v>
      </c>
      <c r="H51" s="72">
        <v>3.39</v>
      </c>
      <c r="I51" s="72">
        <v>3.1</v>
      </c>
      <c r="J51" s="72">
        <v>2.84</v>
      </c>
      <c r="K51" s="72">
        <v>2.61</v>
      </c>
      <c r="L51" s="72">
        <v>2.39</v>
      </c>
      <c r="M51" s="72">
        <v>2.2000000000000002</v>
      </c>
      <c r="N51" s="72">
        <v>2.02</v>
      </c>
      <c r="O51" s="72">
        <v>1.86</v>
      </c>
      <c r="P51" s="72">
        <v>1.71</v>
      </c>
      <c r="Q51" s="72">
        <v>1.58</v>
      </c>
      <c r="R51" s="72">
        <v>1.45</v>
      </c>
      <c r="S51" s="72">
        <v>1.34</v>
      </c>
      <c r="T51" s="72">
        <v>1.24</v>
      </c>
      <c r="U51" s="72">
        <v>1.1399999999999999</v>
      </c>
      <c r="V51" s="72">
        <v>1.05</v>
      </c>
      <c r="W51" s="72">
        <v>0.97</v>
      </c>
      <c r="X51" s="72">
        <v>0.89</v>
      </c>
      <c r="Y51" s="72">
        <v>0.82</v>
      </c>
      <c r="Z51" s="72">
        <v>0.75</v>
      </c>
      <c r="AA51" s="72">
        <v>0.69</v>
      </c>
    </row>
    <row r="52" spans="1:27" x14ac:dyDescent="0.25">
      <c r="A52" s="71">
        <v>47</v>
      </c>
      <c r="B52" s="72">
        <v>6.4</v>
      </c>
      <c r="C52" s="72">
        <v>5.78</v>
      </c>
      <c r="D52" s="72">
        <v>5.24</v>
      </c>
      <c r="E52" s="72">
        <v>4.75</v>
      </c>
      <c r="F52" s="72">
        <v>4.32</v>
      </c>
      <c r="G52" s="72">
        <v>3.93</v>
      </c>
      <c r="H52" s="72">
        <v>3.58</v>
      </c>
      <c r="I52" s="72">
        <v>3.27</v>
      </c>
      <c r="J52" s="72">
        <v>2.99</v>
      </c>
      <c r="K52" s="72">
        <v>2.73</v>
      </c>
      <c r="L52" s="72">
        <v>2.5</v>
      </c>
      <c r="M52" s="72">
        <v>2.2999999999999998</v>
      </c>
      <c r="N52" s="72">
        <v>2.11</v>
      </c>
      <c r="O52" s="72">
        <v>1.94</v>
      </c>
      <c r="P52" s="72">
        <v>1.78</v>
      </c>
      <c r="Q52" s="72">
        <v>1.64</v>
      </c>
      <c r="R52" s="72">
        <v>1.51</v>
      </c>
      <c r="S52" s="72">
        <v>1.39</v>
      </c>
      <c r="T52" s="72">
        <v>1.28</v>
      </c>
      <c r="U52" s="72">
        <v>1.18</v>
      </c>
      <c r="V52" s="72">
        <v>1.08</v>
      </c>
      <c r="W52" s="72">
        <v>1</v>
      </c>
      <c r="X52" s="72">
        <v>0.92</v>
      </c>
      <c r="Y52" s="72">
        <v>0.84</v>
      </c>
      <c r="Z52" s="72">
        <v>0.77</v>
      </c>
      <c r="AA52" s="72">
        <v>0.71</v>
      </c>
    </row>
    <row r="53" spans="1:27" x14ac:dyDescent="0.25">
      <c r="A53" s="71">
        <v>48</v>
      </c>
      <c r="B53" s="72">
        <v>6.87</v>
      </c>
      <c r="C53" s="72">
        <v>6.19</v>
      </c>
      <c r="D53" s="72">
        <v>5.59</v>
      </c>
      <c r="E53" s="72">
        <v>5.0599999999999996</v>
      </c>
      <c r="F53" s="72">
        <v>4.59</v>
      </c>
      <c r="G53" s="72">
        <v>4.16</v>
      </c>
      <c r="H53" s="72">
        <v>3.79</v>
      </c>
      <c r="I53" s="72">
        <v>3.45</v>
      </c>
      <c r="J53" s="72">
        <v>3.15</v>
      </c>
      <c r="K53" s="72">
        <v>2.87</v>
      </c>
      <c r="L53" s="72">
        <v>2.63</v>
      </c>
      <c r="M53" s="72">
        <v>2.41</v>
      </c>
      <c r="N53" s="72">
        <v>2.2000000000000002</v>
      </c>
      <c r="O53" s="72">
        <v>2.02</v>
      </c>
      <c r="P53" s="72">
        <v>1.86</v>
      </c>
      <c r="Q53" s="72">
        <v>1.71</v>
      </c>
      <c r="R53" s="72">
        <v>1.57</v>
      </c>
      <c r="S53" s="72">
        <v>1.44</v>
      </c>
      <c r="T53" s="72">
        <v>1.32</v>
      </c>
      <c r="U53" s="72">
        <v>1.22</v>
      </c>
      <c r="V53" s="72">
        <v>1.1200000000000001</v>
      </c>
      <c r="W53" s="72">
        <v>1.03</v>
      </c>
      <c r="X53" s="72">
        <v>0.94</v>
      </c>
      <c r="Y53" s="72">
        <v>0.87</v>
      </c>
      <c r="Z53" s="72">
        <v>0.8</v>
      </c>
      <c r="AA53" s="72">
        <v>0.73</v>
      </c>
    </row>
    <row r="54" spans="1:27" x14ac:dyDescent="0.25">
      <c r="A54" s="71">
        <v>49</v>
      </c>
      <c r="B54" s="72">
        <v>7.4</v>
      </c>
      <c r="C54" s="72">
        <v>6.65</v>
      </c>
      <c r="D54" s="72">
        <v>5.99</v>
      </c>
      <c r="E54" s="72">
        <v>5.41</v>
      </c>
      <c r="F54" s="72">
        <v>4.8899999999999997</v>
      </c>
      <c r="G54" s="72">
        <v>4.43</v>
      </c>
      <c r="H54" s="72">
        <v>4.0199999999999996</v>
      </c>
      <c r="I54" s="72">
        <v>3.65</v>
      </c>
      <c r="J54" s="72">
        <v>3.32</v>
      </c>
      <c r="K54" s="72">
        <v>3.03</v>
      </c>
      <c r="L54" s="72">
        <v>2.76</v>
      </c>
      <c r="M54" s="72">
        <v>2.52</v>
      </c>
      <c r="N54" s="72">
        <v>2.31</v>
      </c>
      <c r="O54" s="72">
        <v>2.11</v>
      </c>
      <c r="P54" s="72">
        <v>1.94</v>
      </c>
      <c r="Q54" s="72">
        <v>1.78</v>
      </c>
      <c r="R54" s="72">
        <v>1.63</v>
      </c>
      <c r="S54" s="72">
        <v>1.5</v>
      </c>
      <c r="T54" s="72">
        <v>1.37</v>
      </c>
      <c r="U54" s="72">
        <v>1.26</v>
      </c>
      <c r="V54" s="72">
        <v>1.1599999999999999</v>
      </c>
      <c r="W54" s="72">
        <v>1.06</v>
      </c>
      <c r="X54" s="72">
        <v>0.97</v>
      </c>
      <c r="Y54" s="72">
        <v>0.89</v>
      </c>
      <c r="Z54" s="72">
        <v>0.82</v>
      </c>
      <c r="AA54" s="72">
        <v>0.75</v>
      </c>
    </row>
    <row r="55" spans="1:27" x14ac:dyDescent="0.25">
      <c r="A55" s="71">
        <v>50</v>
      </c>
      <c r="B55" s="72">
        <v>7.98</v>
      </c>
      <c r="C55" s="72">
        <v>7.16</v>
      </c>
      <c r="D55" s="72">
        <v>6.44</v>
      </c>
      <c r="E55" s="72">
        <v>5.79</v>
      </c>
      <c r="F55" s="72">
        <v>5.23</v>
      </c>
      <c r="G55" s="72">
        <v>4.72</v>
      </c>
      <c r="H55" s="72">
        <v>4.2699999999999996</v>
      </c>
      <c r="I55" s="72">
        <v>3.87</v>
      </c>
      <c r="J55" s="72">
        <v>3.52</v>
      </c>
      <c r="K55" s="72">
        <v>3.2</v>
      </c>
      <c r="L55" s="72">
        <v>2.91</v>
      </c>
      <c r="M55" s="72">
        <v>2.65</v>
      </c>
      <c r="N55" s="72">
        <v>2.42</v>
      </c>
      <c r="O55" s="72">
        <v>2.21</v>
      </c>
      <c r="P55" s="72">
        <v>2.0299999999999998</v>
      </c>
      <c r="Q55" s="72">
        <v>1.85</v>
      </c>
      <c r="R55" s="72">
        <v>1.7</v>
      </c>
      <c r="S55" s="72">
        <v>1.56</v>
      </c>
      <c r="T55" s="72">
        <v>1.43</v>
      </c>
      <c r="U55" s="72">
        <v>1.31</v>
      </c>
      <c r="V55" s="72">
        <v>1.2</v>
      </c>
      <c r="W55" s="72">
        <v>1.1000000000000001</v>
      </c>
      <c r="X55" s="72">
        <v>1.01</v>
      </c>
      <c r="Y55" s="72">
        <v>0.92</v>
      </c>
      <c r="Z55" s="72">
        <v>0.85</v>
      </c>
      <c r="AA55" s="72">
        <v>0.78</v>
      </c>
    </row>
    <row r="56" spans="1:27" x14ac:dyDescent="0.25">
      <c r="A56" s="71">
        <v>51</v>
      </c>
      <c r="B56" s="72">
        <v>8.64</v>
      </c>
      <c r="C56" s="72">
        <v>7.73</v>
      </c>
      <c r="D56" s="72">
        <v>6.93</v>
      </c>
      <c r="E56" s="72">
        <v>6.23</v>
      </c>
      <c r="F56" s="72">
        <v>5.6</v>
      </c>
      <c r="G56" s="72">
        <v>5.05</v>
      </c>
      <c r="H56" s="72">
        <v>4.55</v>
      </c>
      <c r="I56" s="72">
        <v>4.12</v>
      </c>
      <c r="J56" s="72">
        <v>3.73</v>
      </c>
      <c r="K56" s="72">
        <v>3.38</v>
      </c>
      <c r="L56" s="72">
        <v>3.07</v>
      </c>
      <c r="M56" s="72">
        <v>2.8</v>
      </c>
      <c r="N56" s="72">
        <v>2.5499999999999998</v>
      </c>
      <c r="O56" s="72">
        <v>2.3199999999999998</v>
      </c>
      <c r="P56" s="72">
        <v>2.12</v>
      </c>
      <c r="Q56" s="72">
        <v>1.94</v>
      </c>
      <c r="R56" s="72">
        <v>1.77</v>
      </c>
      <c r="S56" s="72">
        <v>1.62</v>
      </c>
      <c r="T56" s="72">
        <v>1.48</v>
      </c>
      <c r="U56" s="72">
        <v>1.36</v>
      </c>
      <c r="V56" s="72">
        <v>1.24</v>
      </c>
      <c r="W56" s="72">
        <v>1.1399999999999999</v>
      </c>
      <c r="X56" s="72">
        <v>1.04</v>
      </c>
      <c r="Y56" s="72">
        <v>0.95</v>
      </c>
      <c r="Z56" s="72">
        <v>0.87</v>
      </c>
      <c r="AA56" s="72">
        <v>0.8</v>
      </c>
    </row>
    <row r="57" spans="1:27" x14ac:dyDescent="0.25">
      <c r="A57" s="71">
        <v>52</v>
      </c>
      <c r="B57" s="72">
        <v>9.3800000000000008</v>
      </c>
      <c r="C57" s="72">
        <v>8.3699999999999992</v>
      </c>
      <c r="D57" s="72">
        <v>7.49</v>
      </c>
      <c r="E57" s="72">
        <v>6.71</v>
      </c>
      <c r="F57" s="72">
        <v>6.02</v>
      </c>
      <c r="G57" s="72">
        <v>5.41</v>
      </c>
      <c r="H57" s="72">
        <v>4.87</v>
      </c>
      <c r="I57" s="72">
        <v>4.3899999999999997</v>
      </c>
      <c r="J57" s="72">
        <v>3.97</v>
      </c>
      <c r="K57" s="72">
        <v>3.59</v>
      </c>
      <c r="L57" s="72">
        <v>3.26</v>
      </c>
      <c r="M57" s="72">
        <v>2.96</v>
      </c>
      <c r="N57" s="72">
        <v>2.69</v>
      </c>
      <c r="O57" s="72">
        <v>2.4500000000000002</v>
      </c>
      <c r="P57" s="72">
        <v>2.23</v>
      </c>
      <c r="Q57" s="72">
        <v>2.0299999999999998</v>
      </c>
      <c r="R57" s="72">
        <v>1.85</v>
      </c>
      <c r="S57" s="72">
        <v>1.69</v>
      </c>
      <c r="T57" s="72">
        <v>1.55</v>
      </c>
      <c r="U57" s="72">
        <v>1.41</v>
      </c>
      <c r="V57" s="72">
        <v>1.29</v>
      </c>
      <c r="W57" s="72">
        <v>1.18</v>
      </c>
      <c r="X57" s="72">
        <v>1.08</v>
      </c>
      <c r="Y57" s="72">
        <v>0.99</v>
      </c>
      <c r="Z57" s="72">
        <v>0.9</v>
      </c>
      <c r="AA57" s="72">
        <v>0.83</v>
      </c>
    </row>
    <row r="58" spans="1:27" x14ac:dyDescent="0.25">
      <c r="A58" s="71">
        <v>53</v>
      </c>
      <c r="B58" s="72">
        <v>10.199999999999999</v>
      </c>
      <c r="C58" s="72">
        <v>9.09</v>
      </c>
      <c r="D58" s="72">
        <v>8.11</v>
      </c>
      <c r="E58" s="72">
        <v>7.25</v>
      </c>
      <c r="F58" s="72">
        <v>6.49</v>
      </c>
      <c r="G58" s="72">
        <v>5.81</v>
      </c>
      <c r="H58" s="72">
        <v>5.22</v>
      </c>
      <c r="I58" s="72">
        <v>4.7</v>
      </c>
      <c r="J58" s="72">
        <v>4.2300000000000004</v>
      </c>
      <c r="K58" s="72">
        <v>3.82</v>
      </c>
      <c r="L58" s="72">
        <v>3.46</v>
      </c>
      <c r="M58" s="72">
        <v>3.13</v>
      </c>
      <c r="N58" s="72">
        <v>2.84</v>
      </c>
      <c r="O58" s="72">
        <v>2.58</v>
      </c>
      <c r="P58" s="72">
        <v>2.34</v>
      </c>
      <c r="Q58" s="72">
        <v>2.13</v>
      </c>
      <c r="R58" s="72">
        <v>1.94</v>
      </c>
      <c r="S58" s="72">
        <v>1.77</v>
      </c>
      <c r="T58" s="72">
        <v>1.62</v>
      </c>
      <c r="U58" s="72">
        <v>1.48</v>
      </c>
      <c r="V58" s="72">
        <v>1.35</v>
      </c>
      <c r="W58" s="72">
        <v>1.23</v>
      </c>
      <c r="X58" s="72">
        <v>1.1200000000000001</v>
      </c>
      <c r="Y58" s="72">
        <v>1.02</v>
      </c>
      <c r="Z58" s="72">
        <v>0.94</v>
      </c>
      <c r="AA58" s="72">
        <v>0.85</v>
      </c>
    </row>
    <row r="59" spans="1:27" x14ac:dyDescent="0.25">
      <c r="A59" s="71">
        <v>54</v>
      </c>
      <c r="B59" s="72">
        <v>11.12</v>
      </c>
      <c r="C59" s="72">
        <v>9.89</v>
      </c>
      <c r="D59" s="72">
        <v>8.81</v>
      </c>
      <c r="E59" s="72">
        <v>7.85</v>
      </c>
      <c r="F59" s="72">
        <v>7.01</v>
      </c>
      <c r="G59" s="72">
        <v>6.27</v>
      </c>
      <c r="H59" s="72">
        <v>5.62</v>
      </c>
      <c r="I59" s="72">
        <v>5.04</v>
      </c>
      <c r="J59" s="72">
        <v>4.53</v>
      </c>
      <c r="K59" s="72">
        <v>4.08</v>
      </c>
      <c r="L59" s="72">
        <v>3.68</v>
      </c>
      <c r="M59" s="72">
        <v>3.32</v>
      </c>
      <c r="N59" s="72">
        <v>3.01</v>
      </c>
      <c r="O59" s="72">
        <v>2.73</v>
      </c>
      <c r="P59" s="72">
        <v>2.4700000000000002</v>
      </c>
      <c r="Q59" s="72">
        <v>2.25</v>
      </c>
      <c r="R59" s="72">
        <v>2.04</v>
      </c>
      <c r="S59" s="72">
        <v>1.86</v>
      </c>
      <c r="T59" s="72">
        <v>1.69</v>
      </c>
      <c r="U59" s="72">
        <v>1.54</v>
      </c>
      <c r="V59" s="72">
        <v>1.4</v>
      </c>
      <c r="W59" s="72">
        <v>1.28</v>
      </c>
      <c r="X59" s="72">
        <v>1.17</v>
      </c>
      <c r="Y59" s="72">
        <v>1.06</v>
      </c>
      <c r="Z59" s="72">
        <v>0.97</v>
      </c>
      <c r="AA59" s="72">
        <v>0.88</v>
      </c>
    </row>
    <row r="60" spans="1:27" x14ac:dyDescent="0.25">
      <c r="A60" s="71">
        <v>55</v>
      </c>
      <c r="B60" s="72">
        <v>12.16</v>
      </c>
      <c r="C60" s="72">
        <v>10.79</v>
      </c>
      <c r="D60" s="72">
        <v>9.59</v>
      </c>
      <c r="E60" s="72">
        <v>8.5299999999999994</v>
      </c>
      <c r="F60" s="72">
        <v>7.6</v>
      </c>
      <c r="G60" s="72">
        <v>6.78</v>
      </c>
      <c r="H60" s="72">
        <v>6.06</v>
      </c>
      <c r="I60" s="72">
        <v>5.42</v>
      </c>
      <c r="J60" s="72">
        <v>4.8600000000000003</v>
      </c>
      <c r="K60" s="72">
        <v>4.37</v>
      </c>
      <c r="L60" s="72">
        <v>3.93</v>
      </c>
      <c r="M60" s="72">
        <v>3.54</v>
      </c>
      <c r="N60" s="72">
        <v>3.2</v>
      </c>
      <c r="O60" s="72">
        <v>2.89</v>
      </c>
      <c r="P60" s="72">
        <v>2.61</v>
      </c>
      <c r="Q60" s="72">
        <v>2.37</v>
      </c>
      <c r="R60" s="72">
        <v>2.15</v>
      </c>
      <c r="S60" s="72">
        <v>1.95</v>
      </c>
      <c r="T60" s="72">
        <v>1.77</v>
      </c>
      <c r="U60" s="72">
        <v>1.61</v>
      </c>
      <c r="V60" s="72">
        <v>1.47</v>
      </c>
      <c r="W60" s="72">
        <v>1.34</v>
      </c>
      <c r="X60" s="72">
        <v>1.22</v>
      </c>
      <c r="Y60" s="72">
        <v>1.1100000000000001</v>
      </c>
      <c r="Z60" s="72">
        <v>1.01</v>
      </c>
      <c r="AA60" s="72">
        <v>0.92</v>
      </c>
    </row>
    <row r="61" spans="1:27" x14ac:dyDescent="0.25">
      <c r="A61" s="71">
        <v>56</v>
      </c>
      <c r="B61" s="72">
        <v>13.32</v>
      </c>
      <c r="C61" s="72">
        <v>11.8</v>
      </c>
      <c r="D61" s="72">
        <v>10.47</v>
      </c>
      <c r="E61" s="72">
        <v>9.2899999999999991</v>
      </c>
      <c r="F61" s="72">
        <v>8.26</v>
      </c>
      <c r="G61" s="72">
        <v>7.35</v>
      </c>
      <c r="H61" s="72">
        <v>6.55</v>
      </c>
      <c r="I61" s="72">
        <v>5.85</v>
      </c>
      <c r="J61" s="72">
        <v>5.23</v>
      </c>
      <c r="K61" s="72">
        <v>4.6900000000000004</v>
      </c>
      <c r="L61" s="72">
        <v>4.21</v>
      </c>
      <c r="M61" s="72">
        <v>3.78</v>
      </c>
      <c r="N61" s="72">
        <v>3.4</v>
      </c>
      <c r="O61" s="72">
        <v>3.07</v>
      </c>
      <c r="P61" s="72">
        <v>2.77</v>
      </c>
      <c r="Q61" s="72">
        <v>2.5099999999999998</v>
      </c>
      <c r="R61" s="72">
        <v>2.27</v>
      </c>
      <c r="S61" s="72">
        <v>2.06</v>
      </c>
      <c r="T61" s="72">
        <v>1.86</v>
      </c>
      <c r="U61" s="72">
        <v>1.69</v>
      </c>
      <c r="V61" s="72">
        <v>1.54</v>
      </c>
      <c r="W61" s="72">
        <v>1.4</v>
      </c>
      <c r="X61" s="72">
        <v>1.27</v>
      </c>
      <c r="Y61" s="72">
        <v>1.1499999999999999</v>
      </c>
      <c r="Z61" s="72">
        <v>1.05</v>
      </c>
      <c r="AA61" s="72">
        <v>0.95</v>
      </c>
    </row>
    <row r="62" spans="1:27" x14ac:dyDescent="0.25">
      <c r="A62" s="71">
        <v>57</v>
      </c>
      <c r="B62" s="72">
        <v>14.61</v>
      </c>
      <c r="C62" s="72">
        <v>12.94</v>
      </c>
      <c r="D62" s="72">
        <v>11.46</v>
      </c>
      <c r="E62" s="72">
        <v>10.15</v>
      </c>
      <c r="F62" s="72">
        <v>9</v>
      </c>
      <c r="G62" s="72">
        <v>8</v>
      </c>
      <c r="H62" s="72">
        <v>7.11</v>
      </c>
      <c r="I62" s="72">
        <v>6.33</v>
      </c>
      <c r="J62" s="72">
        <v>5.65</v>
      </c>
      <c r="K62" s="72">
        <v>5.05</v>
      </c>
      <c r="L62" s="72">
        <v>4.5199999999999996</v>
      </c>
      <c r="M62" s="72">
        <v>4.05</v>
      </c>
      <c r="N62" s="72">
        <v>3.64</v>
      </c>
      <c r="O62" s="72">
        <v>3.27</v>
      </c>
      <c r="P62" s="72">
        <v>2.95</v>
      </c>
      <c r="Q62" s="72">
        <v>2.66</v>
      </c>
      <c r="R62" s="72">
        <v>2.4</v>
      </c>
      <c r="S62" s="72">
        <v>2.17</v>
      </c>
      <c r="T62" s="72">
        <v>1.96</v>
      </c>
      <c r="U62" s="72">
        <v>1.78</v>
      </c>
      <c r="V62" s="72">
        <v>1.61</v>
      </c>
      <c r="W62" s="72">
        <v>1.46</v>
      </c>
      <c r="X62" s="72">
        <v>1.33</v>
      </c>
      <c r="Y62" s="72">
        <v>1.2</v>
      </c>
      <c r="Z62" s="72">
        <v>1.0900000000000001</v>
      </c>
      <c r="AA62" s="72">
        <v>0.99</v>
      </c>
    </row>
    <row r="63" spans="1:27" x14ac:dyDescent="0.25">
      <c r="A63" s="71">
        <v>58</v>
      </c>
      <c r="B63" s="72">
        <v>16.07</v>
      </c>
      <c r="C63" s="72">
        <v>14.21</v>
      </c>
      <c r="D63" s="72">
        <v>12.56</v>
      </c>
      <c r="E63" s="72">
        <v>11.11</v>
      </c>
      <c r="F63" s="72">
        <v>9.84</v>
      </c>
      <c r="G63" s="72">
        <v>8.7200000000000006</v>
      </c>
      <c r="H63" s="72">
        <v>7.74</v>
      </c>
      <c r="I63" s="72">
        <v>6.87</v>
      </c>
      <c r="J63" s="72">
        <v>6.11</v>
      </c>
      <c r="K63" s="72">
        <v>5.45</v>
      </c>
      <c r="L63" s="72">
        <v>4.8600000000000003</v>
      </c>
      <c r="M63" s="72">
        <v>4.3499999999999996</v>
      </c>
      <c r="N63" s="72">
        <v>3.9</v>
      </c>
      <c r="O63" s="72">
        <v>3.5</v>
      </c>
      <c r="P63" s="72">
        <v>3.14</v>
      </c>
      <c r="Q63" s="72">
        <v>2.83</v>
      </c>
      <c r="R63" s="72">
        <v>2.5499999999999998</v>
      </c>
      <c r="S63" s="72">
        <v>2.2999999999999998</v>
      </c>
      <c r="T63" s="72">
        <v>2.0699999999999998</v>
      </c>
      <c r="U63" s="72">
        <v>1.88</v>
      </c>
      <c r="V63" s="72">
        <v>1.7</v>
      </c>
      <c r="W63" s="72">
        <v>1.53</v>
      </c>
      <c r="X63" s="72">
        <v>1.39</v>
      </c>
      <c r="Y63" s="72">
        <v>1.26</v>
      </c>
      <c r="Z63" s="72">
        <v>1.1399999999999999</v>
      </c>
      <c r="AA63" s="72">
        <v>1.03</v>
      </c>
    </row>
    <row r="64" spans="1:27" x14ac:dyDescent="0.25">
      <c r="A64" s="71">
        <v>59</v>
      </c>
      <c r="B64" s="72">
        <v>17.690000000000001</v>
      </c>
      <c r="C64" s="72">
        <v>15.63</v>
      </c>
      <c r="D64" s="72">
        <v>13.81</v>
      </c>
      <c r="E64" s="72">
        <v>12.2</v>
      </c>
      <c r="F64" s="72">
        <v>10.78</v>
      </c>
      <c r="G64" s="72">
        <v>9.5299999999999994</v>
      </c>
      <c r="H64" s="72">
        <v>8.44</v>
      </c>
      <c r="I64" s="72">
        <v>7.48</v>
      </c>
      <c r="J64" s="72">
        <v>6.64</v>
      </c>
      <c r="K64" s="72">
        <v>5.9</v>
      </c>
      <c r="L64" s="72">
        <v>5.26</v>
      </c>
      <c r="M64" s="72">
        <v>4.6900000000000004</v>
      </c>
      <c r="N64" s="72">
        <v>4.1900000000000004</v>
      </c>
      <c r="O64" s="72">
        <v>3.75</v>
      </c>
      <c r="P64" s="72">
        <v>3.36</v>
      </c>
      <c r="Q64" s="72">
        <v>3.01</v>
      </c>
      <c r="R64" s="72">
        <v>2.71</v>
      </c>
      <c r="S64" s="72">
        <v>2.44</v>
      </c>
      <c r="T64" s="72">
        <v>2.2000000000000002</v>
      </c>
      <c r="U64" s="72">
        <v>1.98</v>
      </c>
      <c r="V64" s="72">
        <v>1.79</v>
      </c>
      <c r="W64" s="72">
        <v>1.61</v>
      </c>
      <c r="X64" s="72">
        <v>1.46</v>
      </c>
      <c r="Y64" s="72">
        <v>1.32</v>
      </c>
      <c r="Z64" s="72">
        <v>1.19</v>
      </c>
      <c r="AA64" s="72">
        <v>1.08</v>
      </c>
    </row>
    <row r="65" spans="1:27" x14ac:dyDescent="0.25">
      <c r="A65" s="71">
        <v>60</v>
      </c>
      <c r="B65" s="72">
        <v>19.52</v>
      </c>
      <c r="C65" s="72">
        <v>17.23</v>
      </c>
      <c r="D65" s="72">
        <v>15.2</v>
      </c>
      <c r="E65" s="72">
        <v>13.41</v>
      </c>
      <c r="F65" s="72">
        <v>11.84</v>
      </c>
      <c r="G65" s="72">
        <v>10.45</v>
      </c>
      <c r="H65" s="72">
        <v>9.23</v>
      </c>
      <c r="I65" s="72">
        <v>8.17</v>
      </c>
      <c r="J65" s="72">
        <v>7.23</v>
      </c>
      <c r="K65" s="72">
        <v>6.41</v>
      </c>
      <c r="L65" s="72">
        <v>5.7</v>
      </c>
      <c r="M65" s="72">
        <v>5.07</v>
      </c>
      <c r="N65" s="72">
        <v>4.5199999999999996</v>
      </c>
      <c r="O65" s="72">
        <v>4.03</v>
      </c>
      <c r="P65" s="72">
        <v>3.6</v>
      </c>
      <c r="Q65" s="72">
        <v>3.23</v>
      </c>
      <c r="R65" s="72">
        <v>2.89</v>
      </c>
      <c r="S65" s="72">
        <v>2.6</v>
      </c>
      <c r="T65" s="72">
        <v>2.33</v>
      </c>
      <c r="U65" s="72">
        <v>2.1</v>
      </c>
      <c r="V65" s="72">
        <v>1.89</v>
      </c>
      <c r="W65" s="72">
        <v>1.7</v>
      </c>
      <c r="X65" s="72">
        <v>1.54</v>
      </c>
      <c r="Y65" s="72">
        <v>1.39</v>
      </c>
      <c r="Z65" s="72">
        <v>1.25</v>
      </c>
      <c r="AA65" s="72">
        <v>1.1299999999999999</v>
      </c>
    </row>
    <row r="66" spans="1:27" x14ac:dyDescent="0.25">
      <c r="A66" s="71">
        <v>61</v>
      </c>
      <c r="B66" s="72">
        <v>21.55</v>
      </c>
      <c r="C66" s="72">
        <v>19.02</v>
      </c>
      <c r="D66" s="72">
        <v>16.77</v>
      </c>
      <c r="E66" s="72">
        <v>14.78</v>
      </c>
      <c r="F66" s="72">
        <v>13.03</v>
      </c>
      <c r="G66" s="72">
        <v>11.48</v>
      </c>
      <c r="H66" s="72">
        <v>10.130000000000001</v>
      </c>
      <c r="I66" s="72">
        <v>8.94</v>
      </c>
      <c r="J66" s="72">
        <v>7.9</v>
      </c>
      <c r="K66" s="72">
        <v>6.99</v>
      </c>
      <c r="L66" s="72">
        <v>6.19</v>
      </c>
      <c r="M66" s="72">
        <v>5.5</v>
      </c>
      <c r="N66" s="72">
        <v>4.88</v>
      </c>
      <c r="O66" s="72">
        <v>4.3499999999999996</v>
      </c>
      <c r="P66" s="72">
        <v>3.87</v>
      </c>
      <c r="Q66" s="72">
        <v>3.46</v>
      </c>
      <c r="R66" s="72">
        <v>3.09</v>
      </c>
      <c r="S66" s="72">
        <v>2.77</v>
      </c>
      <c r="T66" s="72">
        <v>2.48</v>
      </c>
      <c r="U66" s="72">
        <v>2.23</v>
      </c>
      <c r="V66" s="72">
        <v>2</v>
      </c>
      <c r="W66" s="72">
        <v>1.8</v>
      </c>
      <c r="X66" s="72">
        <v>1.62</v>
      </c>
      <c r="Y66" s="72">
        <v>1.46</v>
      </c>
      <c r="Z66" s="72">
        <v>1.31</v>
      </c>
      <c r="AA66" s="72">
        <v>1.19</v>
      </c>
    </row>
    <row r="67" spans="1:27" x14ac:dyDescent="0.25">
      <c r="A67" s="71">
        <v>62</v>
      </c>
      <c r="B67" s="72">
        <v>23.83</v>
      </c>
      <c r="C67" s="72">
        <v>21.02</v>
      </c>
      <c r="D67" s="72">
        <v>18.53</v>
      </c>
      <c r="E67" s="72">
        <v>16.32</v>
      </c>
      <c r="F67" s="72">
        <v>14.37</v>
      </c>
      <c r="G67" s="72">
        <v>12.65</v>
      </c>
      <c r="H67" s="72">
        <v>11.14</v>
      </c>
      <c r="I67" s="72">
        <v>9.82</v>
      </c>
      <c r="J67" s="72">
        <v>8.66</v>
      </c>
      <c r="K67" s="72">
        <v>7.64</v>
      </c>
      <c r="L67" s="72">
        <v>6.75</v>
      </c>
      <c r="M67" s="72">
        <v>5.98</v>
      </c>
      <c r="N67" s="72">
        <v>5.3</v>
      </c>
      <c r="O67" s="72">
        <v>4.7</v>
      </c>
      <c r="P67" s="72">
        <v>4.18</v>
      </c>
      <c r="Q67" s="72">
        <v>3.72</v>
      </c>
      <c r="R67" s="72">
        <v>3.32</v>
      </c>
      <c r="S67" s="72">
        <v>2.97</v>
      </c>
      <c r="T67" s="72">
        <v>2.65</v>
      </c>
      <c r="U67" s="72">
        <v>2.37</v>
      </c>
      <c r="V67" s="72">
        <v>2.13</v>
      </c>
      <c r="W67" s="72">
        <v>1.91</v>
      </c>
      <c r="X67" s="72">
        <v>1.71</v>
      </c>
      <c r="Y67" s="72">
        <v>1.54</v>
      </c>
      <c r="Z67" s="72">
        <v>1.38</v>
      </c>
      <c r="AA67" s="72">
        <v>1.25</v>
      </c>
    </row>
    <row r="68" spans="1:27" x14ac:dyDescent="0.25">
      <c r="A68" s="71">
        <v>63</v>
      </c>
      <c r="B68" s="72">
        <v>26.37</v>
      </c>
      <c r="C68" s="72">
        <v>23.26</v>
      </c>
      <c r="D68" s="72">
        <v>20.5</v>
      </c>
      <c r="E68" s="72">
        <v>18.04</v>
      </c>
      <c r="F68" s="72">
        <v>15.87</v>
      </c>
      <c r="G68" s="72">
        <v>13.96</v>
      </c>
      <c r="H68" s="72">
        <v>12.28</v>
      </c>
      <c r="I68" s="72">
        <v>10.8</v>
      </c>
      <c r="J68" s="72">
        <v>9.51</v>
      </c>
      <c r="K68" s="72">
        <v>8.3800000000000008</v>
      </c>
      <c r="L68" s="72">
        <v>7.39</v>
      </c>
      <c r="M68" s="72">
        <v>6.52</v>
      </c>
      <c r="N68" s="72">
        <v>5.77</v>
      </c>
      <c r="O68" s="72">
        <v>5.1100000000000003</v>
      </c>
      <c r="P68" s="72">
        <v>4.53</v>
      </c>
      <c r="Q68" s="72">
        <v>4.0199999999999996</v>
      </c>
      <c r="R68" s="72">
        <v>3.58</v>
      </c>
      <c r="S68" s="72">
        <v>3.19</v>
      </c>
      <c r="T68" s="72">
        <v>2.84</v>
      </c>
      <c r="U68" s="72">
        <v>2.54</v>
      </c>
      <c r="V68" s="72">
        <v>2.27</v>
      </c>
      <c r="W68" s="72">
        <v>2.0299999999999998</v>
      </c>
      <c r="X68" s="72">
        <v>1.82</v>
      </c>
      <c r="Y68" s="72">
        <v>1.63</v>
      </c>
      <c r="Z68" s="72">
        <v>1.46</v>
      </c>
      <c r="AA68" s="72">
        <v>1.31</v>
      </c>
    </row>
    <row r="69" spans="1:27" x14ac:dyDescent="0.25">
      <c r="A69" s="71">
        <v>64</v>
      </c>
      <c r="B69" s="72">
        <v>28.85</v>
      </c>
      <c r="C69" s="72">
        <v>25.77</v>
      </c>
      <c r="D69" s="72">
        <v>22.71</v>
      </c>
      <c r="E69" s="72">
        <v>19.98</v>
      </c>
      <c r="F69" s="72">
        <v>17.57</v>
      </c>
      <c r="G69" s="72">
        <v>15.44</v>
      </c>
      <c r="H69" s="72">
        <v>13.56</v>
      </c>
      <c r="I69" s="72">
        <v>11.91</v>
      </c>
      <c r="J69" s="72">
        <v>10.47</v>
      </c>
      <c r="K69" s="72">
        <v>9.2100000000000009</v>
      </c>
      <c r="L69" s="72">
        <v>8.1</v>
      </c>
      <c r="M69" s="72">
        <v>7.14</v>
      </c>
      <c r="N69" s="72">
        <v>6.3</v>
      </c>
      <c r="O69" s="72">
        <v>5.56</v>
      </c>
      <c r="P69" s="72">
        <v>4.92</v>
      </c>
      <c r="Q69" s="72">
        <v>4.3600000000000003</v>
      </c>
      <c r="R69" s="72">
        <v>3.86</v>
      </c>
      <c r="S69" s="72">
        <v>3.43</v>
      </c>
      <c r="T69" s="72">
        <v>3.05</v>
      </c>
      <c r="U69" s="72">
        <v>2.72</v>
      </c>
      <c r="V69" s="72">
        <v>2.42</v>
      </c>
      <c r="W69" s="72">
        <v>2.16</v>
      </c>
      <c r="X69" s="72">
        <v>1.93</v>
      </c>
      <c r="Y69" s="72">
        <v>1.73</v>
      </c>
      <c r="Z69" s="72">
        <v>1.55</v>
      </c>
      <c r="AA69" s="72">
        <v>1.39</v>
      </c>
    </row>
    <row r="70" spans="1:27" x14ac:dyDescent="0.25">
      <c r="A70" s="71">
        <v>65</v>
      </c>
      <c r="B70" s="72">
        <v>30</v>
      </c>
      <c r="C70" s="72">
        <v>28.55</v>
      </c>
      <c r="D70" s="72">
        <v>25.18</v>
      </c>
      <c r="E70" s="72">
        <v>22.16</v>
      </c>
      <c r="F70" s="72">
        <v>19.48</v>
      </c>
      <c r="G70" s="72">
        <v>17.100000000000001</v>
      </c>
      <c r="H70" s="72">
        <v>15.01</v>
      </c>
      <c r="I70" s="72">
        <v>13.17</v>
      </c>
      <c r="J70" s="72">
        <v>11.56</v>
      </c>
      <c r="K70" s="72">
        <v>10.15</v>
      </c>
      <c r="L70" s="72">
        <v>8.92</v>
      </c>
      <c r="M70" s="72">
        <v>7.84</v>
      </c>
      <c r="N70" s="72">
        <v>6.9</v>
      </c>
      <c r="O70" s="72">
        <v>6.08</v>
      </c>
      <c r="P70" s="72">
        <v>5.36</v>
      </c>
      <c r="Q70" s="72">
        <v>4.74</v>
      </c>
      <c r="R70" s="72">
        <v>4.1900000000000004</v>
      </c>
      <c r="S70" s="72">
        <v>3.71</v>
      </c>
      <c r="T70" s="72">
        <v>3.29</v>
      </c>
      <c r="U70" s="72">
        <v>2.92</v>
      </c>
      <c r="V70" s="72">
        <v>2.6</v>
      </c>
      <c r="W70" s="72">
        <v>2.31</v>
      </c>
      <c r="X70" s="72">
        <v>2.06</v>
      </c>
      <c r="Y70" s="72">
        <v>1.84</v>
      </c>
      <c r="Z70" s="72">
        <v>1.64</v>
      </c>
      <c r="AA70" s="72">
        <v>1.47</v>
      </c>
    </row>
    <row r="71" spans="1:27" x14ac:dyDescent="0.25">
      <c r="A71" s="71">
        <v>66</v>
      </c>
      <c r="B71" s="72">
        <v>30</v>
      </c>
      <c r="C71" s="72">
        <v>30</v>
      </c>
      <c r="D71" s="72">
        <v>27.96</v>
      </c>
      <c r="E71" s="72">
        <v>24.6</v>
      </c>
      <c r="F71" s="72">
        <v>21.62</v>
      </c>
      <c r="G71" s="72">
        <v>18.98</v>
      </c>
      <c r="H71" s="72">
        <v>16.649999999999999</v>
      </c>
      <c r="I71" s="72">
        <v>14.59</v>
      </c>
      <c r="J71" s="72">
        <v>12.79</v>
      </c>
      <c r="K71" s="72">
        <v>11.21</v>
      </c>
      <c r="L71" s="72">
        <v>9.83</v>
      </c>
      <c r="M71" s="72">
        <v>8.6300000000000008</v>
      </c>
      <c r="N71" s="72">
        <v>7.58</v>
      </c>
      <c r="O71" s="72">
        <v>6.66</v>
      </c>
      <c r="P71" s="72">
        <v>5.86</v>
      </c>
      <c r="Q71" s="72">
        <v>5.16</v>
      </c>
      <c r="R71" s="72">
        <v>4.5599999999999996</v>
      </c>
      <c r="S71" s="72">
        <v>4.0199999999999996</v>
      </c>
      <c r="T71" s="72">
        <v>3.56</v>
      </c>
      <c r="U71" s="72">
        <v>3.15</v>
      </c>
      <c r="V71" s="72">
        <v>2.79</v>
      </c>
      <c r="W71" s="72">
        <v>2.48</v>
      </c>
      <c r="X71" s="72">
        <v>2.2000000000000002</v>
      </c>
      <c r="Y71" s="72">
        <v>1.96</v>
      </c>
      <c r="Z71" s="72">
        <v>1.75</v>
      </c>
      <c r="AA71" s="72">
        <v>1.56</v>
      </c>
    </row>
    <row r="72" spans="1:27" x14ac:dyDescent="0.25">
      <c r="A72" s="71">
        <v>67</v>
      </c>
      <c r="B72" s="72">
        <v>30</v>
      </c>
      <c r="C72" s="72">
        <v>30</v>
      </c>
      <c r="D72" s="72">
        <v>29.71</v>
      </c>
      <c r="E72" s="72">
        <v>27.35</v>
      </c>
      <c r="F72" s="72">
        <v>24.04</v>
      </c>
      <c r="G72" s="72">
        <v>21.09</v>
      </c>
      <c r="H72" s="72">
        <v>18.489999999999998</v>
      </c>
      <c r="I72" s="72">
        <v>16.2</v>
      </c>
      <c r="J72" s="72">
        <v>14.19</v>
      </c>
      <c r="K72" s="72">
        <v>12.42</v>
      </c>
      <c r="L72" s="72">
        <v>10.88</v>
      </c>
      <c r="M72" s="72">
        <v>9.5299999999999994</v>
      </c>
      <c r="N72" s="72">
        <v>8.35</v>
      </c>
      <c r="O72" s="72">
        <v>7.33</v>
      </c>
      <c r="P72" s="72">
        <v>6.43</v>
      </c>
      <c r="Q72" s="72">
        <v>5.65</v>
      </c>
      <c r="R72" s="72">
        <v>4.97</v>
      </c>
      <c r="S72" s="72">
        <v>4.38</v>
      </c>
      <c r="T72" s="72">
        <v>3.86</v>
      </c>
      <c r="U72" s="72">
        <v>3.41</v>
      </c>
      <c r="V72" s="72">
        <v>3.01</v>
      </c>
      <c r="W72" s="72">
        <v>2.67</v>
      </c>
      <c r="X72" s="72">
        <v>2.36</v>
      </c>
      <c r="Y72" s="72">
        <v>2.1</v>
      </c>
      <c r="Z72" s="72">
        <v>1.86</v>
      </c>
      <c r="AA72" s="72">
        <v>1.66</v>
      </c>
    </row>
    <row r="73" spans="1:27" x14ac:dyDescent="0.25">
      <c r="A73" s="71">
        <v>68</v>
      </c>
      <c r="B73" s="72">
        <v>30</v>
      </c>
      <c r="C73" s="72">
        <v>30</v>
      </c>
      <c r="D73" s="72">
        <v>30</v>
      </c>
      <c r="E73" s="72">
        <v>29.4</v>
      </c>
      <c r="F73" s="72">
        <v>26.76</v>
      </c>
      <c r="G73" s="72">
        <v>23.48</v>
      </c>
      <c r="H73" s="72">
        <v>20.58</v>
      </c>
      <c r="I73" s="72">
        <v>18.02</v>
      </c>
      <c r="J73" s="72">
        <v>15.77</v>
      </c>
      <c r="K73" s="72">
        <v>13.79</v>
      </c>
      <c r="L73" s="72">
        <v>12.06</v>
      </c>
      <c r="M73" s="72">
        <v>10.55</v>
      </c>
      <c r="N73" s="72">
        <v>9.23</v>
      </c>
      <c r="O73" s="72">
        <v>8.08</v>
      </c>
      <c r="P73" s="72">
        <v>7.08</v>
      </c>
      <c r="Q73" s="72">
        <v>6.21</v>
      </c>
      <c r="R73" s="72">
        <v>5.45</v>
      </c>
      <c r="S73" s="72">
        <v>4.78</v>
      </c>
      <c r="T73" s="72">
        <v>4.21</v>
      </c>
      <c r="U73" s="72">
        <v>3.7</v>
      </c>
      <c r="V73" s="72">
        <v>3.26</v>
      </c>
      <c r="W73" s="72">
        <v>2.88</v>
      </c>
      <c r="X73" s="72">
        <v>2.54</v>
      </c>
      <c r="Y73" s="72">
        <v>2.25</v>
      </c>
      <c r="Z73" s="72">
        <v>2</v>
      </c>
      <c r="AA73" s="72">
        <v>1.77</v>
      </c>
    </row>
    <row r="74" spans="1:27" x14ac:dyDescent="0.25">
      <c r="A74" s="71">
        <v>69</v>
      </c>
      <c r="B74" s="72">
        <v>30</v>
      </c>
      <c r="C74" s="72">
        <v>30</v>
      </c>
      <c r="D74" s="72">
        <v>30</v>
      </c>
      <c r="E74" s="72">
        <v>30</v>
      </c>
      <c r="F74" s="72">
        <v>29.1</v>
      </c>
      <c r="G74" s="72">
        <v>26.17</v>
      </c>
      <c r="H74" s="72">
        <v>22.94</v>
      </c>
      <c r="I74" s="72">
        <v>20.079999999999998</v>
      </c>
      <c r="J74" s="72">
        <v>17.559999999999999</v>
      </c>
      <c r="K74" s="72">
        <v>15.35</v>
      </c>
      <c r="L74" s="72">
        <v>13.41</v>
      </c>
      <c r="M74" s="72">
        <v>11.72</v>
      </c>
      <c r="N74" s="72">
        <v>10.24</v>
      </c>
      <c r="O74" s="72">
        <v>8.94</v>
      </c>
      <c r="P74" s="72">
        <v>7.82</v>
      </c>
      <c r="Q74" s="72">
        <v>6.84</v>
      </c>
      <c r="R74" s="72">
        <v>5.99</v>
      </c>
      <c r="S74" s="72">
        <v>5.25</v>
      </c>
      <c r="T74" s="72">
        <v>4.5999999999999996</v>
      </c>
      <c r="U74" s="72">
        <v>4.04</v>
      </c>
      <c r="V74" s="72">
        <v>3.55</v>
      </c>
      <c r="W74" s="72">
        <v>3.12</v>
      </c>
      <c r="X74" s="72">
        <v>2.75</v>
      </c>
      <c r="Y74" s="72">
        <v>2.4300000000000002</v>
      </c>
      <c r="Z74" s="72">
        <v>2.14</v>
      </c>
      <c r="AA74" s="72">
        <v>1.9</v>
      </c>
    </row>
    <row r="75" spans="1:27" x14ac:dyDescent="0.25">
      <c r="A75" s="71">
        <v>70</v>
      </c>
      <c r="B75" s="72">
        <v>30</v>
      </c>
      <c r="C75" s="72">
        <v>30</v>
      </c>
      <c r="D75" s="72">
        <v>30</v>
      </c>
      <c r="E75" s="72">
        <v>30</v>
      </c>
      <c r="F75" s="72">
        <v>30</v>
      </c>
      <c r="G75" s="72">
        <v>28.8</v>
      </c>
      <c r="H75" s="72">
        <v>25.61</v>
      </c>
      <c r="I75" s="72">
        <v>22.42</v>
      </c>
      <c r="J75" s="72">
        <v>19.600000000000001</v>
      </c>
      <c r="K75" s="72">
        <v>17.12</v>
      </c>
      <c r="L75" s="72">
        <v>14.95</v>
      </c>
      <c r="M75" s="72">
        <v>13.04</v>
      </c>
      <c r="N75" s="72">
        <v>11.38</v>
      </c>
      <c r="O75" s="72">
        <v>9.93</v>
      </c>
      <c r="P75" s="72">
        <v>8.66</v>
      </c>
      <c r="Q75" s="72">
        <v>7.56</v>
      </c>
      <c r="R75" s="72">
        <v>6.61</v>
      </c>
      <c r="S75" s="72">
        <v>5.77</v>
      </c>
      <c r="T75" s="72">
        <v>5.05</v>
      </c>
      <c r="U75" s="72">
        <v>4.42</v>
      </c>
      <c r="V75" s="72">
        <v>3.87</v>
      </c>
      <c r="W75" s="72">
        <v>3.39</v>
      </c>
      <c r="X75" s="72">
        <v>2.98</v>
      </c>
      <c r="Y75" s="72">
        <v>2.62</v>
      </c>
      <c r="Z75" s="72">
        <v>2.31</v>
      </c>
      <c r="AA75" s="72">
        <v>2.04</v>
      </c>
    </row>
    <row r="76" spans="1:27" x14ac:dyDescent="0.25">
      <c r="A76" s="71">
        <v>71</v>
      </c>
      <c r="B76" s="72">
        <v>30</v>
      </c>
      <c r="C76" s="72">
        <v>30</v>
      </c>
      <c r="D76" s="72">
        <v>30</v>
      </c>
      <c r="E76" s="72">
        <v>30</v>
      </c>
      <c r="F76" s="72">
        <v>30</v>
      </c>
      <c r="G76" s="72">
        <v>30</v>
      </c>
      <c r="H76" s="72">
        <v>28.51</v>
      </c>
      <c r="I76" s="72">
        <v>25.06</v>
      </c>
      <c r="J76" s="72">
        <v>21.91</v>
      </c>
      <c r="K76" s="72">
        <v>19.13</v>
      </c>
      <c r="L76" s="72">
        <v>16.690000000000001</v>
      </c>
      <c r="M76" s="72">
        <v>14.55</v>
      </c>
      <c r="N76" s="72">
        <v>12.69</v>
      </c>
      <c r="O76" s="72">
        <v>11.05</v>
      </c>
      <c r="P76" s="72">
        <v>9.6300000000000008</v>
      </c>
      <c r="Q76" s="72">
        <v>8.39</v>
      </c>
      <c r="R76" s="72">
        <v>7.31</v>
      </c>
      <c r="S76" s="72">
        <v>6.37</v>
      </c>
      <c r="T76" s="72">
        <v>5.56</v>
      </c>
      <c r="U76" s="72">
        <v>4.8499999999999996</v>
      </c>
      <c r="V76" s="72">
        <v>4.24</v>
      </c>
      <c r="W76" s="72">
        <v>3.71</v>
      </c>
      <c r="X76" s="72">
        <v>3.25</v>
      </c>
      <c r="Y76" s="72">
        <v>2.85</v>
      </c>
      <c r="Z76" s="72">
        <v>2.5</v>
      </c>
      <c r="AA76" s="72">
        <v>2.2000000000000002</v>
      </c>
    </row>
    <row r="77" spans="1:27" x14ac:dyDescent="0.25">
      <c r="A77" s="71">
        <v>72</v>
      </c>
      <c r="B77" s="72">
        <v>30</v>
      </c>
      <c r="C77" s="72">
        <v>30</v>
      </c>
      <c r="D77" s="72">
        <v>30</v>
      </c>
      <c r="E77" s="72">
        <v>30</v>
      </c>
      <c r="F77" s="72">
        <v>30</v>
      </c>
      <c r="G77" s="72">
        <v>30</v>
      </c>
      <c r="H77" s="72">
        <v>30</v>
      </c>
      <c r="I77" s="72">
        <v>28.05</v>
      </c>
      <c r="J77" s="72">
        <v>24.53</v>
      </c>
      <c r="K77" s="72">
        <v>21.42</v>
      </c>
      <c r="L77" s="72">
        <v>18.68</v>
      </c>
      <c r="M77" s="72">
        <v>16.28</v>
      </c>
      <c r="N77" s="72">
        <v>14.17</v>
      </c>
      <c r="O77" s="72">
        <v>12.33</v>
      </c>
      <c r="P77" s="72">
        <v>10.73</v>
      </c>
      <c r="Q77" s="72">
        <v>9.33</v>
      </c>
      <c r="R77" s="72">
        <v>8.1199999999999992</v>
      </c>
      <c r="S77" s="72">
        <v>7.06</v>
      </c>
      <c r="T77" s="72">
        <v>6.15</v>
      </c>
      <c r="U77" s="72">
        <v>5.35</v>
      </c>
      <c r="V77" s="72">
        <v>4.66</v>
      </c>
      <c r="W77" s="72">
        <v>4.0599999999999996</v>
      </c>
      <c r="X77" s="72">
        <v>3.55</v>
      </c>
      <c r="Y77" s="72">
        <v>3.1</v>
      </c>
      <c r="Z77" s="72">
        <v>2.72</v>
      </c>
      <c r="AA77" s="72">
        <v>2.38</v>
      </c>
    </row>
    <row r="78" spans="1:27" x14ac:dyDescent="0.25">
      <c r="A78" s="71">
        <v>73</v>
      </c>
      <c r="B78" s="72">
        <v>30</v>
      </c>
      <c r="C78" s="72">
        <v>30</v>
      </c>
      <c r="D78" s="72">
        <v>30</v>
      </c>
      <c r="E78" s="72">
        <v>30</v>
      </c>
      <c r="F78" s="72">
        <v>30</v>
      </c>
      <c r="G78" s="72">
        <v>30</v>
      </c>
      <c r="H78" s="72">
        <v>30</v>
      </c>
      <c r="I78" s="72">
        <v>29.82</v>
      </c>
      <c r="J78" s="72">
        <v>27.5</v>
      </c>
      <c r="K78" s="72">
        <v>24.02</v>
      </c>
      <c r="L78" s="72">
        <v>20.94</v>
      </c>
      <c r="M78" s="72">
        <v>18.239999999999998</v>
      </c>
      <c r="N78" s="72">
        <v>15.88</v>
      </c>
      <c r="O78" s="72">
        <v>13.8</v>
      </c>
      <c r="P78" s="72">
        <v>11.99</v>
      </c>
      <c r="Q78" s="72">
        <v>10.42</v>
      </c>
      <c r="R78" s="72">
        <v>9.0500000000000007</v>
      </c>
      <c r="S78" s="72">
        <v>7.85</v>
      </c>
      <c r="T78" s="72">
        <v>6.82</v>
      </c>
      <c r="U78" s="72">
        <v>5.92</v>
      </c>
      <c r="V78" s="72">
        <v>5.14</v>
      </c>
      <c r="W78" s="72">
        <v>4.47</v>
      </c>
      <c r="X78" s="72">
        <v>3.89</v>
      </c>
      <c r="Y78" s="72">
        <v>3.39</v>
      </c>
      <c r="Z78" s="72">
        <v>2.96</v>
      </c>
      <c r="AA78" s="72">
        <v>2.59</v>
      </c>
    </row>
    <row r="79" spans="1:27" x14ac:dyDescent="0.25">
      <c r="A79" s="71">
        <v>74</v>
      </c>
      <c r="B79" s="72">
        <v>30</v>
      </c>
      <c r="C79" s="72">
        <v>30</v>
      </c>
      <c r="D79" s="72">
        <v>30</v>
      </c>
      <c r="E79" s="72">
        <v>30</v>
      </c>
      <c r="F79" s="72">
        <v>30</v>
      </c>
      <c r="G79" s="72">
        <v>30</v>
      </c>
      <c r="H79" s="72">
        <v>30</v>
      </c>
      <c r="I79" s="72">
        <v>30</v>
      </c>
      <c r="J79" s="72">
        <v>29.54</v>
      </c>
      <c r="K79" s="72">
        <v>26.98</v>
      </c>
      <c r="L79" s="72">
        <v>23.53</v>
      </c>
      <c r="M79" s="72">
        <v>20.49</v>
      </c>
      <c r="N79" s="72">
        <v>17.82</v>
      </c>
      <c r="O79" s="72">
        <v>15.49</v>
      </c>
      <c r="P79" s="72">
        <v>13.44</v>
      </c>
      <c r="Q79" s="72">
        <v>11.66</v>
      </c>
      <c r="R79" s="72">
        <v>10.11</v>
      </c>
      <c r="S79" s="72">
        <v>8.76</v>
      </c>
      <c r="T79" s="72">
        <v>7.59</v>
      </c>
      <c r="U79" s="72">
        <v>6.58</v>
      </c>
      <c r="V79" s="72">
        <v>5.7</v>
      </c>
      <c r="W79" s="72">
        <v>4.9400000000000004</v>
      </c>
      <c r="X79" s="72">
        <v>4.28</v>
      </c>
      <c r="Y79" s="72">
        <v>3.72</v>
      </c>
      <c r="Z79" s="72">
        <v>3.24</v>
      </c>
      <c r="AA79" s="72">
        <v>2.82</v>
      </c>
    </row>
    <row r="80" spans="1:27" x14ac:dyDescent="0.25">
      <c r="A80" s="71">
        <v>75</v>
      </c>
      <c r="B80" s="72">
        <v>30</v>
      </c>
      <c r="C80" s="72">
        <v>30</v>
      </c>
      <c r="D80" s="72">
        <v>30</v>
      </c>
      <c r="E80" s="72">
        <v>30</v>
      </c>
      <c r="F80" s="72">
        <v>30</v>
      </c>
      <c r="G80" s="72">
        <v>30</v>
      </c>
      <c r="H80" s="72">
        <v>30</v>
      </c>
      <c r="I80" s="72">
        <v>30</v>
      </c>
      <c r="J80" s="72">
        <v>30</v>
      </c>
      <c r="K80" s="72">
        <v>29.28</v>
      </c>
      <c r="L80" s="72">
        <v>26.48</v>
      </c>
      <c r="M80" s="72">
        <v>23.06</v>
      </c>
      <c r="N80" s="72">
        <v>20.059999999999999</v>
      </c>
      <c r="O80" s="72">
        <v>17.420000000000002</v>
      </c>
      <c r="P80" s="72">
        <v>15.11</v>
      </c>
      <c r="Q80" s="72">
        <v>13.1</v>
      </c>
      <c r="R80" s="72">
        <v>11.34</v>
      </c>
      <c r="S80" s="72">
        <v>9.81</v>
      </c>
      <c r="T80" s="72">
        <v>8.48</v>
      </c>
      <c r="U80" s="72">
        <v>7.33</v>
      </c>
      <c r="V80" s="72">
        <v>6.34</v>
      </c>
      <c r="W80" s="72">
        <v>5.47</v>
      </c>
      <c r="X80" s="72">
        <v>4.74</v>
      </c>
      <c r="Y80" s="72">
        <v>4.1100000000000003</v>
      </c>
      <c r="Z80" s="72">
        <v>3.56</v>
      </c>
      <c r="AA80" s="72">
        <v>3.09</v>
      </c>
    </row>
    <row r="81" spans="1:27" x14ac:dyDescent="0.25">
      <c r="A81" s="71">
        <v>76</v>
      </c>
      <c r="B81" s="72">
        <v>30</v>
      </c>
      <c r="C81" s="72">
        <v>30</v>
      </c>
      <c r="D81" s="72">
        <v>30</v>
      </c>
      <c r="E81" s="72">
        <v>30</v>
      </c>
      <c r="F81" s="72">
        <v>30</v>
      </c>
      <c r="G81" s="72">
        <v>30</v>
      </c>
      <c r="H81" s="72">
        <v>30</v>
      </c>
      <c r="I81" s="72">
        <v>30</v>
      </c>
      <c r="J81" s="72">
        <v>30</v>
      </c>
      <c r="K81" s="72">
        <v>30</v>
      </c>
      <c r="L81" s="72">
        <v>29.03</v>
      </c>
      <c r="M81" s="72">
        <v>26.01</v>
      </c>
      <c r="N81" s="72">
        <v>22.62</v>
      </c>
      <c r="O81" s="72">
        <v>19.64</v>
      </c>
      <c r="P81" s="72">
        <v>17.03</v>
      </c>
      <c r="Q81" s="72">
        <v>14.75</v>
      </c>
      <c r="R81" s="72">
        <v>12.76</v>
      </c>
      <c r="S81" s="72">
        <v>11.02</v>
      </c>
      <c r="T81" s="72">
        <v>9.51</v>
      </c>
      <c r="U81" s="72">
        <v>8.2100000000000009</v>
      </c>
      <c r="V81" s="72">
        <v>7.08</v>
      </c>
      <c r="W81" s="72">
        <v>6.1</v>
      </c>
      <c r="X81" s="72">
        <v>5.26</v>
      </c>
      <c r="Y81" s="72">
        <v>4.55</v>
      </c>
      <c r="Z81" s="72">
        <v>3.93</v>
      </c>
      <c r="AA81" s="72">
        <v>3.4</v>
      </c>
    </row>
    <row r="82" spans="1:27" x14ac:dyDescent="0.25">
      <c r="A82" s="71">
        <v>77</v>
      </c>
      <c r="B82" s="72">
        <v>30</v>
      </c>
      <c r="C82" s="72">
        <v>30</v>
      </c>
      <c r="D82" s="72">
        <v>30</v>
      </c>
      <c r="E82" s="72">
        <v>30</v>
      </c>
      <c r="F82" s="72">
        <v>30</v>
      </c>
      <c r="G82" s="72">
        <v>30</v>
      </c>
      <c r="H82" s="72">
        <v>30</v>
      </c>
      <c r="I82" s="72">
        <v>30</v>
      </c>
      <c r="J82" s="72">
        <v>30</v>
      </c>
      <c r="K82" s="72">
        <v>30</v>
      </c>
      <c r="L82" s="72">
        <v>30</v>
      </c>
      <c r="M82" s="72">
        <v>28.8</v>
      </c>
      <c r="N82" s="72">
        <v>25.57</v>
      </c>
      <c r="O82" s="72">
        <v>22.2</v>
      </c>
      <c r="P82" s="72">
        <v>19.239999999999998</v>
      </c>
      <c r="Q82" s="72">
        <v>16.66</v>
      </c>
      <c r="R82" s="72">
        <v>14.4</v>
      </c>
      <c r="S82" s="72">
        <v>12.42</v>
      </c>
      <c r="T82" s="72">
        <v>10.71</v>
      </c>
      <c r="U82" s="72">
        <v>9.2200000000000006</v>
      </c>
      <c r="V82" s="72">
        <v>7.93</v>
      </c>
      <c r="W82" s="72">
        <v>6.82</v>
      </c>
      <c r="X82" s="72">
        <v>5.87</v>
      </c>
      <c r="Y82" s="72">
        <v>5.05</v>
      </c>
      <c r="Z82" s="72">
        <v>4.3600000000000003</v>
      </c>
      <c r="AA82" s="72">
        <v>3.76</v>
      </c>
    </row>
    <row r="83" spans="1:27" x14ac:dyDescent="0.25">
      <c r="A83" s="71">
        <v>78</v>
      </c>
      <c r="B83" s="72">
        <v>30</v>
      </c>
      <c r="C83" s="72">
        <v>30</v>
      </c>
      <c r="D83" s="72">
        <v>30</v>
      </c>
      <c r="E83" s="72">
        <v>30</v>
      </c>
      <c r="F83" s="72">
        <v>30</v>
      </c>
      <c r="G83" s="72">
        <v>30</v>
      </c>
      <c r="H83" s="72">
        <v>30</v>
      </c>
      <c r="I83" s="72">
        <v>30</v>
      </c>
      <c r="J83" s="72">
        <v>30</v>
      </c>
      <c r="K83" s="72">
        <v>30</v>
      </c>
      <c r="L83" s="72">
        <v>30</v>
      </c>
      <c r="M83" s="72">
        <v>30</v>
      </c>
      <c r="N83" s="72">
        <v>28.58</v>
      </c>
      <c r="O83" s="72">
        <v>25.15</v>
      </c>
      <c r="P83" s="72">
        <v>21.8</v>
      </c>
      <c r="Q83" s="72">
        <v>18.86</v>
      </c>
      <c r="R83" s="72">
        <v>16.29</v>
      </c>
      <c r="S83" s="72">
        <v>14.05</v>
      </c>
      <c r="T83" s="72">
        <v>12.09</v>
      </c>
      <c r="U83" s="72">
        <v>10.39</v>
      </c>
      <c r="V83" s="72">
        <v>8.93</v>
      </c>
      <c r="W83" s="72">
        <v>7.65</v>
      </c>
      <c r="X83" s="72">
        <v>6.57</v>
      </c>
      <c r="Y83" s="72">
        <v>5.64</v>
      </c>
      <c r="Z83" s="72">
        <v>4.8499999999999996</v>
      </c>
      <c r="AA83" s="72">
        <v>4.17</v>
      </c>
    </row>
    <row r="84" spans="1:27" x14ac:dyDescent="0.25">
      <c r="A84" s="71">
        <v>79</v>
      </c>
      <c r="B84" s="72">
        <v>30</v>
      </c>
      <c r="C84" s="72">
        <v>30</v>
      </c>
      <c r="D84" s="72">
        <v>30</v>
      </c>
      <c r="E84" s="72">
        <v>30</v>
      </c>
      <c r="F84" s="72">
        <v>30</v>
      </c>
      <c r="G84" s="72">
        <v>30</v>
      </c>
      <c r="H84" s="72">
        <v>30</v>
      </c>
      <c r="I84" s="72">
        <v>30</v>
      </c>
      <c r="J84" s="72">
        <v>30</v>
      </c>
      <c r="K84" s="72">
        <v>30</v>
      </c>
      <c r="L84" s="72">
        <v>30</v>
      </c>
      <c r="M84" s="72">
        <v>30</v>
      </c>
      <c r="N84" s="72">
        <v>30</v>
      </c>
      <c r="O84" s="72">
        <v>28.37</v>
      </c>
      <c r="P84" s="72">
        <v>24.75</v>
      </c>
      <c r="Q84" s="72">
        <v>21.42</v>
      </c>
      <c r="R84" s="72">
        <v>18.489999999999998</v>
      </c>
      <c r="S84" s="72">
        <v>15.93</v>
      </c>
      <c r="T84" s="72">
        <v>13.7</v>
      </c>
      <c r="U84" s="72">
        <v>11.76</v>
      </c>
      <c r="V84" s="72">
        <v>10.08</v>
      </c>
      <c r="W84" s="72">
        <v>8.6199999999999992</v>
      </c>
      <c r="X84" s="72">
        <v>7.39</v>
      </c>
      <c r="Y84" s="72">
        <v>6.33</v>
      </c>
      <c r="Z84" s="72">
        <v>5.42</v>
      </c>
      <c r="AA84" s="72">
        <v>4.6500000000000004</v>
      </c>
    </row>
    <row r="85" spans="1:27" x14ac:dyDescent="0.25">
      <c r="A85" s="71">
        <v>80</v>
      </c>
      <c r="B85" s="72">
        <v>30</v>
      </c>
      <c r="C85" s="72">
        <v>30</v>
      </c>
      <c r="D85" s="72">
        <v>30</v>
      </c>
      <c r="E85" s="72">
        <v>30</v>
      </c>
      <c r="F85" s="72">
        <v>30</v>
      </c>
      <c r="G85" s="72">
        <v>30</v>
      </c>
      <c r="H85" s="72">
        <v>30</v>
      </c>
      <c r="I85" s="72">
        <v>30</v>
      </c>
      <c r="J85" s="72">
        <v>30</v>
      </c>
      <c r="K85" s="72">
        <v>30</v>
      </c>
      <c r="L85" s="72">
        <v>30</v>
      </c>
      <c r="M85" s="72">
        <v>30</v>
      </c>
      <c r="N85" s="72">
        <v>30</v>
      </c>
      <c r="O85" s="72">
        <v>30</v>
      </c>
      <c r="P85" s="72">
        <v>28.17</v>
      </c>
      <c r="Q85" s="72">
        <v>24.37</v>
      </c>
      <c r="R85" s="72">
        <v>21.04</v>
      </c>
      <c r="S85" s="72">
        <v>18.12</v>
      </c>
      <c r="T85" s="72">
        <v>15.57</v>
      </c>
      <c r="U85" s="72">
        <v>13.35</v>
      </c>
      <c r="V85" s="72">
        <v>11.43</v>
      </c>
      <c r="W85" s="72">
        <v>9.75</v>
      </c>
      <c r="X85" s="72">
        <v>8.33</v>
      </c>
      <c r="Y85" s="72">
        <v>7.12</v>
      </c>
      <c r="Z85" s="72">
        <v>6.09</v>
      </c>
      <c r="AA85" s="72">
        <v>5.21</v>
      </c>
    </row>
    <row r="86" spans="1:27" x14ac:dyDescent="0.25">
      <c r="A86" s="71">
        <v>81</v>
      </c>
      <c r="B86" s="72">
        <v>30</v>
      </c>
      <c r="C86" s="72">
        <v>30</v>
      </c>
      <c r="D86" s="72">
        <v>30</v>
      </c>
      <c r="E86" s="72">
        <v>30</v>
      </c>
      <c r="F86" s="72">
        <v>30</v>
      </c>
      <c r="G86" s="72">
        <v>30</v>
      </c>
      <c r="H86" s="72">
        <v>30</v>
      </c>
      <c r="I86" s="72">
        <v>30</v>
      </c>
      <c r="J86" s="72">
        <v>30</v>
      </c>
      <c r="K86" s="72">
        <v>30</v>
      </c>
      <c r="L86" s="72">
        <v>30</v>
      </c>
      <c r="M86" s="72">
        <v>30</v>
      </c>
      <c r="N86" s="72">
        <v>30</v>
      </c>
      <c r="O86" s="72">
        <v>30</v>
      </c>
      <c r="P86" s="72">
        <v>30</v>
      </c>
      <c r="Q86" s="72">
        <v>27.8</v>
      </c>
      <c r="R86" s="72">
        <v>24</v>
      </c>
      <c r="S86" s="72">
        <v>20.65</v>
      </c>
      <c r="T86" s="72">
        <v>17.739999999999998</v>
      </c>
      <c r="U86" s="72">
        <v>15.2</v>
      </c>
      <c r="V86" s="72">
        <v>12.99</v>
      </c>
      <c r="W86" s="72">
        <v>11.07</v>
      </c>
      <c r="X86" s="72">
        <v>9.44</v>
      </c>
      <c r="Y86" s="72">
        <v>8.0500000000000007</v>
      </c>
      <c r="Z86" s="72">
        <v>6.86</v>
      </c>
      <c r="AA86" s="72">
        <v>5.85</v>
      </c>
    </row>
    <row r="87" spans="1:27" x14ac:dyDescent="0.25">
      <c r="A87" s="71">
        <v>82</v>
      </c>
      <c r="B87" s="72">
        <v>30</v>
      </c>
      <c r="C87" s="72">
        <v>30</v>
      </c>
      <c r="D87" s="72">
        <v>30</v>
      </c>
      <c r="E87" s="72">
        <v>30</v>
      </c>
      <c r="F87" s="72">
        <v>30</v>
      </c>
      <c r="G87" s="72">
        <v>30</v>
      </c>
      <c r="H87" s="72">
        <v>30</v>
      </c>
      <c r="I87" s="72">
        <v>30</v>
      </c>
      <c r="J87" s="72">
        <v>30</v>
      </c>
      <c r="K87" s="72">
        <v>30</v>
      </c>
      <c r="L87" s="72">
        <v>30</v>
      </c>
      <c r="M87" s="72">
        <v>30</v>
      </c>
      <c r="N87" s="72">
        <v>30</v>
      </c>
      <c r="O87" s="72">
        <v>30</v>
      </c>
      <c r="P87" s="72">
        <v>30</v>
      </c>
      <c r="Q87" s="72">
        <v>29.82</v>
      </c>
      <c r="R87" s="72">
        <v>27.43</v>
      </c>
      <c r="S87" s="72">
        <v>23.61</v>
      </c>
      <c r="T87" s="72">
        <v>20.27</v>
      </c>
      <c r="U87" s="72">
        <v>17.350000000000001</v>
      </c>
      <c r="V87" s="72">
        <v>14.81</v>
      </c>
      <c r="W87" s="72">
        <v>12.6</v>
      </c>
      <c r="X87" s="72">
        <v>10.73</v>
      </c>
      <c r="Y87" s="72">
        <v>9.1300000000000008</v>
      </c>
      <c r="Z87" s="72">
        <v>7.76</v>
      </c>
      <c r="AA87" s="72">
        <v>6.6</v>
      </c>
    </row>
    <row r="88" spans="1:27" x14ac:dyDescent="0.25">
      <c r="A88" s="71">
        <v>83</v>
      </c>
      <c r="B88" s="72">
        <v>30</v>
      </c>
      <c r="C88" s="72">
        <v>30</v>
      </c>
      <c r="D88" s="72">
        <v>30</v>
      </c>
      <c r="E88" s="72">
        <v>30</v>
      </c>
      <c r="F88" s="72">
        <v>30</v>
      </c>
      <c r="G88" s="72">
        <v>30</v>
      </c>
      <c r="H88" s="72">
        <v>30</v>
      </c>
      <c r="I88" s="72">
        <v>30</v>
      </c>
      <c r="J88" s="72">
        <v>30</v>
      </c>
      <c r="K88" s="72">
        <v>30</v>
      </c>
      <c r="L88" s="72">
        <v>30</v>
      </c>
      <c r="M88" s="72">
        <v>30</v>
      </c>
      <c r="N88" s="72">
        <v>30</v>
      </c>
      <c r="O88" s="72">
        <v>30</v>
      </c>
      <c r="P88" s="72">
        <v>30</v>
      </c>
      <c r="Q88" s="72">
        <v>30</v>
      </c>
      <c r="R88" s="72">
        <v>29.64</v>
      </c>
      <c r="S88" s="72">
        <v>27.05</v>
      </c>
      <c r="T88" s="72">
        <v>23.22</v>
      </c>
      <c r="U88" s="72">
        <v>19.86</v>
      </c>
      <c r="V88" s="72">
        <v>16.95</v>
      </c>
      <c r="W88" s="72">
        <v>14.39</v>
      </c>
      <c r="X88" s="72">
        <v>12.23</v>
      </c>
      <c r="Y88" s="72">
        <v>10.39</v>
      </c>
      <c r="Z88" s="72">
        <v>8.81</v>
      </c>
      <c r="AA88" s="72">
        <v>7.48</v>
      </c>
    </row>
    <row r="89" spans="1:27" x14ac:dyDescent="0.25">
      <c r="A89" s="71">
        <v>84</v>
      </c>
      <c r="B89" s="72">
        <v>30</v>
      </c>
      <c r="C89" s="72">
        <v>30</v>
      </c>
      <c r="D89" s="72">
        <v>30</v>
      </c>
      <c r="E89" s="72">
        <v>30</v>
      </c>
      <c r="F89" s="72">
        <v>30</v>
      </c>
      <c r="G89" s="72">
        <v>30</v>
      </c>
      <c r="H89" s="72">
        <v>30</v>
      </c>
      <c r="I89" s="72">
        <v>30</v>
      </c>
      <c r="J89" s="72">
        <v>30</v>
      </c>
      <c r="K89" s="72">
        <v>30</v>
      </c>
      <c r="L89" s="72">
        <v>30</v>
      </c>
      <c r="M89" s="72">
        <v>30</v>
      </c>
      <c r="N89" s="72">
        <v>30</v>
      </c>
      <c r="O89" s="72">
        <v>30</v>
      </c>
      <c r="P89" s="72">
        <v>30</v>
      </c>
      <c r="Q89" s="72">
        <v>30</v>
      </c>
      <c r="R89" s="72">
        <v>30</v>
      </c>
      <c r="S89" s="72">
        <v>29.45</v>
      </c>
      <c r="T89" s="72">
        <v>26.67</v>
      </c>
      <c r="U89" s="72">
        <v>22.81</v>
      </c>
      <c r="V89" s="72">
        <v>19.45</v>
      </c>
      <c r="W89" s="72">
        <v>16.5</v>
      </c>
      <c r="X89" s="72">
        <v>14</v>
      </c>
      <c r="Y89" s="72">
        <v>11.87</v>
      </c>
      <c r="Z89" s="72">
        <v>10.050000000000001</v>
      </c>
      <c r="AA89" s="72">
        <v>8.5</v>
      </c>
    </row>
    <row r="90" spans="1:27" x14ac:dyDescent="0.25">
      <c r="A90" s="71">
        <v>85</v>
      </c>
      <c r="B90" s="72">
        <v>30</v>
      </c>
      <c r="C90" s="72">
        <v>30</v>
      </c>
      <c r="D90" s="72">
        <v>30</v>
      </c>
      <c r="E90" s="72">
        <v>30</v>
      </c>
      <c r="F90" s="72">
        <v>30</v>
      </c>
      <c r="G90" s="72">
        <v>30</v>
      </c>
      <c r="H90" s="72">
        <v>30</v>
      </c>
      <c r="I90" s="72">
        <v>30</v>
      </c>
      <c r="J90" s="72">
        <v>30</v>
      </c>
      <c r="K90" s="72">
        <v>30</v>
      </c>
      <c r="L90" s="72">
        <v>30</v>
      </c>
      <c r="M90" s="72">
        <v>30</v>
      </c>
      <c r="N90" s="72">
        <v>30</v>
      </c>
      <c r="O90" s="72">
        <v>30</v>
      </c>
      <c r="P90" s="72">
        <v>30</v>
      </c>
      <c r="Q90" s="72">
        <v>30</v>
      </c>
      <c r="R90" s="72">
        <v>30</v>
      </c>
      <c r="S90" s="72">
        <v>30</v>
      </c>
      <c r="T90" s="72">
        <v>29.27</v>
      </c>
      <c r="U90" s="72">
        <v>26.27</v>
      </c>
      <c r="V90" s="72">
        <v>22.38</v>
      </c>
      <c r="W90" s="72">
        <v>18.97</v>
      </c>
      <c r="X90" s="72">
        <v>16.079999999999998</v>
      </c>
      <c r="Y90" s="72">
        <v>13.6</v>
      </c>
      <c r="Z90" s="72">
        <v>11.5</v>
      </c>
      <c r="AA90" s="72">
        <v>9.7100000000000009</v>
      </c>
    </row>
    <row r="91" spans="1:27" x14ac:dyDescent="0.25">
      <c r="A91" s="71">
        <v>86</v>
      </c>
      <c r="B91" s="72">
        <v>30</v>
      </c>
      <c r="C91" s="72">
        <v>30</v>
      </c>
      <c r="D91" s="72">
        <v>30</v>
      </c>
      <c r="E91" s="72">
        <v>30</v>
      </c>
      <c r="F91" s="72">
        <v>30</v>
      </c>
      <c r="G91" s="72">
        <v>30</v>
      </c>
      <c r="H91" s="72">
        <v>30</v>
      </c>
      <c r="I91" s="72">
        <v>30</v>
      </c>
      <c r="J91" s="72">
        <v>30</v>
      </c>
      <c r="K91" s="72">
        <v>30</v>
      </c>
      <c r="L91" s="72">
        <v>30</v>
      </c>
      <c r="M91" s="72">
        <v>30</v>
      </c>
      <c r="N91" s="72">
        <v>30</v>
      </c>
      <c r="O91" s="72">
        <v>30</v>
      </c>
      <c r="P91" s="72">
        <v>30</v>
      </c>
      <c r="Q91" s="72">
        <v>30</v>
      </c>
      <c r="R91" s="72">
        <v>30</v>
      </c>
      <c r="S91" s="72">
        <v>30</v>
      </c>
      <c r="T91" s="72">
        <v>30</v>
      </c>
      <c r="U91" s="72">
        <v>29.07</v>
      </c>
      <c r="V91" s="72">
        <v>25.84</v>
      </c>
      <c r="W91" s="72">
        <v>21.87</v>
      </c>
      <c r="X91" s="72">
        <v>18.52</v>
      </c>
      <c r="Y91" s="72">
        <v>15.65</v>
      </c>
      <c r="Z91" s="72">
        <v>13.2</v>
      </c>
      <c r="AA91" s="72">
        <v>11.13</v>
      </c>
    </row>
    <row r="92" spans="1:27" x14ac:dyDescent="0.25">
      <c r="A92" s="71">
        <v>87</v>
      </c>
      <c r="B92" s="72">
        <v>30</v>
      </c>
      <c r="C92" s="72">
        <v>30</v>
      </c>
      <c r="D92" s="72">
        <v>30</v>
      </c>
      <c r="E92" s="72">
        <v>30</v>
      </c>
      <c r="F92" s="72">
        <v>30</v>
      </c>
      <c r="G92" s="72">
        <v>30</v>
      </c>
      <c r="H92" s="72">
        <v>30</v>
      </c>
      <c r="I92" s="72">
        <v>30</v>
      </c>
      <c r="J92" s="72">
        <v>30</v>
      </c>
      <c r="K92" s="72">
        <v>30</v>
      </c>
      <c r="L92" s="72">
        <v>30</v>
      </c>
      <c r="M92" s="72">
        <v>30</v>
      </c>
      <c r="N92" s="72">
        <v>30</v>
      </c>
      <c r="O92" s="72">
        <v>30</v>
      </c>
      <c r="P92" s="72">
        <v>30</v>
      </c>
      <c r="Q92" s="72">
        <v>30</v>
      </c>
      <c r="R92" s="72">
        <v>30</v>
      </c>
      <c r="S92" s="72">
        <v>30</v>
      </c>
      <c r="T92" s="72">
        <v>30</v>
      </c>
      <c r="U92" s="72">
        <v>30</v>
      </c>
      <c r="V92" s="72">
        <v>28.85</v>
      </c>
      <c r="W92" s="72">
        <v>25.3</v>
      </c>
      <c r="X92" s="72">
        <v>21.41</v>
      </c>
      <c r="Y92" s="72">
        <v>18.07</v>
      </c>
      <c r="Z92" s="72">
        <v>15.22</v>
      </c>
      <c r="AA92" s="72">
        <v>12.8</v>
      </c>
    </row>
    <row r="93" spans="1:27" x14ac:dyDescent="0.25">
      <c r="A93" s="71">
        <v>88</v>
      </c>
      <c r="B93" s="72">
        <v>30</v>
      </c>
      <c r="C93" s="72">
        <v>30</v>
      </c>
      <c r="D93" s="72">
        <v>30</v>
      </c>
      <c r="E93" s="72">
        <v>30</v>
      </c>
      <c r="F93" s="72">
        <v>30</v>
      </c>
      <c r="G93" s="72">
        <v>30</v>
      </c>
      <c r="H93" s="72">
        <v>30</v>
      </c>
      <c r="I93" s="72">
        <v>30</v>
      </c>
      <c r="J93" s="72">
        <v>30</v>
      </c>
      <c r="K93" s="72">
        <v>30</v>
      </c>
      <c r="L93" s="72">
        <v>30</v>
      </c>
      <c r="M93" s="72">
        <v>30</v>
      </c>
      <c r="N93" s="72">
        <v>30</v>
      </c>
      <c r="O93" s="72">
        <v>30</v>
      </c>
      <c r="P93" s="72">
        <v>30</v>
      </c>
      <c r="Q93" s="72">
        <v>30</v>
      </c>
      <c r="R93" s="72">
        <v>30</v>
      </c>
      <c r="S93" s="72">
        <v>30</v>
      </c>
      <c r="T93" s="72">
        <v>30</v>
      </c>
      <c r="U93" s="72">
        <v>30</v>
      </c>
      <c r="V93" s="72">
        <v>30</v>
      </c>
      <c r="W93" s="72">
        <v>28.58</v>
      </c>
      <c r="X93" s="72">
        <v>24.81</v>
      </c>
      <c r="Y93" s="72">
        <v>20.91</v>
      </c>
      <c r="Z93" s="72">
        <v>17.59</v>
      </c>
      <c r="AA93" s="72">
        <v>14.77</v>
      </c>
    </row>
    <row r="94" spans="1:27" x14ac:dyDescent="0.25">
      <c r="A94" s="71">
        <v>89</v>
      </c>
      <c r="B94" s="72">
        <v>30</v>
      </c>
      <c r="C94" s="72">
        <v>30</v>
      </c>
      <c r="D94" s="72">
        <v>30</v>
      </c>
      <c r="E94" s="72">
        <v>30</v>
      </c>
      <c r="F94" s="72">
        <v>30</v>
      </c>
      <c r="G94" s="72">
        <v>30</v>
      </c>
      <c r="H94" s="72">
        <v>30</v>
      </c>
      <c r="I94" s="72">
        <v>30</v>
      </c>
      <c r="J94" s="72">
        <v>30</v>
      </c>
      <c r="K94" s="72">
        <v>30</v>
      </c>
      <c r="L94" s="72">
        <v>30</v>
      </c>
      <c r="M94" s="72">
        <v>30</v>
      </c>
      <c r="N94" s="72">
        <v>30</v>
      </c>
      <c r="O94" s="72">
        <v>30</v>
      </c>
      <c r="P94" s="72">
        <v>30</v>
      </c>
      <c r="Q94" s="72">
        <v>30</v>
      </c>
      <c r="R94" s="72">
        <v>30</v>
      </c>
      <c r="S94" s="72">
        <v>30</v>
      </c>
      <c r="T94" s="72">
        <v>30</v>
      </c>
      <c r="U94" s="72">
        <v>30</v>
      </c>
      <c r="V94" s="72">
        <v>30</v>
      </c>
      <c r="W94" s="72">
        <v>30</v>
      </c>
      <c r="X94" s="72">
        <v>28.32</v>
      </c>
      <c r="Y94" s="72">
        <v>24.27</v>
      </c>
      <c r="Z94" s="72">
        <v>20.39</v>
      </c>
      <c r="AA94" s="72">
        <v>17.09</v>
      </c>
    </row>
    <row r="95" spans="1:27" x14ac:dyDescent="0.25">
      <c r="A95" s="71">
        <v>90</v>
      </c>
      <c r="B95" s="72">
        <v>30</v>
      </c>
      <c r="C95" s="72">
        <v>30</v>
      </c>
      <c r="D95" s="72">
        <v>30</v>
      </c>
      <c r="E95" s="72">
        <v>30</v>
      </c>
      <c r="F95" s="72">
        <v>30</v>
      </c>
      <c r="G95" s="72">
        <v>30</v>
      </c>
      <c r="H95" s="72">
        <v>30</v>
      </c>
      <c r="I95" s="72">
        <v>30</v>
      </c>
      <c r="J95" s="72">
        <v>30</v>
      </c>
      <c r="K95" s="72">
        <v>30</v>
      </c>
      <c r="L95" s="72">
        <v>30</v>
      </c>
      <c r="M95" s="72">
        <v>30</v>
      </c>
      <c r="N95" s="72">
        <v>30</v>
      </c>
      <c r="O95" s="72">
        <v>30</v>
      </c>
      <c r="P95" s="72">
        <v>30</v>
      </c>
      <c r="Q95" s="72">
        <v>30</v>
      </c>
      <c r="R95" s="72">
        <v>30</v>
      </c>
      <c r="S95" s="72">
        <v>30</v>
      </c>
      <c r="T95" s="72">
        <v>30</v>
      </c>
      <c r="U95" s="72">
        <v>30</v>
      </c>
      <c r="V95" s="72">
        <v>30</v>
      </c>
      <c r="W95" s="72">
        <v>30</v>
      </c>
      <c r="X95" s="72">
        <v>30</v>
      </c>
      <c r="Y95" s="72">
        <v>28.04</v>
      </c>
      <c r="Z95" s="72">
        <v>23.69</v>
      </c>
      <c r="AA95" s="72">
        <v>19.829999999999998</v>
      </c>
    </row>
    <row r="96" spans="1:27" x14ac:dyDescent="0.25">
      <c r="A96" s="71">
        <v>91</v>
      </c>
      <c r="B96" s="72">
        <v>30</v>
      </c>
      <c r="C96" s="72">
        <v>30</v>
      </c>
      <c r="D96" s="72">
        <v>30</v>
      </c>
      <c r="E96" s="72">
        <v>30</v>
      </c>
      <c r="F96" s="72">
        <v>30</v>
      </c>
      <c r="G96" s="72">
        <v>30</v>
      </c>
      <c r="H96" s="72">
        <v>30</v>
      </c>
      <c r="I96" s="72">
        <v>30</v>
      </c>
      <c r="J96" s="72">
        <v>30</v>
      </c>
      <c r="K96" s="72">
        <v>30</v>
      </c>
      <c r="L96" s="72">
        <v>30</v>
      </c>
      <c r="M96" s="72">
        <v>30</v>
      </c>
      <c r="N96" s="72">
        <v>30</v>
      </c>
      <c r="O96" s="72">
        <v>30</v>
      </c>
      <c r="P96" s="72">
        <v>30</v>
      </c>
      <c r="Q96" s="72">
        <v>30</v>
      </c>
      <c r="R96" s="72">
        <v>30</v>
      </c>
      <c r="S96" s="72">
        <v>30</v>
      </c>
      <c r="T96" s="72">
        <v>30</v>
      </c>
      <c r="U96" s="72">
        <v>30</v>
      </c>
      <c r="V96" s="72">
        <v>30</v>
      </c>
      <c r="W96" s="72">
        <v>30</v>
      </c>
      <c r="X96" s="72">
        <v>30</v>
      </c>
      <c r="Y96" s="72">
        <v>30</v>
      </c>
      <c r="Z96" s="72">
        <v>27.57</v>
      </c>
      <c r="AA96" s="72">
        <v>23.06</v>
      </c>
    </row>
    <row r="97" spans="1:27" x14ac:dyDescent="0.25">
      <c r="A97" s="71">
        <v>92</v>
      </c>
      <c r="B97" s="72">
        <v>30</v>
      </c>
      <c r="C97" s="72">
        <v>30</v>
      </c>
      <c r="D97" s="72">
        <v>30</v>
      </c>
      <c r="E97" s="72">
        <v>30</v>
      </c>
      <c r="F97" s="72">
        <v>30</v>
      </c>
      <c r="G97" s="72">
        <v>30</v>
      </c>
      <c r="H97" s="72">
        <v>30</v>
      </c>
      <c r="I97" s="72">
        <v>30</v>
      </c>
      <c r="J97" s="72">
        <v>30</v>
      </c>
      <c r="K97" s="72">
        <v>30</v>
      </c>
      <c r="L97" s="72">
        <v>30</v>
      </c>
      <c r="M97" s="72">
        <v>30</v>
      </c>
      <c r="N97" s="72">
        <v>30</v>
      </c>
      <c r="O97" s="72">
        <v>30</v>
      </c>
      <c r="P97" s="72">
        <v>30</v>
      </c>
      <c r="Q97" s="72">
        <v>30</v>
      </c>
      <c r="R97" s="72">
        <v>30</v>
      </c>
      <c r="S97" s="72">
        <v>30</v>
      </c>
      <c r="T97" s="72">
        <v>30</v>
      </c>
      <c r="U97" s="72">
        <v>30</v>
      </c>
      <c r="V97" s="72">
        <v>30</v>
      </c>
      <c r="W97" s="72">
        <v>30</v>
      </c>
      <c r="X97" s="72">
        <v>30</v>
      </c>
      <c r="Y97" s="72">
        <v>30</v>
      </c>
      <c r="Z97" s="72">
        <v>29.84</v>
      </c>
      <c r="AA97" s="72">
        <v>26.84</v>
      </c>
    </row>
    <row r="98" spans="1:27" x14ac:dyDescent="0.25">
      <c r="A98" s="71">
        <v>93</v>
      </c>
      <c r="B98" s="72">
        <v>30</v>
      </c>
      <c r="C98" s="72">
        <v>30</v>
      </c>
      <c r="D98" s="72">
        <v>30</v>
      </c>
      <c r="E98" s="72">
        <v>30</v>
      </c>
      <c r="F98" s="72">
        <v>30</v>
      </c>
      <c r="G98" s="72">
        <v>30</v>
      </c>
      <c r="H98" s="72">
        <v>30</v>
      </c>
      <c r="I98" s="72">
        <v>30</v>
      </c>
      <c r="J98" s="72">
        <v>30</v>
      </c>
      <c r="K98" s="72">
        <v>30</v>
      </c>
      <c r="L98" s="72">
        <v>30</v>
      </c>
      <c r="M98" s="72">
        <v>30</v>
      </c>
      <c r="N98" s="72">
        <v>30</v>
      </c>
      <c r="O98" s="72">
        <v>30</v>
      </c>
      <c r="P98" s="72">
        <v>30</v>
      </c>
      <c r="Q98" s="72">
        <v>30</v>
      </c>
      <c r="R98" s="72">
        <v>30</v>
      </c>
      <c r="S98" s="72">
        <v>30</v>
      </c>
      <c r="T98" s="72">
        <v>30</v>
      </c>
      <c r="U98" s="72">
        <v>30</v>
      </c>
      <c r="V98" s="72">
        <v>30</v>
      </c>
      <c r="W98" s="72">
        <v>30</v>
      </c>
      <c r="X98" s="72">
        <v>30</v>
      </c>
      <c r="Y98" s="72">
        <v>30</v>
      </c>
      <c r="Z98" s="72">
        <v>30</v>
      </c>
      <c r="AA98" s="72">
        <v>29.44</v>
      </c>
    </row>
    <row r="99" spans="1:27" x14ac:dyDescent="0.25">
      <c r="A99" s="71">
        <v>94</v>
      </c>
      <c r="B99" s="72">
        <v>30</v>
      </c>
      <c r="C99" s="72">
        <v>30</v>
      </c>
      <c r="D99" s="72">
        <v>30</v>
      </c>
      <c r="E99" s="72">
        <v>30</v>
      </c>
      <c r="F99" s="72">
        <v>30</v>
      </c>
      <c r="G99" s="72">
        <v>30</v>
      </c>
      <c r="H99" s="72">
        <v>30</v>
      </c>
      <c r="I99" s="72">
        <v>30</v>
      </c>
      <c r="J99" s="72">
        <v>30</v>
      </c>
      <c r="K99" s="72">
        <v>30</v>
      </c>
      <c r="L99" s="72">
        <v>30</v>
      </c>
      <c r="M99" s="72">
        <v>30</v>
      </c>
      <c r="N99" s="72">
        <v>30</v>
      </c>
      <c r="O99" s="72">
        <v>30</v>
      </c>
      <c r="P99" s="72">
        <v>30</v>
      </c>
      <c r="Q99" s="72">
        <v>30</v>
      </c>
      <c r="R99" s="72">
        <v>30</v>
      </c>
      <c r="S99" s="72">
        <v>30</v>
      </c>
      <c r="T99" s="72">
        <v>30</v>
      </c>
      <c r="U99" s="72">
        <v>30</v>
      </c>
      <c r="V99" s="72">
        <v>30</v>
      </c>
      <c r="W99" s="72">
        <v>30</v>
      </c>
      <c r="X99" s="72">
        <v>30</v>
      </c>
      <c r="Y99" s="72">
        <v>30</v>
      </c>
      <c r="Z99" s="72">
        <v>30</v>
      </c>
      <c r="AA99" s="72">
        <v>30</v>
      </c>
    </row>
    <row r="100" spans="1:27" x14ac:dyDescent="0.25">
      <c r="A100" s="71">
        <v>95</v>
      </c>
      <c r="B100" s="72">
        <v>30</v>
      </c>
      <c r="C100" s="72">
        <v>30</v>
      </c>
      <c r="D100" s="72">
        <v>30</v>
      </c>
      <c r="E100" s="72">
        <v>30</v>
      </c>
      <c r="F100" s="72">
        <v>30</v>
      </c>
      <c r="G100" s="72">
        <v>30</v>
      </c>
      <c r="H100" s="72">
        <v>30</v>
      </c>
      <c r="I100" s="72">
        <v>30</v>
      </c>
      <c r="J100" s="72">
        <v>30</v>
      </c>
      <c r="K100" s="72">
        <v>30</v>
      </c>
      <c r="L100" s="72">
        <v>30</v>
      </c>
      <c r="M100" s="72">
        <v>30</v>
      </c>
      <c r="N100" s="72">
        <v>30</v>
      </c>
      <c r="O100" s="72">
        <v>30</v>
      </c>
      <c r="P100" s="72">
        <v>30</v>
      </c>
      <c r="Q100" s="72">
        <v>30</v>
      </c>
      <c r="R100" s="72">
        <v>30</v>
      </c>
      <c r="S100" s="72">
        <v>30</v>
      </c>
      <c r="T100" s="72">
        <v>30</v>
      </c>
      <c r="U100" s="72">
        <v>30</v>
      </c>
      <c r="V100" s="72">
        <v>30</v>
      </c>
      <c r="W100" s="72">
        <v>30</v>
      </c>
      <c r="X100" s="72">
        <v>30</v>
      </c>
      <c r="Y100" s="72">
        <v>30</v>
      </c>
      <c r="Z100" s="72">
        <v>30</v>
      </c>
      <c r="AA100" s="72">
        <v>30</v>
      </c>
    </row>
    <row r="101" spans="1:27" x14ac:dyDescent="0.25">
      <c r="A101" s="71">
        <v>96</v>
      </c>
      <c r="B101" s="72">
        <v>30</v>
      </c>
      <c r="C101" s="72">
        <v>30</v>
      </c>
      <c r="D101" s="72">
        <v>30</v>
      </c>
      <c r="E101" s="72">
        <v>30</v>
      </c>
      <c r="F101" s="72">
        <v>30</v>
      </c>
      <c r="G101" s="72">
        <v>30</v>
      </c>
      <c r="H101" s="72">
        <v>30</v>
      </c>
      <c r="I101" s="72">
        <v>30</v>
      </c>
      <c r="J101" s="72">
        <v>30</v>
      </c>
      <c r="K101" s="72">
        <v>30</v>
      </c>
      <c r="L101" s="72">
        <v>30</v>
      </c>
      <c r="M101" s="72">
        <v>30</v>
      </c>
      <c r="N101" s="72">
        <v>30</v>
      </c>
      <c r="O101" s="72">
        <v>30</v>
      </c>
      <c r="P101" s="72">
        <v>30</v>
      </c>
      <c r="Q101" s="72">
        <v>30</v>
      </c>
      <c r="R101" s="72">
        <v>30</v>
      </c>
      <c r="S101" s="72">
        <v>30</v>
      </c>
      <c r="T101" s="72">
        <v>30</v>
      </c>
      <c r="U101" s="72">
        <v>30</v>
      </c>
      <c r="V101" s="72">
        <v>30</v>
      </c>
      <c r="W101" s="72">
        <v>30</v>
      </c>
      <c r="X101" s="72">
        <v>30</v>
      </c>
      <c r="Y101" s="72">
        <v>30</v>
      </c>
      <c r="Z101" s="72">
        <v>30</v>
      </c>
      <c r="AA101" s="72">
        <v>30</v>
      </c>
    </row>
    <row r="102" spans="1:27" x14ac:dyDescent="0.25">
      <c r="A102" s="71">
        <v>97</v>
      </c>
      <c r="B102" s="72">
        <v>30</v>
      </c>
      <c r="C102" s="72">
        <v>30</v>
      </c>
      <c r="D102" s="72">
        <v>30</v>
      </c>
      <c r="E102" s="72">
        <v>30</v>
      </c>
      <c r="F102" s="72">
        <v>30</v>
      </c>
      <c r="G102" s="72">
        <v>30</v>
      </c>
      <c r="H102" s="72">
        <v>30</v>
      </c>
      <c r="I102" s="72">
        <v>30</v>
      </c>
      <c r="J102" s="72">
        <v>30</v>
      </c>
      <c r="K102" s="72">
        <v>30</v>
      </c>
      <c r="L102" s="72">
        <v>30</v>
      </c>
      <c r="M102" s="72">
        <v>30</v>
      </c>
      <c r="N102" s="72">
        <v>30</v>
      </c>
      <c r="O102" s="72">
        <v>30</v>
      </c>
      <c r="P102" s="72">
        <v>30</v>
      </c>
      <c r="Q102" s="72">
        <v>30</v>
      </c>
      <c r="R102" s="72">
        <v>30</v>
      </c>
      <c r="S102" s="72">
        <v>30</v>
      </c>
      <c r="T102" s="72">
        <v>30</v>
      </c>
      <c r="U102" s="72">
        <v>30</v>
      </c>
      <c r="V102" s="72">
        <v>30</v>
      </c>
      <c r="W102" s="72">
        <v>30</v>
      </c>
      <c r="X102" s="72">
        <v>30</v>
      </c>
      <c r="Y102" s="72">
        <v>30</v>
      </c>
      <c r="Z102" s="72">
        <v>30</v>
      </c>
      <c r="AA102" s="72">
        <v>30</v>
      </c>
    </row>
    <row r="103" spans="1:27" x14ac:dyDescent="0.25">
      <c r="A103" s="71">
        <v>98</v>
      </c>
      <c r="B103" s="72">
        <v>30</v>
      </c>
      <c r="C103" s="72">
        <v>30</v>
      </c>
      <c r="D103" s="72">
        <v>30</v>
      </c>
      <c r="E103" s="72">
        <v>30</v>
      </c>
      <c r="F103" s="72">
        <v>30</v>
      </c>
      <c r="G103" s="72">
        <v>30</v>
      </c>
      <c r="H103" s="72">
        <v>30</v>
      </c>
      <c r="I103" s="72">
        <v>30</v>
      </c>
      <c r="J103" s="72">
        <v>30</v>
      </c>
      <c r="K103" s="72">
        <v>30</v>
      </c>
      <c r="L103" s="72">
        <v>30</v>
      </c>
      <c r="M103" s="72">
        <v>30</v>
      </c>
      <c r="N103" s="72">
        <v>30</v>
      </c>
      <c r="O103" s="72">
        <v>30</v>
      </c>
      <c r="P103" s="72">
        <v>30</v>
      </c>
      <c r="Q103" s="72">
        <v>30</v>
      </c>
      <c r="R103" s="72">
        <v>30</v>
      </c>
      <c r="S103" s="72">
        <v>30</v>
      </c>
      <c r="T103" s="72">
        <v>30</v>
      </c>
      <c r="U103" s="72">
        <v>30</v>
      </c>
      <c r="V103" s="72">
        <v>30</v>
      </c>
      <c r="W103" s="72">
        <v>30</v>
      </c>
      <c r="X103" s="72">
        <v>30</v>
      </c>
      <c r="Y103" s="72">
        <v>30</v>
      </c>
      <c r="Z103" s="72">
        <v>30</v>
      </c>
      <c r="AA103" s="72">
        <v>30</v>
      </c>
    </row>
    <row r="104" spans="1:27" x14ac:dyDescent="0.25">
      <c r="A104" s="83" t="s">
        <v>841</v>
      </c>
      <c r="B104" s="72">
        <v>30</v>
      </c>
      <c r="C104" s="72">
        <v>30</v>
      </c>
      <c r="D104" s="72">
        <v>30</v>
      </c>
      <c r="E104" s="72">
        <v>30</v>
      </c>
      <c r="F104" s="72">
        <v>30</v>
      </c>
      <c r="G104" s="72">
        <v>30</v>
      </c>
      <c r="H104" s="72">
        <v>30</v>
      </c>
      <c r="I104" s="72">
        <v>30</v>
      </c>
      <c r="J104" s="72">
        <v>30</v>
      </c>
      <c r="K104" s="72">
        <v>30</v>
      </c>
      <c r="L104" s="72">
        <v>30</v>
      </c>
      <c r="M104" s="72">
        <v>30</v>
      </c>
      <c r="N104" s="72">
        <v>30</v>
      </c>
      <c r="O104" s="72">
        <v>30</v>
      </c>
      <c r="P104" s="72">
        <v>30</v>
      </c>
      <c r="Q104" s="72">
        <v>30</v>
      </c>
      <c r="R104" s="72">
        <v>30</v>
      </c>
      <c r="S104" s="72">
        <v>30</v>
      </c>
      <c r="T104" s="72">
        <v>30</v>
      </c>
      <c r="U104" s="72">
        <v>30</v>
      </c>
      <c r="V104" s="72">
        <v>30</v>
      </c>
      <c r="W104" s="72">
        <v>30</v>
      </c>
      <c r="X104" s="72">
        <v>30</v>
      </c>
      <c r="Y104" s="72">
        <v>30</v>
      </c>
      <c r="Z104" s="72">
        <v>30</v>
      </c>
      <c r="AA104" s="72">
        <v>30</v>
      </c>
    </row>
  </sheetData>
  <sheetProtection algorithmName="SHA-512" hashValue="Ht7NpwG143b8xt6L18uaMIjQQLRWb3rQMsLSg4n8OHyYhVTmLbdS5dgJCGaQyDS22H+IJnnRbrwapFXHFblrqQ==" saltValue="180bU3Uavlxrx0oWbz8Whw==" spinCount="100000" sheet="1" objects="1" scenarios="1"/>
  <conditionalFormatting sqref="A6:A21">
    <cfRule type="expression" dxfId="37" priority="5" stopIfTrue="1">
      <formula>MOD(ROW(),2)=0</formula>
    </cfRule>
    <cfRule type="expression" dxfId="36" priority="6" stopIfTrue="1">
      <formula>MOD(ROW(),2)&lt;&gt;0</formula>
    </cfRule>
  </conditionalFormatting>
  <conditionalFormatting sqref="A26:A104">
    <cfRule type="expression" dxfId="35" priority="13" stopIfTrue="1">
      <formula>MOD(ROW(),2)=0</formula>
    </cfRule>
    <cfRule type="expression" dxfId="34" priority="14" stopIfTrue="1">
      <formula>MOD(ROW(),2)&lt;&gt;0</formula>
    </cfRule>
  </conditionalFormatting>
  <conditionalFormatting sqref="B17:B21">
    <cfRule type="expression" dxfId="33" priority="1" stopIfTrue="1">
      <formula>MOD(ROW(),2)=0</formula>
    </cfRule>
    <cfRule type="expression" dxfId="32" priority="2" stopIfTrue="1">
      <formula>MOD(ROW(),2)&lt;&gt;0</formula>
    </cfRule>
  </conditionalFormatting>
  <conditionalFormatting sqref="B6:AA21">
    <cfRule type="expression" dxfId="31" priority="23" stopIfTrue="1">
      <formula>MOD(ROW(),2)=0</formula>
    </cfRule>
    <cfRule type="expression" dxfId="30" priority="24" stopIfTrue="1">
      <formula>MOD(ROW(),2)&lt;&gt;0</formula>
    </cfRule>
  </conditionalFormatting>
  <conditionalFormatting sqref="B26:AA104">
    <cfRule type="expression" dxfId="29" priority="7" stopIfTrue="1">
      <formula>MOD(ROW(),2)=0</formula>
    </cfRule>
    <cfRule type="expression" dxfId="28" priority="8" stopIfTrue="1">
      <formula>MOD(ROW(),2)&lt;&gt;0</formula>
    </cfRule>
  </conditionalFormatting>
  <conditionalFormatting sqref="C6:AA21">
    <cfRule type="expression" dxfId="27" priority="19" stopIfTrue="1">
      <formula>MOD(ROW(),2)=0</formula>
    </cfRule>
    <cfRule type="expression" dxfId="26" priority="20" stopIfTrue="1">
      <formula>MOD(ROW(),2)&lt;&gt;0</formula>
    </cfRule>
  </conditionalFormatting>
  <hyperlinks>
    <hyperlink ref="B24" location="Assumptions!A1" display="Assumptions" xr:uid="{2F0ED762-76F4-4449-82C4-E2D68A08B0D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9"/>
  <dimension ref="A1:AA95"/>
  <sheetViews>
    <sheetView showGridLines="0" zoomScale="85" zoomScaleNormal="85" workbookViewId="0">
      <selection activeCell="A4" sqref="A4"/>
    </sheetView>
  </sheetViews>
  <sheetFormatPr defaultColWidth="10" defaultRowHeight="12.5" x14ac:dyDescent="0.25"/>
  <cols>
    <col min="1" max="1" width="24.6328125" style="26" customWidth="1"/>
    <col min="2" max="27" width="22.54296875" style="26" customWidth="1"/>
    <col min="28" max="16384" width="10" style="26"/>
  </cols>
  <sheetData>
    <row r="1" spans="1:27" ht="20" x14ac:dyDescent="0.4">
      <c r="A1" s="37" t="s">
        <v>0</v>
      </c>
      <c r="B1" s="38"/>
      <c r="C1" s="38"/>
      <c r="D1" s="38"/>
      <c r="E1" s="38"/>
      <c r="F1" s="38"/>
      <c r="G1" s="38"/>
      <c r="H1" s="38"/>
      <c r="I1" s="38"/>
    </row>
    <row r="2" spans="1:27" ht="15.5" x14ac:dyDescent="0.35">
      <c r="A2" s="39" t="str">
        <f>IF(title="&gt; Enter workbook title here","Enter workbook title in Cover sheet",title)</f>
        <v>NHSPS_S - Consolidated Factor Spreadsheet</v>
      </c>
      <c r="B2" s="40"/>
      <c r="C2" s="40"/>
      <c r="D2" s="40"/>
      <c r="E2" s="40"/>
      <c r="F2" s="40"/>
      <c r="G2" s="40"/>
      <c r="H2" s="40"/>
      <c r="I2" s="40"/>
    </row>
    <row r="3" spans="1:27" ht="15.5" x14ac:dyDescent="0.35">
      <c r="A3" s="41" t="str">
        <f>TABLE_FACTOR_TYPE_1&amp;" - x-"&amp;TABLE_SERIES_NUMBER_1</f>
        <v>Allocation - x-826</v>
      </c>
      <c r="B3" s="40"/>
      <c r="C3" s="40"/>
      <c r="D3" s="40"/>
      <c r="E3" s="40"/>
      <c r="F3" s="40"/>
      <c r="G3" s="40"/>
      <c r="H3" s="40"/>
      <c r="I3" s="40"/>
    </row>
    <row r="4" spans="1:27" x14ac:dyDescent="0.25">
      <c r="A4" s="42"/>
    </row>
    <row r="6" spans="1:27" ht="13" x14ac:dyDescent="0.3">
      <c r="A6" s="73" t="s">
        <v>274</v>
      </c>
      <c r="B6" s="114" t="s">
        <v>275</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row>
    <row r="7" spans="1:27" x14ac:dyDescent="0.25">
      <c r="A7" s="74" t="s">
        <v>276</v>
      </c>
      <c r="B7" s="114" t="s">
        <v>72</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row>
    <row r="8" spans="1:27" x14ac:dyDescent="0.25">
      <c r="A8" s="74" t="s">
        <v>278</v>
      </c>
      <c r="B8" s="114" t="s">
        <v>74</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row>
    <row r="9" spans="1:27" x14ac:dyDescent="0.25">
      <c r="A9" s="74" t="s">
        <v>280</v>
      </c>
      <c r="B9" s="114" t="s">
        <v>679</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row>
    <row r="10" spans="1:27" x14ac:dyDescent="0.25">
      <c r="A10" s="74" t="s">
        <v>6</v>
      </c>
      <c r="B10" s="114" t="s">
        <v>680</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row>
    <row r="11" spans="1:27" x14ac:dyDescent="0.25">
      <c r="A11" s="74" t="s">
        <v>283</v>
      </c>
      <c r="B11" s="114" t="s">
        <v>355</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row>
    <row r="12" spans="1:27" x14ac:dyDescent="0.25">
      <c r="A12" s="74" t="s">
        <v>285</v>
      </c>
      <c r="B12" s="114" t="s">
        <v>681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row>
    <row r="13" spans="1:27" x14ac:dyDescent="0.25">
      <c r="A13" s="74" t="s">
        <v>287</v>
      </c>
      <c r="B13" s="114">
        <v>1</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row>
    <row r="14" spans="1:27" x14ac:dyDescent="0.25">
      <c r="A14" s="74" t="s">
        <v>289</v>
      </c>
      <c r="B14" s="114">
        <v>826</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row>
    <row r="15" spans="1:27" x14ac:dyDescent="0.25">
      <c r="A15" s="74" t="s">
        <v>291</v>
      </c>
      <c r="B15" s="114" t="s">
        <v>685</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row>
    <row r="16" spans="1:27" x14ac:dyDescent="0.25">
      <c r="A16" s="74" t="s">
        <v>293</v>
      </c>
      <c r="B16" s="114" t="s">
        <v>686</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row>
    <row r="17" spans="1:27" ht="25" x14ac:dyDescent="0.25">
      <c r="A17" s="74" t="s">
        <v>760</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row>
    <row r="18" spans="1:27" x14ac:dyDescent="0.25">
      <c r="A18" s="74" t="s">
        <v>297</v>
      </c>
      <c r="B18" s="162">
        <v>45202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row>
    <row r="19" spans="1:27" ht="25" x14ac:dyDescent="0.25">
      <c r="A19" s="74" t="s">
        <v>299</v>
      </c>
      <c r="B19" s="162">
        <v>45202</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row>
    <row r="20" spans="1:27" x14ac:dyDescent="0.25">
      <c r="A20" s="74" t="s">
        <v>301</v>
      </c>
      <c r="B20" s="114" t="s">
        <v>314</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row>
    <row r="21" spans="1:27" x14ac:dyDescent="0.25">
      <c r="A21" s="74" t="s">
        <v>307</v>
      </c>
      <c r="B21" s="114" t="s">
        <v>315</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row>
    <row r="23" spans="1:27" x14ac:dyDescent="0.25">
      <c r="B23" s="100" t="str">
        <f>HYPERLINK("#'Factor List'!A1","Back to Factor List")</f>
        <v>Back to Factor List</v>
      </c>
    </row>
    <row r="24" spans="1:27" x14ac:dyDescent="0.25">
      <c r="B24" s="100" t="s">
        <v>13</v>
      </c>
    </row>
    <row r="26" spans="1:27" ht="13" x14ac:dyDescent="0.3">
      <c r="A26" s="73" t="s">
        <v>417</v>
      </c>
      <c r="B26" s="70">
        <v>30</v>
      </c>
      <c r="C26" s="70">
        <v>31</v>
      </c>
      <c r="D26" s="70">
        <v>32</v>
      </c>
      <c r="E26" s="70">
        <v>33</v>
      </c>
      <c r="F26" s="70">
        <v>34</v>
      </c>
      <c r="G26" s="70">
        <v>35</v>
      </c>
      <c r="H26" s="70">
        <v>36</v>
      </c>
      <c r="I26" s="70">
        <v>37</v>
      </c>
      <c r="J26" s="70">
        <v>38</v>
      </c>
      <c r="K26" s="70">
        <v>39</v>
      </c>
      <c r="L26" s="70">
        <v>40</v>
      </c>
      <c r="M26" s="70">
        <v>41</v>
      </c>
      <c r="N26" s="70">
        <v>42</v>
      </c>
      <c r="O26" s="70">
        <v>43</v>
      </c>
      <c r="P26" s="70">
        <v>44</v>
      </c>
      <c r="Q26" s="70">
        <v>45</v>
      </c>
      <c r="R26" s="70">
        <v>46</v>
      </c>
      <c r="S26" s="70">
        <v>47</v>
      </c>
      <c r="T26" s="70">
        <v>48</v>
      </c>
      <c r="U26" s="70">
        <v>49</v>
      </c>
      <c r="V26" s="70">
        <v>50</v>
      </c>
      <c r="W26" s="70">
        <v>51</v>
      </c>
      <c r="X26" s="70">
        <v>52</v>
      </c>
      <c r="Y26" s="70">
        <v>53</v>
      </c>
      <c r="Z26" s="70">
        <v>54</v>
      </c>
      <c r="AA26" s="70">
        <v>55</v>
      </c>
    </row>
    <row r="27" spans="1:27" x14ac:dyDescent="0.25">
      <c r="A27" s="71">
        <v>22</v>
      </c>
      <c r="B27" s="72">
        <v>8.39</v>
      </c>
      <c r="C27" s="72">
        <v>7.74</v>
      </c>
      <c r="D27" s="72">
        <v>7.16</v>
      </c>
      <c r="E27" s="72">
        <v>6.64</v>
      </c>
      <c r="F27" s="72">
        <v>6.16</v>
      </c>
      <c r="G27" s="72">
        <v>5.72</v>
      </c>
      <c r="H27" s="72">
        <v>5.33</v>
      </c>
      <c r="I27" s="72">
        <v>4.97</v>
      </c>
      <c r="J27" s="72">
        <v>4.6399999999999997</v>
      </c>
      <c r="K27" s="72">
        <v>4.33</v>
      </c>
      <c r="L27" s="72">
        <v>4.05</v>
      </c>
      <c r="M27" s="72">
        <v>3.8</v>
      </c>
      <c r="N27" s="72">
        <v>3.56</v>
      </c>
      <c r="O27" s="72">
        <v>3.34</v>
      </c>
      <c r="P27" s="72">
        <v>3.13</v>
      </c>
      <c r="Q27" s="72">
        <v>2.94</v>
      </c>
      <c r="R27" s="72">
        <v>2.77</v>
      </c>
      <c r="S27" s="72">
        <v>2.6</v>
      </c>
      <c r="T27" s="72">
        <v>2.4500000000000002</v>
      </c>
      <c r="U27" s="72">
        <v>2.31</v>
      </c>
      <c r="V27" s="72">
        <v>2.17</v>
      </c>
      <c r="W27" s="72">
        <v>2.0499999999999998</v>
      </c>
      <c r="X27" s="72">
        <v>1.93</v>
      </c>
      <c r="Y27" s="72">
        <v>1.82</v>
      </c>
      <c r="Z27" s="72">
        <v>1.71</v>
      </c>
      <c r="AA27" s="72">
        <v>1.61</v>
      </c>
    </row>
    <row r="28" spans="1:27" x14ac:dyDescent="0.25">
      <c r="A28" s="71">
        <v>23</v>
      </c>
      <c r="B28" s="72">
        <v>8.8699999999999992</v>
      </c>
      <c r="C28" s="72">
        <v>8.17</v>
      </c>
      <c r="D28" s="72">
        <v>7.54</v>
      </c>
      <c r="E28" s="72">
        <v>6.97</v>
      </c>
      <c r="F28" s="72">
        <v>6.46</v>
      </c>
      <c r="G28" s="72">
        <v>5.99</v>
      </c>
      <c r="H28" s="72">
        <v>5.57</v>
      </c>
      <c r="I28" s="72">
        <v>5.18</v>
      </c>
      <c r="J28" s="72">
        <v>4.83</v>
      </c>
      <c r="K28" s="72">
        <v>4.5</v>
      </c>
      <c r="L28" s="72">
        <v>4.21</v>
      </c>
      <c r="M28" s="72">
        <v>3.93</v>
      </c>
      <c r="N28" s="72">
        <v>3.68</v>
      </c>
      <c r="O28" s="72">
        <v>3.45</v>
      </c>
      <c r="P28" s="72">
        <v>3.23</v>
      </c>
      <c r="Q28" s="72">
        <v>3.04</v>
      </c>
      <c r="R28" s="72">
        <v>2.85</v>
      </c>
      <c r="S28" s="72">
        <v>2.68</v>
      </c>
      <c r="T28" s="72">
        <v>2.52</v>
      </c>
      <c r="U28" s="72">
        <v>2.37</v>
      </c>
      <c r="V28" s="72">
        <v>2.23</v>
      </c>
      <c r="W28" s="72">
        <v>2.1</v>
      </c>
      <c r="X28" s="72">
        <v>1.97</v>
      </c>
      <c r="Y28" s="72">
        <v>1.86</v>
      </c>
      <c r="Z28" s="72">
        <v>1.75</v>
      </c>
      <c r="AA28" s="72">
        <v>1.65</v>
      </c>
    </row>
    <row r="29" spans="1:27" x14ac:dyDescent="0.25">
      <c r="A29" s="71">
        <v>24</v>
      </c>
      <c r="B29" s="72">
        <v>9.4</v>
      </c>
      <c r="C29" s="72">
        <v>8.64</v>
      </c>
      <c r="D29" s="72">
        <v>7.95</v>
      </c>
      <c r="E29" s="72">
        <v>7.34</v>
      </c>
      <c r="F29" s="72">
        <v>6.78</v>
      </c>
      <c r="G29" s="72">
        <v>6.28</v>
      </c>
      <c r="H29" s="72">
        <v>5.82</v>
      </c>
      <c r="I29" s="72">
        <v>5.41</v>
      </c>
      <c r="J29" s="72">
        <v>5.03</v>
      </c>
      <c r="K29" s="72">
        <v>4.6900000000000004</v>
      </c>
      <c r="L29" s="72">
        <v>4.37</v>
      </c>
      <c r="M29" s="72">
        <v>4.08</v>
      </c>
      <c r="N29" s="72">
        <v>3.82</v>
      </c>
      <c r="O29" s="72">
        <v>3.57</v>
      </c>
      <c r="P29" s="72">
        <v>3.34</v>
      </c>
      <c r="Q29" s="72">
        <v>3.13</v>
      </c>
      <c r="R29" s="72">
        <v>2.94</v>
      </c>
      <c r="S29" s="72">
        <v>2.76</v>
      </c>
      <c r="T29" s="72">
        <v>2.59</v>
      </c>
      <c r="U29" s="72">
        <v>2.4300000000000002</v>
      </c>
      <c r="V29" s="72">
        <v>2.29</v>
      </c>
      <c r="W29" s="72">
        <v>2.15</v>
      </c>
      <c r="X29" s="72">
        <v>2.02</v>
      </c>
      <c r="Y29" s="72">
        <v>1.9</v>
      </c>
      <c r="Z29" s="72">
        <v>1.79</v>
      </c>
      <c r="AA29" s="72">
        <v>1.68</v>
      </c>
    </row>
    <row r="30" spans="1:27" x14ac:dyDescent="0.25">
      <c r="A30" s="71">
        <v>25</v>
      </c>
      <c r="B30" s="72">
        <v>9.99</v>
      </c>
      <c r="C30" s="72">
        <v>9.16</v>
      </c>
      <c r="D30" s="72">
        <v>8.41</v>
      </c>
      <c r="E30" s="72">
        <v>7.74</v>
      </c>
      <c r="F30" s="72">
        <v>7.14</v>
      </c>
      <c r="G30" s="72">
        <v>6.6</v>
      </c>
      <c r="H30" s="72">
        <v>6.11</v>
      </c>
      <c r="I30" s="72">
        <v>5.66</v>
      </c>
      <c r="J30" s="72">
        <v>5.26</v>
      </c>
      <c r="K30" s="72">
        <v>4.8899999999999997</v>
      </c>
      <c r="L30" s="72">
        <v>4.55</v>
      </c>
      <c r="M30" s="72">
        <v>4.24</v>
      </c>
      <c r="N30" s="72">
        <v>3.96</v>
      </c>
      <c r="O30" s="72">
        <v>3.7</v>
      </c>
      <c r="P30" s="72">
        <v>3.46</v>
      </c>
      <c r="Q30" s="72">
        <v>3.24</v>
      </c>
      <c r="R30" s="72">
        <v>3.03</v>
      </c>
      <c r="S30" s="72">
        <v>2.84</v>
      </c>
      <c r="T30" s="72">
        <v>2.67</v>
      </c>
      <c r="U30" s="72">
        <v>2.5</v>
      </c>
      <c r="V30" s="72">
        <v>2.35</v>
      </c>
      <c r="W30" s="72">
        <v>2.21</v>
      </c>
      <c r="X30" s="72">
        <v>2.08</v>
      </c>
      <c r="Y30" s="72">
        <v>1.95</v>
      </c>
      <c r="Z30" s="72">
        <v>1.83</v>
      </c>
      <c r="AA30" s="72">
        <v>1.72</v>
      </c>
    </row>
    <row r="31" spans="1:27" x14ac:dyDescent="0.25">
      <c r="A31" s="71">
        <v>26</v>
      </c>
      <c r="B31" s="72">
        <v>10.63</v>
      </c>
      <c r="C31" s="72">
        <v>9.73</v>
      </c>
      <c r="D31" s="72">
        <v>8.92</v>
      </c>
      <c r="E31" s="72">
        <v>8.19</v>
      </c>
      <c r="F31" s="72">
        <v>7.53</v>
      </c>
      <c r="G31" s="72">
        <v>6.95</v>
      </c>
      <c r="H31" s="72">
        <v>6.42</v>
      </c>
      <c r="I31" s="72">
        <v>5.94</v>
      </c>
      <c r="J31" s="72">
        <v>5.5</v>
      </c>
      <c r="K31" s="72">
        <v>5.1100000000000003</v>
      </c>
      <c r="L31" s="72">
        <v>4.75</v>
      </c>
      <c r="M31" s="72">
        <v>4.42</v>
      </c>
      <c r="N31" s="72">
        <v>4.12</v>
      </c>
      <c r="O31" s="72">
        <v>3.84</v>
      </c>
      <c r="P31" s="72">
        <v>3.59</v>
      </c>
      <c r="Q31" s="72">
        <v>3.35</v>
      </c>
      <c r="R31" s="72">
        <v>3.14</v>
      </c>
      <c r="S31" s="72">
        <v>2.94</v>
      </c>
      <c r="T31" s="72">
        <v>2.75</v>
      </c>
      <c r="U31" s="72">
        <v>2.58</v>
      </c>
      <c r="V31" s="72">
        <v>2.42</v>
      </c>
      <c r="W31" s="72">
        <v>2.27</v>
      </c>
      <c r="X31" s="72">
        <v>2.13</v>
      </c>
      <c r="Y31" s="72">
        <v>2</v>
      </c>
      <c r="Z31" s="72">
        <v>1.88</v>
      </c>
      <c r="AA31" s="72">
        <v>1.77</v>
      </c>
    </row>
    <row r="32" spans="1:27" x14ac:dyDescent="0.25">
      <c r="A32" s="71">
        <v>27</v>
      </c>
      <c r="B32" s="72">
        <v>11.35</v>
      </c>
      <c r="C32" s="72">
        <v>10.36</v>
      </c>
      <c r="D32" s="72">
        <v>9.4700000000000006</v>
      </c>
      <c r="E32" s="72">
        <v>8.68</v>
      </c>
      <c r="F32" s="72">
        <v>7.97</v>
      </c>
      <c r="G32" s="72">
        <v>7.33</v>
      </c>
      <c r="H32" s="72">
        <v>6.76</v>
      </c>
      <c r="I32" s="72">
        <v>6.24</v>
      </c>
      <c r="J32" s="72">
        <v>5.77</v>
      </c>
      <c r="K32" s="72">
        <v>5.34</v>
      </c>
      <c r="L32" s="72">
        <v>4.96</v>
      </c>
      <c r="M32" s="72">
        <v>4.6100000000000003</v>
      </c>
      <c r="N32" s="72">
        <v>4.29</v>
      </c>
      <c r="O32" s="72">
        <v>3.99</v>
      </c>
      <c r="P32" s="72">
        <v>3.72</v>
      </c>
      <c r="Q32" s="72">
        <v>3.47</v>
      </c>
      <c r="R32" s="72">
        <v>3.25</v>
      </c>
      <c r="S32" s="72">
        <v>3.04</v>
      </c>
      <c r="T32" s="72">
        <v>2.84</v>
      </c>
      <c r="U32" s="72">
        <v>2.66</v>
      </c>
      <c r="V32" s="72">
        <v>2.4900000000000002</v>
      </c>
      <c r="W32" s="72">
        <v>2.34</v>
      </c>
      <c r="X32" s="72">
        <v>2.19</v>
      </c>
      <c r="Y32" s="72">
        <v>2.06</v>
      </c>
      <c r="Z32" s="72">
        <v>1.93</v>
      </c>
      <c r="AA32" s="72">
        <v>1.81</v>
      </c>
    </row>
    <row r="33" spans="1:27" x14ac:dyDescent="0.25">
      <c r="A33" s="71">
        <v>28</v>
      </c>
      <c r="B33" s="72">
        <v>12.15</v>
      </c>
      <c r="C33" s="72">
        <v>11.06</v>
      </c>
      <c r="D33" s="72">
        <v>10.09</v>
      </c>
      <c r="E33" s="72">
        <v>9.2200000000000006</v>
      </c>
      <c r="F33" s="72">
        <v>8.4499999999999993</v>
      </c>
      <c r="G33" s="72">
        <v>7.75</v>
      </c>
      <c r="H33" s="72">
        <v>7.13</v>
      </c>
      <c r="I33" s="72">
        <v>6.57</v>
      </c>
      <c r="J33" s="72">
        <v>6.06</v>
      </c>
      <c r="K33" s="72">
        <v>5.61</v>
      </c>
      <c r="L33" s="72">
        <v>5.19</v>
      </c>
      <c r="M33" s="72">
        <v>4.8099999999999996</v>
      </c>
      <c r="N33" s="72">
        <v>4.47</v>
      </c>
      <c r="O33" s="72">
        <v>4.16</v>
      </c>
      <c r="P33" s="72">
        <v>3.87</v>
      </c>
      <c r="Q33" s="72">
        <v>3.61</v>
      </c>
      <c r="R33" s="72">
        <v>3.36</v>
      </c>
      <c r="S33" s="72">
        <v>3.14</v>
      </c>
      <c r="T33" s="72">
        <v>2.94</v>
      </c>
      <c r="U33" s="72">
        <v>2.75</v>
      </c>
      <c r="V33" s="72">
        <v>2.57</v>
      </c>
      <c r="W33" s="72">
        <v>2.41</v>
      </c>
      <c r="X33" s="72">
        <v>2.25</v>
      </c>
      <c r="Y33" s="72">
        <v>2.11</v>
      </c>
      <c r="Z33" s="72">
        <v>1.98</v>
      </c>
      <c r="AA33" s="72">
        <v>1.86</v>
      </c>
    </row>
    <row r="34" spans="1:27" x14ac:dyDescent="0.25">
      <c r="A34" s="71">
        <v>29</v>
      </c>
      <c r="B34" s="72">
        <v>13.03</v>
      </c>
      <c r="C34" s="72">
        <v>11.84</v>
      </c>
      <c r="D34" s="72">
        <v>10.78</v>
      </c>
      <c r="E34" s="72">
        <v>9.83</v>
      </c>
      <c r="F34" s="72">
        <v>8.98</v>
      </c>
      <c r="G34" s="72">
        <v>8.2200000000000006</v>
      </c>
      <c r="H34" s="72">
        <v>7.54</v>
      </c>
      <c r="I34" s="72">
        <v>6.94</v>
      </c>
      <c r="J34" s="72">
        <v>6.39</v>
      </c>
      <c r="K34" s="72">
        <v>5.89</v>
      </c>
      <c r="L34" s="72">
        <v>5.44</v>
      </c>
      <c r="M34" s="72">
        <v>5.04</v>
      </c>
      <c r="N34" s="72">
        <v>4.67</v>
      </c>
      <c r="O34" s="72">
        <v>4.34</v>
      </c>
      <c r="P34" s="72">
        <v>4.03</v>
      </c>
      <c r="Q34" s="72">
        <v>3.75</v>
      </c>
      <c r="R34" s="72">
        <v>3.49</v>
      </c>
      <c r="S34" s="72">
        <v>3.26</v>
      </c>
      <c r="T34" s="72">
        <v>3.04</v>
      </c>
      <c r="U34" s="72">
        <v>2.84</v>
      </c>
      <c r="V34" s="72">
        <v>2.65</v>
      </c>
      <c r="W34" s="72">
        <v>2.48</v>
      </c>
      <c r="X34" s="72">
        <v>2.3199999999999998</v>
      </c>
      <c r="Y34" s="72">
        <v>2.17</v>
      </c>
      <c r="Z34" s="72">
        <v>2.04</v>
      </c>
      <c r="AA34" s="72">
        <v>1.91</v>
      </c>
    </row>
    <row r="35" spans="1:27" x14ac:dyDescent="0.25">
      <c r="A35" s="71">
        <v>30</v>
      </c>
      <c r="B35" s="72">
        <v>14.01</v>
      </c>
      <c r="C35" s="72">
        <v>12.7</v>
      </c>
      <c r="D35" s="72">
        <v>11.53</v>
      </c>
      <c r="E35" s="72">
        <v>10.49</v>
      </c>
      <c r="F35" s="72">
        <v>9.57</v>
      </c>
      <c r="G35" s="72">
        <v>8.74</v>
      </c>
      <c r="H35" s="72">
        <v>8</v>
      </c>
      <c r="I35" s="72">
        <v>7.34</v>
      </c>
      <c r="J35" s="72">
        <v>6.74</v>
      </c>
      <c r="K35" s="72">
        <v>6.21</v>
      </c>
      <c r="L35" s="72">
        <v>5.72</v>
      </c>
      <c r="M35" s="72">
        <v>5.29</v>
      </c>
      <c r="N35" s="72">
        <v>4.8899999999999997</v>
      </c>
      <c r="O35" s="72">
        <v>4.53</v>
      </c>
      <c r="P35" s="72">
        <v>4.2</v>
      </c>
      <c r="Q35" s="72">
        <v>3.91</v>
      </c>
      <c r="R35" s="72">
        <v>3.63</v>
      </c>
      <c r="S35" s="72">
        <v>3.38</v>
      </c>
      <c r="T35" s="72">
        <v>3.15</v>
      </c>
      <c r="U35" s="72">
        <v>2.94</v>
      </c>
      <c r="V35" s="72">
        <v>2.74</v>
      </c>
      <c r="W35" s="72">
        <v>2.56</v>
      </c>
      <c r="X35" s="72">
        <v>2.4</v>
      </c>
      <c r="Y35" s="72">
        <v>2.2400000000000002</v>
      </c>
      <c r="Z35" s="72">
        <v>2.1</v>
      </c>
      <c r="AA35" s="72">
        <v>1.96</v>
      </c>
    </row>
    <row r="36" spans="1:27" x14ac:dyDescent="0.25">
      <c r="A36" s="71">
        <v>31</v>
      </c>
      <c r="B36" s="72">
        <v>15.1</v>
      </c>
      <c r="C36" s="72">
        <v>13.66</v>
      </c>
      <c r="D36" s="72">
        <v>12.37</v>
      </c>
      <c r="E36" s="72">
        <v>11.23</v>
      </c>
      <c r="F36" s="72">
        <v>10.220000000000001</v>
      </c>
      <c r="G36" s="72">
        <v>9.31</v>
      </c>
      <c r="H36" s="72">
        <v>8.5</v>
      </c>
      <c r="I36" s="72">
        <v>7.78</v>
      </c>
      <c r="J36" s="72">
        <v>7.13</v>
      </c>
      <c r="K36" s="72">
        <v>6.55</v>
      </c>
      <c r="L36" s="72">
        <v>6.03</v>
      </c>
      <c r="M36" s="72">
        <v>5.56</v>
      </c>
      <c r="N36" s="72">
        <v>5.13</v>
      </c>
      <c r="O36" s="72">
        <v>4.74</v>
      </c>
      <c r="P36" s="72">
        <v>4.3899999999999997</v>
      </c>
      <c r="Q36" s="72">
        <v>4.07</v>
      </c>
      <c r="R36" s="72">
        <v>3.78</v>
      </c>
      <c r="S36" s="72">
        <v>3.52</v>
      </c>
      <c r="T36" s="72">
        <v>3.27</v>
      </c>
      <c r="U36" s="72">
        <v>3.05</v>
      </c>
      <c r="V36" s="72">
        <v>2.84</v>
      </c>
      <c r="W36" s="72">
        <v>2.65</v>
      </c>
      <c r="X36" s="72">
        <v>2.4700000000000002</v>
      </c>
      <c r="Y36" s="72">
        <v>2.31</v>
      </c>
      <c r="Z36" s="72">
        <v>2.16</v>
      </c>
      <c r="AA36" s="72">
        <v>2.02</v>
      </c>
    </row>
    <row r="37" spans="1:27" x14ac:dyDescent="0.25">
      <c r="A37" s="71">
        <v>32</v>
      </c>
      <c r="B37" s="72">
        <v>16.3</v>
      </c>
      <c r="C37" s="72">
        <v>14.72</v>
      </c>
      <c r="D37" s="72">
        <v>13.31</v>
      </c>
      <c r="E37" s="72">
        <v>12.05</v>
      </c>
      <c r="F37" s="72">
        <v>10.94</v>
      </c>
      <c r="G37" s="72">
        <v>9.9499999999999993</v>
      </c>
      <c r="H37" s="72">
        <v>9.06</v>
      </c>
      <c r="I37" s="72">
        <v>8.27</v>
      </c>
      <c r="J37" s="72">
        <v>7.57</v>
      </c>
      <c r="K37" s="72">
        <v>6.93</v>
      </c>
      <c r="L37" s="72">
        <v>6.37</v>
      </c>
      <c r="M37" s="72">
        <v>5.85</v>
      </c>
      <c r="N37" s="72">
        <v>5.39</v>
      </c>
      <c r="O37" s="72">
        <v>4.9800000000000004</v>
      </c>
      <c r="P37" s="72">
        <v>4.5999999999999996</v>
      </c>
      <c r="Q37" s="72">
        <v>4.26</v>
      </c>
      <c r="R37" s="72">
        <v>3.95</v>
      </c>
      <c r="S37" s="72">
        <v>3.66</v>
      </c>
      <c r="T37" s="72">
        <v>3.4</v>
      </c>
      <c r="U37" s="72">
        <v>3.17</v>
      </c>
      <c r="V37" s="72">
        <v>2.95</v>
      </c>
      <c r="W37" s="72">
        <v>2.75</v>
      </c>
      <c r="X37" s="72">
        <v>2.56</v>
      </c>
      <c r="Y37" s="72">
        <v>2.39</v>
      </c>
      <c r="Z37" s="72">
        <v>2.23</v>
      </c>
      <c r="AA37" s="72">
        <v>2.08</v>
      </c>
    </row>
    <row r="38" spans="1:27" x14ac:dyDescent="0.25">
      <c r="A38" s="71">
        <v>33</v>
      </c>
      <c r="B38" s="72">
        <v>17.63</v>
      </c>
      <c r="C38" s="72">
        <v>15.89</v>
      </c>
      <c r="D38" s="72">
        <v>14.34</v>
      </c>
      <c r="E38" s="72">
        <v>12.97</v>
      </c>
      <c r="F38" s="72">
        <v>11.74</v>
      </c>
      <c r="G38" s="72">
        <v>10.65</v>
      </c>
      <c r="H38" s="72">
        <v>9.68</v>
      </c>
      <c r="I38" s="72">
        <v>8.82</v>
      </c>
      <c r="J38" s="72">
        <v>8.0399999999999991</v>
      </c>
      <c r="K38" s="72">
        <v>7.35</v>
      </c>
      <c r="L38" s="72">
        <v>6.74</v>
      </c>
      <c r="M38" s="72">
        <v>6.18</v>
      </c>
      <c r="N38" s="72">
        <v>5.68</v>
      </c>
      <c r="O38" s="72">
        <v>5.23</v>
      </c>
      <c r="P38" s="72">
        <v>4.83</v>
      </c>
      <c r="Q38" s="72">
        <v>4.46</v>
      </c>
      <c r="R38" s="72">
        <v>4.13</v>
      </c>
      <c r="S38" s="72">
        <v>3.82</v>
      </c>
      <c r="T38" s="72">
        <v>3.55</v>
      </c>
      <c r="U38" s="72">
        <v>3.29</v>
      </c>
      <c r="V38" s="72">
        <v>3.06</v>
      </c>
      <c r="W38" s="72">
        <v>2.85</v>
      </c>
      <c r="X38" s="72">
        <v>2.65</v>
      </c>
      <c r="Y38" s="72">
        <v>2.4700000000000002</v>
      </c>
      <c r="Z38" s="72">
        <v>2.2999999999999998</v>
      </c>
      <c r="AA38" s="72">
        <v>2.15</v>
      </c>
    </row>
    <row r="39" spans="1:27" x14ac:dyDescent="0.25">
      <c r="A39" s="71">
        <v>34</v>
      </c>
      <c r="B39" s="72">
        <v>19.100000000000001</v>
      </c>
      <c r="C39" s="72">
        <v>17.190000000000001</v>
      </c>
      <c r="D39" s="72">
        <v>15.49</v>
      </c>
      <c r="E39" s="72">
        <v>13.98</v>
      </c>
      <c r="F39" s="72">
        <v>12.63</v>
      </c>
      <c r="G39" s="72">
        <v>11.43</v>
      </c>
      <c r="H39" s="72">
        <v>10.37</v>
      </c>
      <c r="I39" s="72">
        <v>9.42</v>
      </c>
      <c r="J39" s="72">
        <v>8.58</v>
      </c>
      <c r="K39" s="72">
        <v>7.82</v>
      </c>
      <c r="L39" s="72">
        <v>7.15</v>
      </c>
      <c r="M39" s="72">
        <v>6.54</v>
      </c>
      <c r="N39" s="72">
        <v>6</v>
      </c>
      <c r="O39" s="72">
        <v>5.51</v>
      </c>
      <c r="P39" s="72">
        <v>5.08</v>
      </c>
      <c r="Q39" s="72">
        <v>4.68</v>
      </c>
      <c r="R39" s="72">
        <v>4.32</v>
      </c>
      <c r="S39" s="72">
        <v>4</v>
      </c>
      <c r="T39" s="72">
        <v>3.7</v>
      </c>
      <c r="U39" s="72">
        <v>3.43</v>
      </c>
      <c r="V39" s="72">
        <v>3.18</v>
      </c>
      <c r="W39" s="72">
        <v>2.96</v>
      </c>
      <c r="X39" s="72">
        <v>2.75</v>
      </c>
      <c r="Y39" s="72">
        <v>2.56</v>
      </c>
      <c r="Z39" s="72">
        <v>2.38</v>
      </c>
      <c r="AA39" s="72">
        <v>2.2200000000000002</v>
      </c>
    </row>
    <row r="40" spans="1:27" x14ac:dyDescent="0.25">
      <c r="A40" s="71">
        <v>35</v>
      </c>
      <c r="B40" s="72">
        <v>20.72</v>
      </c>
      <c r="C40" s="72">
        <v>18.63</v>
      </c>
      <c r="D40" s="72">
        <v>16.760000000000002</v>
      </c>
      <c r="E40" s="72">
        <v>15.1</v>
      </c>
      <c r="F40" s="72">
        <v>13.62</v>
      </c>
      <c r="G40" s="72">
        <v>12.3</v>
      </c>
      <c r="H40" s="72">
        <v>11.13</v>
      </c>
      <c r="I40" s="72">
        <v>10.09</v>
      </c>
      <c r="J40" s="72">
        <v>9.16</v>
      </c>
      <c r="K40" s="72">
        <v>8.34</v>
      </c>
      <c r="L40" s="72">
        <v>7.6</v>
      </c>
      <c r="M40" s="72">
        <v>6.94</v>
      </c>
      <c r="N40" s="72">
        <v>6.35</v>
      </c>
      <c r="O40" s="72">
        <v>5.82</v>
      </c>
      <c r="P40" s="72">
        <v>5.35</v>
      </c>
      <c r="Q40" s="72">
        <v>4.92</v>
      </c>
      <c r="R40" s="72">
        <v>4.53</v>
      </c>
      <c r="S40" s="72">
        <v>4.1900000000000004</v>
      </c>
      <c r="T40" s="72">
        <v>3.87</v>
      </c>
      <c r="U40" s="72">
        <v>3.58</v>
      </c>
      <c r="V40" s="72">
        <v>3.32</v>
      </c>
      <c r="W40" s="72">
        <v>3.08</v>
      </c>
      <c r="X40" s="72">
        <v>2.85</v>
      </c>
      <c r="Y40" s="72">
        <v>2.65</v>
      </c>
      <c r="Z40" s="72">
        <v>2.4700000000000002</v>
      </c>
      <c r="AA40" s="72">
        <v>2.29</v>
      </c>
    </row>
    <row r="41" spans="1:27" x14ac:dyDescent="0.25">
      <c r="A41" s="71">
        <v>36</v>
      </c>
      <c r="B41" s="72">
        <v>22.51</v>
      </c>
      <c r="C41" s="72">
        <v>20.22</v>
      </c>
      <c r="D41" s="72">
        <v>18.170000000000002</v>
      </c>
      <c r="E41" s="72">
        <v>16.34</v>
      </c>
      <c r="F41" s="72">
        <v>14.71</v>
      </c>
      <c r="G41" s="72">
        <v>13.26</v>
      </c>
      <c r="H41" s="72">
        <v>11.98</v>
      </c>
      <c r="I41" s="72">
        <v>10.83</v>
      </c>
      <c r="J41" s="72">
        <v>9.82</v>
      </c>
      <c r="K41" s="72">
        <v>8.91</v>
      </c>
      <c r="L41" s="72">
        <v>8.1</v>
      </c>
      <c r="M41" s="72">
        <v>7.38</v>
      </c>
      <c r="N41" s="72">
        <v>6.74</v>
      </c>
      <c r="O41" s="72">
        <v>6.17</v>
      </c>
      <c r="P41" s="72">
        <v>5.65</v>
      </c>
      <c r="Q41" s="72">
        <v>5.19</v>
      </c>
      <c r="R41" s="72">
        <v>4.7699999999999996</v>
      </c>
      <c r="S41" s="72">
        <v>4.3899999999999997</v>
      </c>
      <c r="T41" s="72">
        <v>4.05</v>
      </c>
      <c r="U41" s="72">
        <v>3.74</v>
      </c>
      <c r="V41" s="72">
        <v>3.46</v>
      </c>
      <c r="W41" s="72">
        <v>3.2</v>
      </c>
      <c r="X41" s="72">
        <v>2.97</v>
      </c>
      <c r="Y41" s="72">
        <v>2.75</v>
      </c>
      <c r="Z41" s="72">
        <v>2.56</v>
      </c>
      <c r="AA41" s="72">
        <v>2.38</v>
      </c>
    </row>
    <row r="42" spans="1:27" x14ac:dyDescent="0.25">
      <c r="A42" s="71">
        <v>37</v>
      </c>
      <c r="B42" s="72">
        <v>24.48</v>
      </c>
      <c r="C42" s="72">
        <v>21.97</v>
      </c>
      <c r="D42" s="72">
        <v>19.72</v>
      </c>
      <c r="E42" s="72">
        <v>17.72</v>
      </c>
      <c r="F42" s="72">
        <v>15.93</v>
      </c>
      <c r="G42" s="72">
        <v>14.33</v>
      </c>
      <c r="H42" s="72">
        <v>12.92</v>
      </c>
      <c r="I42" s="72">
        <v>11.66</v>
      </c>
      <c r="J42" s="72">
        <v>10.54</v>
      </c>
      <c r="K42" s="72">
        <v>9.5500000000000007</v>
      </c>
      <c r="L42" s="72">
        <v>8.66</v>
      </c>
      <c r="M42" s="72">
        <v>7.87</v>
      </c>
      <c r="N42" s="72">
        <v>7.17</v>
      </c>
      <c r="O42" s="72">
        <v>6.54</v>
      </c>
      <c r="P42" s="72">
        <v>5.98</v>
      </c>
      <c r="Q42" s="72">
        <v>5.48</v>
      </c>
      <c r="R42" s="72">
        <v>5.03</v>
      </c>
      <c r="S42" s="72">
        <v>4.62</v>
      </c>
      <c r="T42" s="72">
        <v>4.25</v>
      </c>
      <c r="U42" s="72">
        <v>3.92</v>
      </c>
      <c r="V42" s="72">
        <v>3.62</v>
      </c>
      <c r="W42" s="72">
        <v>3.34</v>
      </c>
      <c r="X42" s="72">
        <v>3.09</v>
      </c>
      <c r="Y42" s="72">
        <v>2.87</v>
      </c>
      <c r="Z42" s="72">
        <v>2.66</v>
      </c>
      <c r="AA42" s="72">
        <v>2.46</v>
      </c>
    </row>
    <row r="43" spans="1:27" x14ac:dyDescent="0.25">
      <c r="A43" s="71">
        <v>38</v>
      </c>
      <c r="B43" s="72">
        <v>26.64</v>
      </c>
      <c r="C43" s="72">
        <v>23.9</v>
      </c>
      <c r="D43" s="72">
        <v>21.44</v>
      </c>
      <c r="E43" s="72">
        <v>19.239999999999998</v>
      </c>
      <c r="F43" s="72">
        <v>17.27</v>
      </c>
      <c r="G43" s="72">
        <v>15.52</v>
      </c>
      <c r="H43" s="72">
        <v>13.96</v>
      </c>
      <c r="I43" s="72">
        <v>12.58</v>
      </c>
      <c r="J43" s="72">
        <v>11.35</v>
      </c>
      <c r="K43" s="72">
        <v>10.25</v>
      </c>
      <c r="L43" s="72">
        <v>9.2799999999999994</v>
      </c>
      <c r="M43" s="72">
        <v>8.42</v>
      </c>
      <c r="N43" s="72">
        <v>7.65</v>
      </c>
      <c r="O43" s="72">
        <v>6.96</v>
      </c>
      <c r="P43" s="72">
        <v>6.35</v>
      </c>
      <c r="Q43" s="72">
        <v>5.8</v>
      </c>
      <c r="R43" s="72">
        <v>5.31</v>
      </c>
      <c r="S43" s="72">
        <v>4.87</v>
      </c>
      <c r="T43" s="72">
        <v>4.47</v>
      </c>
      <c r="U43" s="72">
        <v>4.12</v>
      </c>
      <c r="V43" s="72">
        <v>3.79</v>
      </c>
      <c r="W43" s="72">
        <v>3.5</v>
      </c>
      <c r="X43" s="72">
        <v>3.23</v>
      </c>
      <c r="Y43" s="72">
        <v>2.99</v>
      </c>
      <c r="Z43" s="72">
        <v>2.76</v>
      </c>
      <c r="AA43" s="72">
        <v>2.56</v>
      </c>
    </row>
    <row r="44" spans="1:27" x14ac:dyDescent="0.25">
      <c r="A44" s="71">
        <v>39</v>
      </c>
      <c r="B44" s="72">
        <v>28.88</v>
      </c>
      <c r="C44" s="72">
        <v>26.01</v>
      </c>
      <c r="D44" s="72">
        <v>23.33</v>
      </c>
      <c r="E44" s="72">
        <v>20.92</v>
      </c>
      <c r="F44" s="72">
        <v>18.760000000000002</v>
      </c>
      <c r="G44" s="72">
        <v>16.84</v>
      </c>
      <c r="H44" s="72">
        <v>15.12</v>
      </c>
      <c r="I44" s="72">
        <v>13.6</v>
      </c>
      <c r="J44" s="72">
        <v>12.25</v>
      </c>
      <c r="K44" s="72">
        <v>11.04</v>
      </c>
      <c r="L44" s="72">
        <v>9.9700000000000006</v>
      </c>
      <c r="M44" s="72">
        <v>9.02</v>
      </c>
      <c r="N44" s="72">
        <v>8.18</v>
      </c>
      <c r="O44" s="72">
        <v>7.43</v>
      </c>
      <c r="P44" s="72">
        <v>6.76</v>
      </c>
      <c r="Q44" s="72">
        <v>6.16</v>
      </c>
      <c r="R44" s="72">
        <v>5.63</v>
      </c>
      <c r="S44" s="72">
        <v>5.15</v>
      </c>
      <c r="T44" s="72">
        <v>4.72</v>
      </c>
      <c r="U44" s="72">
        <v>4.33</v>
      </c>
      <c r="V44" s="72">
        <v>3.98</v>
      </c>
      <c r="W44" s="72">
        <v>3.67</v>
      </c>
      <c r="X44" s="72">
        <v>3.38</v>
      </c>
      <c r="Y44" s="72">
        <v>3.12</v>
      </c>
      <c r="Z44" s="72">
        <v>2.88</v>
      </c>
      <c r="AA44" s="72">
        <v>2.66</v>
      </c>
    </row>
    <row r="45" spans="1:27" x14ac:dyDescent="0.25">
      <c r="A45" s="71">
        <v>40</v>
      </c>
      <c r="B45" s="72">
        <v>30</v>
      </c>
      <c r="C45" s="72">
        <v>28.33</v>
      </c>
      <c r="D45" s="72">
        <v>25.41</v>
      </c>
      <c r="E45" s="72">
        <v>22.77</v>
      </c>
      <c r="F45" s="72">
        <v>20.41</v>
      </c>
      <c r="G45" s="72">
        <v>18.29</v>
      </c>
      <c r="H45" s="72">
        <v>16.41</v>
      </c>
      <c r="I45" s="72">
        <v>14.73</v>
      </c>
      <c r="J45" s="72">
        <v>13.24</v>
      </c>
      <c r="K45" s="72">
        <v>11.92</v>
      </c>
      <c r="L45" s="72">
        <v>10.74</v>
      </c>
      <c r="M45" s="72">
        <v>9.69</v>
      </c>
      <c r="N45" s="72">
        <v>8.77</v>
      </c>
      <c r="O45" s="72">
        <v>7.94</v>
      </c>
      <c r="P45" s="72">
        <v>7.21</v>
      </c>
      <c r="Q45" s="72">
        <v>6.55</v>
      </c>
      <c r="R45" s="72">
        <v>5.97</v>
      </c>
      <c r="S45" s="72">
        <v>5.45</v>
      </c>
      <c r="T45" s="72">
        <v>4.9800000000000004</v>
      </c>
      <c r="U45" s="72">
        <v>4.57</v>
      </c>
      <c r="V45" s="72">
        <v>4.1900000000000004</v>
      </c>
      <c r="W45" s="72">
        <v>3.85</v>
      </c>
      <c r="X45" s="72">
        <v>3.54</v>
      </c>
      <c r="Y45" s="72">
        <v>3.26</v>
      </c>
      <c r="Z45" s="72">
        <v>3.01</v>
      </c>
      <c r="AA45" s="72">
        <v>2.78</v>
      </c>
    </row>
    <row r="46" spans="1:27" x14ac:dyDescent="0.25">
      <c r="A46" s="71">
        <v>41</v>
      </c>
      <c r="B46" s="72">
        <v>30</v>
      </c>
      <c r="C46" s="72">
        <v>29.77</v>
      </c>
      <c r="D46" s="72">
        <v>27.68</v>
      </c>
      <c r="E46" s="72">
        <v>24.81</v>
      </c>
      <c r="F46" s="72">
        <v>22.22</v>
      </c>
      <c r="G46" s="72">
        <v>19.91</v>
      </c>
      <c r="H46" s="72">
        <v>17.84</v>
      </c>
      <c r="I46" s="72">
        <v>15.99</v>
      </c>
      <c r="J46" s="72">
        <v>14.35</v>
      </c>
      <c r="K46" s="72">
        <v>12.89</v>
      </c>
      <c r="L46" s="72">
        <v>11.59</v>
      </c>
      <c r="M46" s="72">
        <v>10.44</v>
      </c>
      <c r="N46" s="72">
        <v>9.42</v>
      </c>
      <c r="O46" s="72">
        <v>8.51</v>
      </c>
      <c r="P46" s="72">
        <v>7.71</v>
      </c>
      <c r="Q46" s="72">
        <v>6.99</v>
      </c>
      <c r="R46" s="72">
        <v>6.36</v>
      </c>
      <c r="S46" s="72">
        <v>5.79</v>
      </c>
      <c r="T46" s="72">
        <v>5.28</v>
      </c>
      <c r="U46" s="72">
        <v>4.83</v>
      </c>
      <c r="V46" s="72">
        <v>4.42</v>
      </c>
      <c r="W46" s="72">
        <v>4.05</v>
      </c>
      <c r="X46" s="72">
        <v>3.72</v>
      </c>
      <c r="Y46" s="72">
        <v>3.42</v>
      </c>
      <c r="Z46" s="72">
        <v>3.15</v>
      </c>
      <c r="AA46" s="72">
        <v>2.9</v>
      </c>
    </row>
    <row r="47" spans="1:27" x14ac:dyDescent="0.25">
      <c r="A47" s="71">
        <v>42</v>
      </c>
      <c r="B47" s="72">
        <v>30</v>
      </c>
      <c r="C47" s="72">
        <v>30</v>
      </c>
      <c r="D47" s="72">
        <v>29.44</v>
      </c>
      <c r="E47" s="72">
        <v>27.04</v>
      </c>
      <c r="F47" s="72">
        <v>24.22</v>
      </c>
      <c r="G47" s="72">
        <v>21.68</v>
      </c>
      <c r="H47" s="72">
        <v>19.41</v>
      </c>
      <c r="I47" s="72">
        <v>17.39</v>
      </c>
      <c r="J47" s="72">
        <v>15.58</v>
      </c>
      <c r="K47" s="72">
        <v>13.97</v>
      </c>
      <c r="L47" s="72">
        <v>12.54</v>
      </c>
      <c r="M47" s="72">
        <v>11.27</v>
      </c>
      <c r="N47" s="72">
        <v>10.15</v>
      </c>
      <c r="O47" s="72">
        <v>9.15</v>
      </c>
      <c r="P47" s="72">
        <v>8.27</v>
      </c>
      <c r="Q47" s="72">
        <v>7.48</v>
      </c>
      <c r="R47" s="72">
        <v>6.78</v>
      </c>
      <c r="S47" s="72">
        <v>6.16</v>
      </c>
      <c r="T47" s="72">
        <v>5.61</v>
      </c>
      <c r="U47" s="72">
        <v>5.1100000000000003</v>
      </c>
      <c r="V47" s="72">
        <v>4.67</v>
      </c>
      <c r="W47" s="72">
        <v>4.2699999999999996</v>
      </c>
      <c r="X47" s="72">
        <v>3.91</v>
      </c>
      <c r="Y47" s="72">
        <v>3.59</v>
      </c>
      <c r="Z47" s="72">
        <v>3.3</v>
      </c>
      <c r="AA47" s="72">
        <v>3.03</v>
      </c>
    </row>
    <row r="48" spans="1:27" x14ac:dyDescent="0.25">
      <c r="A48" s="71">
        <v>43</v>
      </c>
      <c r="B48" s="72">
        <v>30</v>
      </c>
      <c r="C48" s="72">
        <v>30</v>
      </c>
      <c r="D48" s="72">
        <v>30</v>
      </c>
      <c r="E48" s="72">
        <v>29.11</v>
      </c>
      <c r="F48" s="72">
        <v>26.41</v>
      </c>
      <c r="G48" s="72">
        <v>23.64</v>
      </c>
      <c r="H48" s="72">
        <v>21.16</v>
      </c>
      <c r="I48" s="72">
        <v>18.93</v>
      </c>
      <c r="J48" s="72">
        <v>16.940000000000001</v>
      </c>
      <c r="K48" s="72">
        <v>15.17</v>
      </c>
      <c r="L48" s="72">
        <v>13.6</v>
      </c>
      <c r="M48" s="72">
        <v>12.2</v>
      </c>
      <c r="N48" s="72">
        <v>10.96</v>
      </c>
      <c r="O48" s="72">
        <v>9.86</v>
      </c>
      <c r="P48" s="72">
        <v>8.89</v>
      </c>
      <c r="Q48" s="72">
        <v>8.02</v>
      </c>
      <c r="R48" s="72">
        <v>7.26</v>
      </c>
      <c r="S48" s="72">
        <v>6.58</v>
      </c>
      <c r="T48" s="72">
        <v>5.97</v>
      </c>
      <c r="U48" s="72">
        <v>5.43</v>
      </c>
      <c r="V48" s="72">
        <v>4.95</v>
      </c>
      <c r="W48" s="72">
        <v>4.5199999999999996</v>
      </c>
      <c r="X48" s="72">
        <v>4.13</v>
      </c>
      <c r="Y48" s="72">
        <v>3.78</v>
      </c>
      <c r="Z48" s="72">
        <v>3.47</v>
      </c>
      <c r="AA48" s="72">
        <v>3.18</v>
      </c>
    </row>
    <row r="49" spans="1:27" x14ac:dyDescent="0.25">
      <c r="A49" s="71">
        <v>44</v>
      </c>
      <c r="B49" s="72">
        <v>30</v>
      </c>
      <c r="C49" s="72">
        <v>30</v>
      </c>
      <c r="D49" s="72">
        <v>30</v>
      </c>
      <c r="E49" s="72">
        <v>30</v>
      </c>
      <c r="F49" s="72">
        <v>28.78</v>
      </c>
      <c r="G49" s="72">
        <v>25.8</v>
      </c>
      <c r="H49" s="72">
        <v>23.08</v>
      </c>
      <c r="I49" s="72">
        <v>20.64</v>
      </c>
      <c r="J49" s="72">
        <v>18.45</v>
      </c>
      <c r="K49" s="72">
        <v>16.510000000000002</v>
      </c>
      <c r="L49" s="72">
        <v>14.77</v>
      </c>
      <c r="M49" s="72">
        <v>13.23</v>
      </c>
      <c r="N49" s="72">
        <v>11.86</v>
      </c>
      <c r="O49" s="72">
        <v>10.65</v>
      </c>
      <c r="P49" s="72">
        <v>9.58</v>
      </c>
      <c r="Q49" s="72">
        <v>8.6300000000000008</v>
      </c>
      <c r="R49" s="72">
        <v>7.78</v>
      </c>
      <c r="S49" s="72">
        <v>7.04</v>
      </c>
      <c r="T49" s="72">
        <v>6.37</v>
      </c>
      <c r="U49" s="72">
        <v>5.78</v>
      </c>
      <c r="V49" s="72">
        <v>5.26</v>
      </c>
      <c r="W49" s="72">
        <v>4.79</v>
      </c>
      <c r="X49" s="72">
        <v>4.3600000000000003</v>
      </c>
      <c r="Y49" s="72">
        <v>3.99</v>
      </c>
      <c r="Z49" s="72">
        <v>3.65</v>
      </c>
      <c r="AA49" s="72">
        <v>3.34</v>
      </c>
    </row>
    <row r="50" spans="1:27" x14ac:dyDescent="0.25">
      <c r="A50" s="71">
        <v>45</v>
      </c>
      <c r="B50" s="72">
        <v>30</v>
      </c>
      <c r="C50" s="72">
        <v>30</v>
      </c>
      <c r="D50" s="72">
        <v>30</v>
      </c>
      <c r="E50" s="72">
        <v>30</v>
      </c>
      <c r="F50" s="72">
        <v>30</v>
      </c>
      <c r="G50" s="72">
        <v>28.16</v>
      </c>
      <c r="H50" s="72">
        <v>25.19</v>
      </c>
      <c r="I50" s="72">
        <v>22.52</v>
      </c>
      <c r="J50" s="72">
        <v>20.13</v>
      </c>
      <c r="K50" s="72">
        <v>17.98</v>
      </c>
      <c r="L50" s="72">
        <v>16.079999999999998</v>
      </c>
      <c r="M50" s="72">
        <v>14.38</v>
      </c>
      <c r="N50" s="72">
        <v>12.87</v>
      </c>
      <c r="O50" s="72">
        <v>11.53</v>
      </c>
      <c r="P50" s="72">
        <v>10.35</v>
      </c>
      <c r="Q50" s="72">
        <v>9.3000000000000007</v>
      </c>
      <c r="R50" s="72">
        <v>8.3699999999999992</v>
      </c>
      <c r="S50" s="72">
        <v>7.55</v>
      </c>
      <c r="T50" s="72">
        <v>6.82</v>
      </c>
      <c r="U50" s="72">
        <v>6.17</v>
      </c>
      <c r="V50" s="72">
        <v>5.6</v>
      </c>
      <c r="W50" s="72">
        <v>5.08</v>
      </c>
      <c r="X50" s="72">
        <v>4.63</v>
      </c>
      <c r="Y50" s="72">
        <v>4.22</v>
      </c>
      <c r="Z50" s="72">
        <v>3.85</v>
      </c>
      <c r="AA50" s="72">
        <v>3.52</v>
      </c>
    </row>
    <row r="51" spans="1:27" x14ac:dyDescent="0.25">
      <c r="A51" s="71">
        <v>46</v>
      </c>
      <c r="B51" s="72">
        <v>30</v>
      </c>
      <c r="C51" s="72">
        <v>30</v>
      </c>
      <c r="D51" s="72">
        <v>30</v>
      </c>
      <c r="E51" s="72">
        <v>30</v>
      </c>
      <c r="F51" s="72">
        <v>30</v>
      </c>
      <c r="G51" s="72">
        <v>29.7</v>
      </c>
      <c r="H51" s="72">
        <v>27.52</v>
      </c>
      <c r="I51" s="72">
        <v>24.6</v>
      </c>
      <c r="J51" s="72">
        <v>21.97</v>
      </c>
      <c r="K51" s="72">
        <v>19.62</v>
      </c>
      <c r="L51" s="72">
        <v>17.52</v>
      </c>
      <c r="M51" s="72">
        <v>15.65</v>
      </c>
      <c r="N51" s="72">
        <v>13.99</v>
      </c>
      <c r="O51" s="72">
        <v>12.51</v>
      </c>
      <c r="P51" s="72">
        <v>11.21</v>
      </c>
      <c r="Q51" s="72">
        <v>10.050000000000001</v>
      </c>
      <c r="R51" s="72">
        <v>9.0299999999999994</v>
      </c>
      <c r="S51" s="72">
        <v>8.1199999999999992</v>
      </c>
      <c r="T51" s="72">
        <v>7.32</v>
      </c>
      <c r="U51" s="72">
        <v>6.61</v>
      </c>
      <c r="V51" s="72">
        <v>5.98</v>
      </c>
      <c r="W51" s="72">
        <v>5.42</v>
      </c>
      <c r="X51" s="72">
        <v>4.92</v>
      </c>
      <c r="Y51" s="72">
        <v>4.47</v>
      </c>
      <c r="Z51" s="72">
        <v>4.07</v>
      </c>
      <c r="AA51" s="72">
        <v>3.71</v>
      </c>
    </row>
    <row r="52" spans="1:27" x14ac:dyDescent="0.25">
      <c r="A52" s="71">
        <v>47</v>
      </c>
      <c r="B52" s="72">
        <v>30</v>
      </c>
      <c r="C52" s="72">
        <v>30</v>
      </c>
      <c r="D52" s="72">
        <v>30</v>
      </c>
      <c r="E52" s="72">
        <v>30</v>
      </c>
      <c r="F52" s="72">
        <v>30</v>
      </c>
      <c r="G52" s="72">
        <v>30</v>
      </c>
      <c r="H52" s="72">
        <v>29.37</v>
      </c>
      <c r="I52" s="72">
        <v>26.88</v>
      </c>
      <c r="J52" s="72">
        <v>24.01</v>
      </c>
      <c r="K52" s="72">
        <v>21.43</v>
      </c>
      <c r="L52" s="72">
        <v>19.13</v>
      </c>
      <c r="M52" s="72">
        <v>17.07</v>
      </c>
      <c r="N52" s="72">
        <v>15.23</v>
      </c>
      <c r="O52" s="72">
        <v>13.61</v>
      </c>
      <c r="P52" s="72">
        <v>12.16</v>
      </c>
      <c r="Q52" s="72">
        <v>10.89</v>
      </c>
      <c r="R52" s="72">
        <v>9.76</v>
      </c>
      <c r="S52" s="72">
        <v>8.76</v>
      </c>
      <c r="T52" s="72">
        <v>7.88</v>
      </c>
      <c r="U52" s="72">
        <v>7.09</v>
      </c>
      <c r="V52" s="72">
        <v>6.4</v>
      </c>
      <c r="W52" s="72">
        <v>5.78</v>
      </c>
      <c r="X52" s="72">
        <v>5.24</v>
      </c>
      <c r="Y52" s="72">
        <v>4.75</v>
      </c>
      <c r="Z52" s="72">
        <v>4.32</v>
      </c>
      <c r="AA52" s="72">
        <v>3.93</v>
      </c>
    </row>
    <row r="53" spans="1:27" x14ac:dyDescent="0.25">
      <c r="A53" s="71">
        <v>48</v>
      </c>
      <c r="B53" s="72">
        <v>30</v>
      </c>
      <c r="C53" s="72">
        <v>30</v>
      </c>
      <c r="D53" s="72">
        <v>30</v>
      </c>
      <c r="E53" s="72">
        <v>30</v>
      </c>
      <c r="F53" s="72">
        <v>30</v>
      </c>
      <c r="G53" s="72">
        <v>30</v>
      </c>
      <c r="H53" s="72">
        <v>30</v>
      </c>
      <c r="I53" s="72">
        <v>29.04</v>
      </c>
      <c r="J53" s="72">
        <v>26.26</v>
      </c>
      <c r="K53" s="72">
        <v>23.43</v>
      </c>
      <c r="L53" s="72">
        <v>20.9</v>
      </c>
      <c r="M53" s="72">
        <v>18.64</v>
      </c>
      <c r="N53" s="72">
        <v>16.62</v>
      </c>
      <c r="O53" s="72">
        <v>14.82</v>
      </c>
      <c r="P53" s="72">
        <v>13.23</v>
      </c>
      <c r="Q53" s="72">
        <v>11.82</v>
      </c>
      <c r="R53" s="72">
        <v>10.57</v>
      </c>
      <c r="S53" s="72">
        <v>9.4700000000000006</v>
      </c>
      <c r="T53" s="72">
        <v>8.5</v>
      </c>
      <c r="U53" s="72">
        <v>7.63</v>
      </c>
      <c r="V53" s="72">
        <v>6.87</v>
      </c>
      <c r="W53" s="72">
        <v>6.19</v>
      </c>
      <c r="X53" s="72">
        <v>5.59</v>
      </c>
      <c r="Y53" s="72">
        <v>5.0599999999999996</v>
      </c>
      <c r="Z53" s="72">
        <v>4.59</v>
      </c>
      <c r="AA53" s="72">
        <v>4.16</v>
      </c>
    </row>
    <row r="54" spans="1:27" x14ac:dyDescent="0.25">
      <c r="A54" s="71">
        <v>49</v>
      </c>
      <c r="B54" s="72">
        <v>30</v>
      </c>
      <c r="C54" s="72">
        <v>30</v>
      </c>
      <c r="D54" s="72">
        <v>30</v>
      </c>
      <c r="E54" s="72">
        <v>30</v>
      </c>
      <c r="F54" s="72">
        <v>30</v>
      </c>
      <c r="G54" s="72">
        <v>30</v>
      </c>
      <c r="H54" s="72">
        <v>30</v>
      </c>
      <c r="I54" s="72">
        <v>30</v>
      </c>
      <c r="J54" s="72">
        <v>28.72</v>
      </c>
      <c r="K54" s="72">
        <v>25.64</v>
      </c>
      <c r="L54" s="72">
        <v>22.86</v>
      </c>
      <c r="M54" s="72">
        <v>20.38</v>
      </c>
      <c r="N54" s="72">
        <v>18.16</v>
      </c>
      <c r="O54" s="72">
        <v>16.18</v>
      </c>
      <c r="P54" s="72">
        <v>14.42</v>
      </c>
      <c r="Q54" s="72">
        <v>12.86</v>
      </c>
      <c r="R54" s="72">
        <v>11.48</v>
      </c>
      <c r="S54" s="72">
        <v>10.27</v>
      </c>
      <c r="T54" s="72">
        <v>9.19</v>
      </c>
      <c r="U54" s="72">
        <v>8.24</v>
      </c>
      <c r="V54" s="72">
        <v>7.4</v>
      </c>
      <c r="W54" s="72">
        <v>6.65</v>
      </c>
      <c r="X54" s="72">
        <v>5.99</v>
      </c>
      <c r="Y54" s="72">
        <v>5.41</v>
      </c>
      <c r="Z54" s="72">
        <v>4.8899999999999997</v>
      </c>
      <c r="AA54" s="72">
        <v>4.43</v>
      </c>
    </row>
    <row r="55" spans="1:27" x14ac:dyDescent="0.25">
      <c r="A55" s="71">
        <v>50</v>
      </c>
      <c r="B55" s="72">
        <v>30</v>
      </c>
      <c r="C55" s="72">
        <v>30</v>
      </c>
      <c r="D55" s="72">
        <v>30</v>
      </c>
      <c r="E55" s="72">
        <v>30</v>
      </c>
      <c r="F55" s="72">
        <v>30</v>
      </c>
      <c r="G55" s="72">
        <v>30</v>
      </c>
      <c r="H55" s="72">
        <v>30</v>
      </c>
      <c r="I55" s="72">
        <v>30</v>
      </c>
      <c r="J55" s="72">
        <v>30</v>
      </c>
      <c r="K55" s="72">
        <v>28.07</v>
      </c>
      <c r="L55" s="72">
        <v>25.03</v>
      </c>
      <c r="M55" s="72">
        <v>22.3</v>
      </c>
      <c r="N55" s="72">
        <v>19.86</v>
      </c>
      <c r="O55" s="72">
        <v>17.68</v>
      </c>
      <c r="P55" s="72">
        <v>15.74</v>
      </c>
      <c r="Q55" s="72">
        <v>14.02</v>
      </c>
      <c r="R55" s="72">
        <v>12.5</v>
      </c>
      <c r="S55" s="72">
        <v>11.15</v>
      </c>
      <c r="T55" s="72">
        <v>9.9600000000000009</v>
      </c>
      <c r="U55" s="72">
        <v>8.91</v>
      </c>
      <c r="V55" s="72">
        <v>7.98</v>
      </c>
      <c r="W55" s="72">
        <v>7.16</v>
      </c>
      <c r="X55" s="72">
        <v>6.44</v>
      </c>
      <c r="Y55" s="72">
        <v>5.79</v>
      </c>
      <c r="Z55" s="72">
        <v>5.23</v>
      </c>
      <c r="AA55" s="72">
        <v>4.72</v>
      </c>
    </row>
    <row r="56" spans="1:27" x14ac:dyDescent="0.25">
      <c r="A56" s="71">
        <v>51</v>
      </c>
      <c r="B56" s="72">
        <v>30</v>
      </c>
      <c r="C56" s="72">
        <v>30</v>
      </c>
      <c r="D56" s="72">
        <v>30</v>
      </c>
      <c r="E56" s="72">
        <v>30</v>
      </c>
      <c r="F56" s="72">
        <v>30</v>
      </c>
      <c r="G56" s="72">
        <v>30</v>
      </c>
      <c r="H56" s="72">
        <v>30</v>
      </c>
      <c r="I56" s="72">
        <v>30</v>
      </c>
      <c r="J56" s="72">
        <v>30</v>
      </c>
      <c r="K56" s="72">
        <v>29.67</v>
      </c>
      <c r="L56" s="72">
        <v>27.42</v>
      </c>
      <c r="M56" s="72">
        <v>24.43</v>
      </c>
      <c r="N56" s="72">
        <v>21.75</v>
      </c>
      <c r="O56" s="72">
        <v>19.350000000000001</v>
      </c>
      <c r="P56" s="72">
        <v>17.22</v>
      </c>
      <c r="Q56" s="72">
        <v>15.32</v>
      </c>
      <c r="R56" s="72">
        <v>13.64</v>
      </c>
      <c r="S56" s="72">
        <v>12.15</v>
      </c>
      <c r="T56" s="72">
        <v>10.83</v>
      </c>
      <c r="U56" s="72">
        <v>9.67</v>
      </c>
      <c r="V56" s="72">
        <v>8.64</v>
      </c>
      <c r="W56" s="72">
        <v>7.73</v>
      </c>
      <c r="X56" s="72">
        <v>6.93</v>
      </c>
      <c r="Y56" s="72">
        <v>6.23</v>
      </c>
      <c r="Z56" s="72">
        <v>5.6</v>
      </c>
      <c r="AA56" s="72">
        <v>5.05</v>
      </c>
    </row>
    <row r="57" spans="1:27" x14ac:dyDescent="0.25">
      <c r="A57" s="71">
        <v>52</v>
      </c>
      <c r="B57" s="72">
        <v>30</v>
      </c>
      <c r="C57" s="72">
        <v>30</v>
      </c>
      <c r="D57" s="72">
        <v>30</v>
      </c>
      <c r="E57" s="72">
        <v>30</v>
      </c>
      <c r="F57" s="72">
        <v>30</v>
      </c>
      <c r="G57" s="72">
        <v>30</v>
      </c>
      <c r="H57" s="72">
        <v>30</v>
      </c>
      <c r="I57" s="72">
        <v>30</v>
      </c>
      <c r="J57" s="72">
        <v>30</v>
      </c>
      <c r="K57" s="72">
        <v>30</v>
      </c>
      <c r="L57" s="72">
        <v>29.34</v>
      </c>
      <c r="M57" s="72">
        <v>26.78</v>
      </c>
      <c r="N57" s="72">
        <v>23.84</v>
      </c>
      <c r="O57" s="72">
        <v>21.21</v>
      </c>
      <c r="P57" s="72">
        <v>18.850000000000001</v>
      </c>
      <c r="Q57" s="72">
        <v>16.760000000000002</v>
      </c>
      <c r="R57" s="72">
        <v>14.9</v>
      </c>
      <c r="S57" s="72">
        <v>13.26</v>
      </c>
      <c r="T57" s="72">
        <v>11.8</v>
      </c>
      <c r="U57" s="72">
        <v>10.51</v>
      </c>
      <c r="V57" s="72">
        <v>9.3800000000000008</v>
      </c>
      <c r="W57" s="72">
        <v>8.3699999999999992</v>
      </c>
      <c r="X57" s="72">
        <v>7.49</v>
      </c>
      <c r="Y57" s="72">
        <v>6.71</v>
      </c>
      <c r="Z57" s="72">
        <v>6.02</v>
      </c>
      <c r="AA57" s="72">
        <v>5.41</v>
      </c>
    </row>
    <row r="58" spans="1:27" x14ac:dyDescent="0.25">
      <c r="A58" s="71">
        <v>53</v>
      </c>
      <c r="B58" s="72">
        <v>30</v>
      </c>
      <c r="C58" s="72">
        <v>30</v>
      </c>
      <c r="D58" s="72">
        <v>30</v>
      </c>
      <c r="E58" s="72">
        <v>30</v>
      </c>
      <c r="F58" s="72">
        <v>30</v>
      </c>
      <c r="G58" s="72">
        <v>30</v>
      </c>
      <c r="H58" s="72">
        <v>30</v>
      </c>
      <c r="I58" s="72">
        <v>30</v>
      </c>
      <c r="J58" s="72">
        <v>30</v>
      </c>
      <c r="K58" s="72">
        <v>30</v>
      </c>
      <c r="L58" s="72">
        <v>30</v>
      </c>
      <c r="M58" s="72">
        <v>29.01</v>
      </c>
      <c r="N58" s="72">
        <v>26.16</v>
      </c>
      <c r="O58" s="72">
        <v>23.27</v>
      </c>
      <c r="P58" s="72">
        <v>20.67</v>
      </c>
      <c r="Q58" s="72">
        <v>18.37</v>
      </c>
      <c r="R58" s="72">
        <v>16.309999999999999</v>
      </c>
      <c r="S58" s="72">
        <v>14.49</v>
      </c>
      <c r="T58" s="72">
        <v>12.88</v>
      </c>
      <c r="U58" s="72">
        <v>11.46</v>
      </c>
      <c r="V58" s="72">
        <v>10.199999999999999</v>
      </c>
      <c r="W58" s="72">
        <v>9.09</v>
      </c>
      <c r="X58" s="72">
        <v>8.11</v>
      </c>
      <c r="Y58" s="72">
        <v>7.25</v>
      </c>
      <c r="Z58" s="72">
        <v>6.49</v>
      </c>
      <c r="AA58" s="72">
        <v>5.81</v>
      </c>
    </row>
    <row r="59" spans="1:27" x14ac:dyDescent="0.25">
      <c r="A59" s="71">
        <v>54</v>
      </c>
      <c r="B59" s="72">
        <v>30</v>
      </c>
      <c r="C59" s="72">
        <v>30</v>
      </c>
      <c r="D59" s="72">
        <v>30</v>
      </c>
      <c r="E59" s="72">
        <v>30</v>
      </c>
      <c r="F59" s="72">
        <v>30</v>
      </c>
      <c r="G59" s="72">
        <v>30</v>
      </c>
      <c r="H59" s="72">
        <v>30</v>
      </c>
      <c r="I59" s="72">
        <v>30</v>
      </c>
      <c r="J59" s="72">
        <v>30</v>
      </c>
      <c r="K59" s="72">
        <v>30</v>
      </c>
      <c r="L59" s="72">
        <v>30</v>
      </c>
      <c r="M59" s="72">
        <v>30</v>
      </c>
      <c r="N59" s="72">
        <v>28.69</v>
      </c>
      <c r="O59" s="72">
        <v>25.54</v>
      </c>
      <c r="P59" s="72">
        <v>22.69</v>
      </c>
      <c r="Q59" s="72">
        <v>20.149999999999999</v>
      </c>
      <c r="R59" s="72">
        <v>17.89</v>
      </c>
      <c r="S59" s="72">
        <v>15.88</v>
      </c>
      <c r="T59" s="72">
        <v>14.09</v>
      </c>
      <c r="U59" s="72">
        <v>12.52</v>
      </c>
      <c r="V59" s="72">
        <v>11.12</v>
      </c>
      <c r="W59" s="72">
        <v>9.89</v>
      </c>
      <c r="X59" s="72">
        <v>8.81</v>
      </c>
      <c r="Y59" s="72">
        <v>7.85</v>
      </c>
      <c r="Z59" s="72">
        <v>7.01</v>
      </c>
      <c r="AA59" s="72">
        <v>6.27</v>
      </c>
    </row>
    <row r="60" spans="1:27" x14ac:dyDescent="0.25">
      <c r="A60" s="71">
        <v>55</v>
      </c>
      <c r="B60" s="72">
        <v>30</v>
      </c>
      <c r="C60" s="72">
        <v>30</v>
      </c>
      <c r="D60" s="72">
        <v>30</v>
      </c>
      <c r="E60" s="72">
        <v>30</v>
      </c>
      <c r="F60" s="72">
        <v>30</v>
      </c>
      <c r="G60" s="72">
        <v>30</v>
      </c>
      <c r="H60" s="72">
        <v>30</v>
      </c>
      <c r="I60" s="72">
        <v>30</v>
      </c>
      <c r="J60" s="72">
        <v>30</v>
      </c>
      <c r="K60" s="72">
        <v>30</v>
      </c>
      <c r="L60" s="72">
        <v>30</v>
      </c>
      <c r="M60" s="72">
        <v>30</v>
      </c>
      <c r="N60" s="72">
        <v>30</v>
      </c>
      <c r="O60" s="72">
        <v>28.06</v>
      </c>
      <c r="P60" s="72">
        <v>24.93</v>
      </c>
      <c r="Q60" s="72">
        <v>22.14</v>
      </c>
      <c r="R60" s="72">
        <v>19.64</v>
      </c>
      <c r="S60" s="72">
        <v>17.420000000000002</v>
      </c>
      <c r="T60" s="72">
        <v>15.45</v>
      </c>
      <c r="U60" s="72">
        <v>13.7</v>
      </c>
      <c r="V60" s="72">
        <v>12.16</v>
      </c>
      <c r="W60" s="72">
        <v>10.79</v>
      </c>
      <c r="X60" s="72">
        <v>9.59</v>
      </c>
      <c r="Y60" s="72">
        <v>8.5299999999999994</v>
      </c>
      <c r="Z60" s="72">
        <v>7.6</v>
      </c>
      <c r="AA60" s="72">
        <v>6.78</v>
      </c>
    </row>
    <row r="61" spans="1:27" x14ac:dyDescent="0.25">
      <c r="A61" s="71">
        <v>56</v>
      </c>
      <c r="B61" s="72">
        <v>30</v>
      </c>
      <c r="C61" s="72">
        <v>30</v>
      </c>
      <c r="D61" s="72">
        <v>30</v>
      </c>
      <c r="E61" s="72">
        <v>30</v>
      </c>
      <c r="F61" s="72">
        <v>30</v>
      </c>
      <c r="G61" s="72">
        <v>30</v>
      </c>
      <c r="H61" s="72">
        <v>30</v>
      </c>
      <c r="I61" s="72">
        <v>30</v>
      </c>
      <c r="J61" s="72">
        <v>30</v>
      </c>
      <c r="K61" s="72">
        <v>30</v>
      </c>
      <c r="L61" s="72">
        <v>30</v>
      </c>
      <c r="M61" s="72">
        <v>30</v>
      </c>
      <c r="N61" s="72">
        <v>30</v>
      </c>
      <c r="O61" s="72">
        <v>29.69</v>
      </c>
      <c r="P61" s="72">
        <v>27.41</v>
      </c>
      <c r="Q61" s="72">
        <v>24.34</v>
      </c>
      <c r="R61" s="72">
        <v>21.59</v>
      </c>
      <c r="S61" s="72">
        <v>19.14</v>
      </c>
      <c r="T61" s="72">
        <v>16.96</v>
      </c>
      <c r="U61" s="72">
        <v>15.03</v>
      </c>
      <c r="V61" s="72">
        <v>13.32</v>
      </c>
      <c r="W61" s="72">
        <v>11.8</v>
      </c>
      <c r="X61" s="72">
        <v>10.47</v>
      </c>
      <c r="Y61" s="72">
        <v>9.2899999999999991</v>
      </c>
      <c r="Z61" s="72">
        <v>8.26</v>
      </c>
      <c r="AA61" s="72">
        <v>7.35</v>
      </c>
    </row>
    <row r="62" spans="1:27" x14ac:dyDescent="0.25">
      <c r="A62" s="71">
        <v>57</v>
      </c>
      <c r="B62" s="72">
        <v>30</v>
      </c>
      <c r="C62" s="72">
        <v>30</v>
      </c>
      <c r="D62" s="72">
        <v>30</v>
      </c>
      <c r="E62" s="72">
        <v>30</v>
      </c>
      <c r="F62" s="72">
        <v>30</v>
      </c>
      <c r="G62" s="72">
        <v>30</v>
      </c>
      <c r="H62" s="72">
        <v>30</v>
      </c>
      <c r="I62" s="72">
        <v>30</v>
      </c>
      <c r="J62" s="72">
        <v>30</v>
      </c>
      <c r="K62" s="72">
        <v>30</v>
      </c>
      <c r="L62" s="72">
        <v>30</v>
      </c>
      <c r="M62" s="72">
        <v>30</v>
      </c>
      <c r="N62" s="72">
        <v>30</v>
      </c>
      <c r="O62" s="72">
        <v>30</v>
      </c>
      <c r="P62" s="72">
        <v>29.36</v>
      </c>
      <c r="Q62" s="72">
        <v>26.78</v>
      </c>
      <c r="R62" s="72">
        <v>23.76</v>
      </c>
      <c r="S62" s="72">
        <v>21.06</v>
      </c>
      <c r="T62" s="72">
        <v>18.649999999999999</v>
      </c>
      <c r="U62" s="72">
        <v>16.510000000000002</v>
      </c>
      <c r="V62" s="72">
        <v>14.61</v>
      </c>
      <c r="W62" s="72">
        <v>12.94</v>
      </c>
      <c r="X62" s="72">
        <v>11.46</v>
      </c>
      <c r="Y62" s="72">
        <v>10.15</v>
      </c>
      <c r="Z62" s="72">
        <v>9</v>
      </c>
      <c r="AA62" s="72">
        <v>8</v>
      </c>
    </row>
    <row r="63" spans="1:27" x14ac:dyDescent="0.25">
      <c r="A63" s="71">
        <v>58</v>
      </c>
      <c r="B63" s="72">
        <v>30</v>
      </c>
      <c r="C63" s="72">
        <v>30</v>
      </c>
      <c r="D63" s="72">
        <v>30</v>
      </c>
      <c r="E63" s="72">
        <v>30</v>
      </c>
      <c r="F63" s="72">
        <v>30</v>
      </c>
      <c r="G63" s="72">
        <v>30</v>
      </c>
      <c r="H63" s="72">
        <v>30</v>
      </c>
      <c r="I63" s="72">
        <v>30</v>
      </c>
      <c r="J63" s="72">
        <v>30</v>
      </c>
      <c r="K63" s="72">
        <v>30</v>
      </c>
      <c r="L63" s="72">
        <v>30</v>
      </c>
      <c r="M63" s="72">
        <v>30</v>
      </c>
      <c r="N63" s="72">
        <v>30</v>
      </c>
      <c r="O63" s="72">
        <v>30</v>
      </c>
      <c r="P63" s="72">
        <v>30</v>
      </c>
      <c r="Q63" s="72">
        <v>29.03</v>
      </c>
      <c r="R63" s="72">
        <v>26.17</v>
      </c>
      <c r="S63" s="72">
        <v>23.19</v>
      </c>
      <c r="T63" s="72">
        <v>20.53</v>
      </c>
      <c r="U63" s="72">
        <v>18.170000000000002</v>
      </c>
      <c r="V63" s="72">
        <v>16.07</v>
      </c>
      <c r="W63" s="72">
        <v>14.21</v>
      </c>
      <c r="X63" s="72">
        <v>12.56</v>
      </c>
      <c r="Y63" s="72">
        <v>11.11</v>
      </c>
      <c r="Z63" s="72">
        <v>9.84</v>
      </c>
      <c r="AA63" s="72">
        <v>8.7200000000000006</v>
      </c>
    </row>
    <row r="64" spans="1:27" x14ac:dyDescent="0.25">
      <c r="A64" s="71">
        <v>59</v>
      </c>
      <c r="B64" s="72">
        <v>30</v>
      </c>
      <c r="C64" s="72">
        <v>30</v>
      </c>
      <c r="D64" s="72">
        <v>30</v>
      </c>
      <c r="E64" s="72">
        <v>30</v>
      </c>
      <c r="F64" s="72">
        <v>30</v>
      </c>
      <c r="G64" s="72">
        <v>30</v>
      </c>
      <c r="H64" s="72">
        <v>30</v>
      </c>
      <c r="I64" s="72">
        <v>30</v>
      </c>
      <c r="J64" s="72">
        <v>30</v>
      </c>
      <c r="K64" s="72">
        <v>30</v>
      </c>
      <c r="L64" s="72">
        <v>30</v>
      </c>
      <c r="M64" s="72">
        <v>30</v>
      </c>
      <c r="N64" s="72">
        <v>30</v>
      </c>
      <c r="O64" s="72">
        <v>30</v>
      </c>
      <c r="P64" s="72">
        <v>30</v>
      </c>
      <c r="Q64" s="72">
        <v>30</v>
      </c>
      <c r="R64" s="72">
        <v>28.72</v>
      </c>
      <c r="S64" s="72">
        <v>25.56</v>
      </c>
      <c r="T64" s="72">
        <v>22.63</v>
      </c>
      <c r="U64" s="72">
        <v>20.02</v>
      </c>
      <c r="V64" s="72">
        <v>17.690000000000001</v>
      </c>
      <c r="W64" s="72">
        <v>15.63</v>
      </c>
      <c r="X64" s="72">
        <v>13.81</v>
      </c>
      <c r="Y64" s="72">
        <v>12.2</v>
      </c>
      <c r="Z64" s="72">
        <v>10.78</v>
      </c>
      <c r="AA64" s="72">
        <v>9.5299999999999994</v>
      </c>
    </row>
    <row r="65" spans="1:27" x14ac:dyDescent="0.25">
      <c r="A65" s="71">
        <v>60</v>
      </c>
      <c r="B65" s="72">
        <v>30</v>
      </c>
      <c r="C65" s="72">
        <v>30</v>
      </c>
      <c r="D65" s="72">
        <v>30</v>
      </c>
      <c r="E65" s="72">
        <v>30</v>
      </c>
      <c r="F65" s="72">
        <v>30</v>
      </c>
      <c r="G65" s="72">
        <v>30</v>
      </c>
      <c r="H65" s="72">
        <v>30</v>
      </c>
      <c r="I65" s="72">
        <v>30</v>
      </c>
      <c r="J65" s="72">
        <v>30</v>
      </c>
      <c r="K65" s="72">
        <v>30</v>
      </c>
      <c r="L65" s="72">
        <v>30</v>
      </c>
      <c r="M65" s="72">
        <v>30</v>
      </c>
      <c r="N65" s="72">
        <v>30</v>
      </c>
      <c r="O65" s="72">
        <v>30</v>
      </c>
      <c r="P65" s="72">
        <v>30</v>
      </c>
      <c r="Q65" s="72">
        <v>30</v>
      </c>
      <c r="R65" s="72">
        <v>30</v>
      </c>
      <c r="S65" s="72">
        <v>28.2</v>
      </c>
      <c r="T65" s="72">
        <v>24.98</v>
      </c>
      <c r="U65" s="72">
        <v>22.09</v>
      </c>
      <c r="V65" s="72">
        <v>19.52</v>
      </c>
      <c r="W65" s="72">
        <v>17.23</v>
      </c>
      <c r="X65" s="72">
        <v>15.2</v>
      </c>
      <c r="Y65" s="72">
        <v>13.41</v>
      </c>
      <c r="Z65" s="72">
        <v>11.84</v>
      </c>
      <c r="AA65" s="72">
        <v>10.45</v>
      </c>
    </row>
    <row r="66" spans="1:27" x14ac:dyDescent="0.25">
      <c r="A66" s="71">
        <v>61</v>
      </c>
      <c r="B66" s="72">
        <v>30</v>
      </c>
      <c r="C66" s="72">
        <v>30</v>
      </c>
      <c r="D66" s="72">
        <v>30</v>
      </c>
      <c r="E66" s="72">
        <v>30</v>
      </c>
      <c r="F66" s="72">
        <v>30</v>
      </c>
      <c r="G66" s="72">
        <v>30</v>
      </c>
      <c r="H66" s="72">
        <v>30</v>
      </c>
      <c r="I66" s="72">
        <v>30</v>
      </c>
      <c r="J66" s="72">
        <v>30</v>
      </c>
      <c r="K66" s="72">
        <v>30</v>
      </c>
      <c r="L66" s="72">
        <v>30</v>
      </c>
      <c r="M66" s="72">
        <v>30</v>
      </c>
      <c r="N66" s="72">
        <v>30</v>
      </c>
      <c r="O66" s="72">
        <v>30</v>
      </c>
      <c r="P66" s="72">
        <v>30</v>
      </c>
      <c r="Q66" s="72">
        <v>30</v>
      </c>
      <c r="R66" s="72">
        <v>30</v>
      </c>
      <c r="S66" s="72">
        <v>29.8</v>
      </c>
      <c r="T66" s="72">
        <v>27.58</v>
      </c>
      <c r="U66" s="72">
        <v>24.4</v>
      </c>
      <c r="V66" s="72">
        <v>21.55</v>
      </c>
      <c r="W66" s="72">
        <v>19.02</v>
      </c>
      <c r="X66" s="72">
        <v>16.77</v>
      </c>
      <c r="Y66" s="72">
        <v>14.78</v>
      </c>
      <c r="Z66" s="72">
        <v>13.03</v>
      </c>
      <c r="AA66" s="72">
        <v>11.48</v>
      </c>
    </row>
    <row r="67" spans="1:27" x14ac:dyDescent="0.25">
      <c r="A67" s="71">
        <v>62</v>
      </c>
      <c r="B67" s="72">
        <v>30</v>
      </c>
      <c r="C67" s="72">
        <v>30</v>
      </c>
      <c r="D67" s="72">
        <v>30</v>
      </c>
      <c r="E67" s="72">
        <v>30</v>
      </c>
      <c r="F67" s="72">
        <v>30</v>
      </c>
      <c r="G67" s="72">
        <v>30</v>
      </c>
      <c r="H67" s="72">
        <v>30</v>
      </c>
      <c r="I67" s="72">
        <v>30</v>
      </c>
      <c r="J67" s="72">
        <v>30</v>
      </c>
      <c r="K67" s="72">
        <v>30</v>
      </c>
      <c r="L67" s="72">
        <v>30</v>
      </c>
      <c r="M67" s="72">
        <v>30</v>
      </c>
      <c r="N67" s="72">
        <v>30</v>
      </c>
      <c r="O67" s="72">
        <v>30</v>
      </c>
      <c r="P67" s="72">
        <v>30</v>
      </c>
      <c r="Q67" s="72">
        <v>30</v>
      </c>
      <c r="R67" s="72">
        <v>30</v>
      </c>
      <c r="S67" s="72">
        <v>30</v>
      </c>
      <c r="T67" s="72">
        <v>29.48</v>
      </c>
      <c r="U67" s="72">
        <v>26.97</v>
      </c>
      <c r="V67" s="72">
        <v>23.83</v>
      </c>
      <c r="W67" s="72">
        <v>21.02</v>
      </c>
      <c r="X67" s="72">
        <v>18.53</v>
      </c>
      <c r="Y67" s="72">
        <v>16.32</v>
      </c>
      <c r="Z67" s="72">
        <v>14.37</v>
      </c>
      <c r="AA67" s="72">
        <v>12.65</v>
      </c>
    </row>
    <row r="68" spans="1:27" x14ac:dyDescent="0.25">
      <c r="A68" s="71">
        <v>63</v>
      </c>
      <c r="B68" s="72">
        <v>30</v>
      </c>
      <c r="C68" s="72">
        <v>30</v>
      </c>
      <c r="D68" s="72">
        <v>30</v>
      </c>
      <c r="E68" s="72">
        <v>30</v>
      </c>
      <c r="F68" s="72">
        <v>30</v>
      </c>
      <c r="G68" s="72">
        <v>30</v>
      </c>
      <c r="H68" s="72">
        <v>30</v>
      </c>
      <c r="I68" s="72">
        <v>30</v>
      </c>
      <c r="J68" s="72">
        <v>30</v>
      </c>
      <c r="K68" s="72">
        <v>30</v>
      </c>
      <c r="L68" s="72">
        <v>30</v>
      </c>
      <c r="M68" s="72">
        <v>30</v>
      </c>
      <c r="N68" s="72">
        <v>30</v>
      </c>
      <c r="O68" s="72">
        <v>30</v>
      </c>
      <c r="P68" s="72">
        <v>30</v>
      </c>
      <c r="Q68" s="72">
        <v>30</v>
      </c>
      <c r="R68" s="72">
        <v>30</v>
      </c>
      <c r="S68" s="72">
        <v>30</v>
      </c>
      <c r="T68" s="72">
        <v>30</v>
      </c>
      <c r="U68" s="72">
        <v>29.16</v>
      </c>
      <c r="V68" s="72">
        <v>26.37</v>
      </c>
      <c r="W68" s="72">
        <v>23.26</v>
      </c>
      <c r="X68" s="72">
        <v>20.5</v>
      </c>
      <c r="Y68" s="72">
        <v>18.04</v>
      </c>
      <c r="Z68" s="72">
        <v>15.87</v>
      </c>
      <c r="AA68" s="72">
        <v>13.96</v>
      </c>
    </row>
    <row r="69" spans="1:27" x14ac:dyDescent="0.25">
      <c r="A69" s="71">
        <v>64</v>
      </c>
      <c r="B69" s="72">
        <v>30</v>
      </c>
      <c r="C69" s="72">
        <v>30</v>
      </c>
      <c r="D69" s="72">
        <v>30</v>
      </c>
      <c r="E69" s="72">
        <v>30</v>
      </c>
      <c r="F69" s="72">
        <v>30</v>
      </c>
      <c r="G69" s="72">
        <v>30</v>
      </c>
      <c r="H69" s="72">
        <v>30</v>
      </c>
      <c r="I69" s="72">
        <v>30</v>
      </c>
      <c r="J69" s="72">
        <v>30</v>
      </c>
      <c r="K69" s="72">
        <v>30</v>
      </c>
      <c r="L69" s="72">
        <v>30</v>
      </c>
      <c r="M69" s="72">
        <v>30</v>
      </c>
      <c r="N69" s="72">
        <v>30</v>
      </c>
      <c r="O69" s="72">
        <v>30</v>
      </c>
      <c r="P69" s="72">
        <v>30</v>
      </c>
      <c r="Q69" s="72">
        <v>30</v>
      </c>
      <c r="R69" s="72">
        <v>30</v>
      </c>
      <c r="S69" s="72">
        <v>30</v>
      </c>
      <c r="T69" s="72">
        <v>30</v>
      </c>
      <c r="U69" s="72">
        <v>30</v>
      </c>
      <c r="V69" s="72">
        <v>28.85</v>
      </c>
      <c r="W69" s="72">
        <v>25.77</v>
      </c>
      <c r="X69" s="72">
        <v>22.71</v>
      </c>
      <c r="Y69" s="72">
        <v>19.98</v>
      </c>
      <c r="Z69" s="72">
        <v>17.57</v>
      </c>
      <c r="AA69" s="72">
        <v>15.44</v>
      </c>
    </row>
    <row r="70" spans="1:27" x14ac:dyDescent="0.25">
      <c r="A70" s="71">
        <v>65</v>
      </c>
      <c r="B70" s="72">
        <v>30</v>
      </c>
      <c r="C70" s="72">
        <v>30</v>
      </c>
      <c r="D70" s="72">
        <v>30</v>
      </c>
      <c r="E70" s="72">
        <v>30</v>
      </c>
      <c r="F70" s="72">
        <v>30</v>
      </c>
      <c r="G70" s="72">
        <v>30</v>
      </c>
      <c r="H70" s="72">
        <v>30</v>
      </c>
      <c r="I70" s="72">
        <v>30</v>
      </c>
      <c r="J70" s="72">
        <v>30</v>
      </c>
      <c r="K70" s="72">
        <v>30</v>
      </c>
      <c r="L70" s="72">
        <v>30</v>
      </c>
      <c r="M70" s="72">
        <v>30</v>
      </c>
      <c r="N70" s="72">
        <v>30</v>
      </c>
      <c r="O70" s="72">
        <v>30</v>
      </c>
      <c r="P70" s="72">
        <v>30</v>
      </c>
      <c r="Q70" s="72">
        <v>30</v>
      </c>
      <c r="R70" s="72">
        <v>30</v>
      </c>
      <c r="S70" s="72">
        <v>30</v>
      </c>
      <c r="T70" s="72">
        <v>30</v>
      </c>
      <c r="U70" s="72">
        <v>30</v>
      </c>
      <c r="V70" s="72">
        <v>30</v>
      </c>
      <c r="W70" s="72">
        <v>28.55</v>
      </c>
      <c r="X70" s="72">
        <v>25.18</v>
      </c>
      <c r="Y70" s="72">
        <v>22.16</v>
      </c>
      <c r="Z70" s="72">
        <v>19.48</v>
      </c>
      <c r="AA70" s="72">
        <v>17.100000000000001</v>
      </c>
    </row>
    <row r="71" spans="1:27" x14ac:dyDescent="0.25">
      <c r="A71" s="71">
        <v>66</v>
      </c>
      <c r="B71" s="72">
        <v>30</v>
      </c>
      <c r="C71" s="72">
        <v>30</v>
      </c>
      <c r="D71" s="72">
        <v>30</v>
      </c>
      <c r="E71" s="72">
        <v>30</v>
      </c>
      <c r="F71" s="72">
        <v>30</v>
      </c>
      <c r="G71" s="72">
        <v>30</v>
      </c>
      <c r="H71" s="72">
        <v>30</v>
      </c>
      <c r="I71" s="72">
        <v>30</v>
      </c>
      <c r="J71" s="72">
        <v>30</v>
      </c>
      <c r="K71" s="72">
        <v>30</v>
      </c>
      <c r="L71" s="72">
        <v>30</v>
      </c>
      <c r="M71" s="72">
        <v>30</v>
      </c>
      <c r="N71" s="72">
        <v>30</v>
      </c>
      <c r="O71" s="72">
        <v>30</v>
      </c>
      <c r="P71" s="72">
        <v>30</v>
      </c>
      <c r="Q71" s="72">
        <v>30</v>
      </c>
      <c r="R71" s="72">
        <v>30</v>
      </c>
      <c r="S71" s="72">
        <v>30</v>
      </c>
      <c r="T71" s="72">
        <v>30</v>
      </c>
      <c r="U71" s="72">
        <v>30</v>
      </c>
      <c r="V71" s="72">
        <v>30</v>
      </c>
      <c r="W71" s="72">
        <v>30</v>
      </c>
      <c r="X71" s="72">
        <v>27.96</v>
      </c>
      <c r="Y71" s="72">
        <v>24.6</v>
      </c>
      <c r="Z71" s="72">
        <v>21.62</v>
      </c>
      <c r="AA71" s="72">
        <v>18.98</v>
      </c>
    </row>
    <row r="72" spans="1:27" x14ac:dyDescent="0.25">
      <c r="A72" s="71">
        <v>67</v>
      </c>
      <c r="B72" s="72">
        <v>30</v>
      </c>
      <c r="C72" s="72">
        <v>30</v>
      </c>
      <c r="D72" s="72">
        <v>30</v>
      </c>
      <c r="E72" s="72">
        <v>30</v>
      </c>
      <c r="F72" s="72">
        <v>30</v>
      </c>
      <c r="G72" s="72">
        <v>30</v>
      </c>
      <c r="H72" s="72">
        <v>30</v>
      </c>
      <c r="I72" s="72">
        <v>30</v>
      </c>
      <c r="J72" s="72">
        <v>30</v>
      </c>
      <c r="K72" s="72">
        <v>30</v>
      </c>
      <c r="L72" s="72">
        <v>30</v>
      </c>
      <c r="M72" s="72">
        <v>30</v>
      </c>
      <c r="N72" s="72">
        <v>30</v>
      </c>
      <c r="O72" s="72">
        <v>30</v>
      </c>
      <c r="P72" s="72">
        <v>30</v>
      </c>
      <c r="Q72" s="72">
        <v>30</v>
      </c>
      <c r="R72" s="72">
        <v>30</v>
      </c>
      <c r="S72" s="72">
        <v>30</v>
      </c>
      <c r="T72" s="72">
        <v>30</v>
      </c>
      <c r="U72" s="72">
        <v>30</v>
      </c>
      <c r="V72" s="72">
        <v>30</v>
      </c>
      <c r="W72" s="72">
        <v>30</v>
      </c>
      <c r="X72" s="72">
        <v>29.71</v>
      </c>
      <c r="Y72" s="72">
        <v>27.35</v>
      </c>
      <c r="Z72" s="72">
        <v>24.04</v>
      </c>
      <c r="AA72" s="72">
        <v>21.09</v>
      </c>
    </row>
    <row r="73" spans="1:27" x14ac:dyDescent="0.25">
      <c r="A73" s="71">
        <v>68</v>
      </c>
      <c r="B73" s="72">
        <v>30</v>
      </c>
      <c r="C73" s="72">
        <v>30</v>
      </c>
      <c r="D73" s="72">
        <v>30</v>
      </c>
      <c r="E73" s="72">
        <v>30</v>
      </c>
      <c r="F73" s="72">
        <v>30</v>
      </c>
      <c r="G73" s="72">
        <v>30</v>
      </c>
      <c r="H73" s="72">
        <v>30</v>
      </c>
      <c r="I73" s="72">
        <v>30</v>
      </c>
      <c r="J73" s="72">
        <v>30</v>
      </c>
      <c r="K73" s="72">
        <v>30</v>
      </c>
      <c r="L73" s="72">
        <v>30</v>
      </c>
      <c r="M73" s="72">
        <v>30</v>
      </c>
      <c r="N73" s="72">
        <v>30</v>
      </c>
      <c r="O73" s="72">
        <v>30</v>
      </c>
      <c r="P73" s="72">
        <v>30</v>
      </c>
      <c r="Q73" s="72">
        <v>30</v>
      </c>
      <c r="R73" s="72">
        <v>30</v>
      </c>
      <c r="S73" s="72">
        <v>30</v>
      </c>
      <c r="T73" s="72">
        <v>30</v>
      </c>
      <c r="U73" s="72">
        <v>30</v>
      </c>
      <c r="V73" s="72">
        <v>30</v>
      </c>
      <c r="W73" s="72">
        <v>30</v>
      </c>
      <c r="X73" s="72">
        <v>30</v>
      </c>
      <c r="Y73" s="72">
        <v>29.4</v>
      </c>
      <c r="Z73" s="72">
        <v>26.76</v>
      </c>
      <c r="AA73" s="72">
        <v>23.48</v>
      </c>
    </row>
    <row r="74" spans="1:27" x14ac:dyDescent="0.25">
      <c r="A74" s="71">
        <v>69</v>
      </c>
      <c r="B74" s="72">
        <v>30</v>
      </c>
      <c r="C74" s="72">
        <v>30</v>
      </c>
      <c r="D74" s="72">
        <v>30</v>
      </c>
      <c r="E74" s="72">
        <v>30</v>
      </c>
      <c r="F74" s="72">
        <v>30</v>
      </c>
      <c r="G74" s="72">
        <v>30</v>
      </c>
      <c r="H74" s="72">
        <v>30</v>
      </c>
      <c r="I74" s="72">
        <v>30</v>
      </c>
      <c r="J74" s="72">
        <v>30</v>
      </c>
      <c r="K74" s="72">
        <v>30</v>
      </c>
      <c r="L74" s="72">
        <v>30</v>
      </c>
      <c r="M74" s="72">
        <v>30</v>
      </c>
      <c r="N74" s="72">
        <v>30</v>
      </c>
      <c r="O74" s="72">
        <v>30</v>
      </c>
      <c r="P74" s="72">
        <v>30</v>
      </c>
      <c r="Q74" s="72">
        <v>30</v>
      </c>
      <c r="R74" s="72">
        <v>30</v>
      </c>
      <c r="S74" s="72">
        <v>30</v>
      </c>
      <c r="T74" s="72">
        <v>30</v>
      </c>
      <c r="U74" s="72">
        <v>30</v>
      </c>
      <c r="V74" s="72">
        <v>30</v>
      </c>
      <c r="W74" s="72">
        <v>30</v>
      </c>
      <c r="X74" s="72">
        <v>30</v>
      </c>
      <c r="Y74" s="72">
        <v>30</v>
      </c>
      <c r="Z74" s="72">
        <v>29.1</v>
      </c>
      <c r="AA74" s="72">
        <v>26.17</v>
      </c>
    </row>
    <row r="75" spans="1:27" x14ac:dyDescent="0.25">
      <c r="A75" s="71">
        <v>70</v>
      </c>
      <c r="B75" s="72">
        <v>30</v>
      </c>
      <c r="C75" s="72">
        <v>30</v>
      </c>
      <c r="D75" s="72">
        <v>30</v>
      </c>
      <c r="E75" s="72">
        <v>30</v>
      </c>
      <c r="F75" s="72">
        <v>30</v>
      </c>
      <c r="G75" s="72">
        <v>30</v>
      </c>
      <c r="H75" s="72">
        <v>30</v>
      </c>
      <c r="I75" s="72">
        <v>30</v>
      </c>
      <c r="J75" s="72">
        <v>30</v>
      </c>
      <c r="K75" s="72">
        <v>30</v>
      </c>
      <c r="L75" s="72">
        <v>30</v>
      </c>
      <c r="M75" s="72">
        <v>30</v>
      </c>
      <c r="N75" s="72">
        <v>30</v>
      </c>
      <c r="O75" s="72">
        <v>30</v>
      </c>
      <c r="P75" s="72">
        <v>30</v>
      </c>
      <c r="Q75" s="72">
        <v>30</v>
      </c>
      <c r="R75" s="72">
        <v>30</v>
      </c>
      <c r="S75" s="72">
        <v>30</v>
      </c>
      <c r="T75" s="72">
        <v>30</v>
      </c>
      <c r="U75" s="72">
        <v>30</v>
      </c>
      <c r="V75" s="72">
        <v>30</v>
      </c>
      <c r="W75" s="72">
        <v>30</v>
      </c>
      <c r="X75" s="72">
        <v>30</v>
      </c>
      <c r="Y75" s="72">
        <v>30</v>
      </c>
      <c r="Z75" s="72">
        <v>30</v>
      </c>
      <c r="AA75" s="72">
        <v>28.8</v>
      </c>
    </row>
    <row r="76" spans="1:27" x14ac:dyDescent="0.25">
      <c r="A76" s="71">
        <v>71</v>
      </c>
      <c r="B76" s="72">
        <v>30</v>
      </c>
      <c r="C76" s="72">
        <v>30</v>
      </c>
      <c r="D76" s="72">
        <v>30</v>
      </c>
      <c r="E76" s="72">
        <v>30</v>
      </c>
      <c r="F76" s="72">
        <v>30</v>
      </c>
      <c r="G76" s="72">
        <v>30</v>
      </c>
      <c r="H76" s="72">
        <v>30</v>
      </c>
      <c r="I76" s="72">
        <v>30</v>
      </c>
      <c r="J76" s="72">
        <v>30</v>
      </c>
      <c r="K76" s="72">
        <v>30</v>
      </c>
      <c r="L76" s="72">
        <v>30</v>
      </c>
      <c r="M76" s="72">
        <v>30</v>
      </c>
      <c r="N76" s="72">
        <v>30</v>
      </c>
      <c r="O76" s="72">
        <v>30</v>
      </c>
      <c r="P76" s="72">
        <v>30</v>
      </c>
      <c r="Q76" s="72">
        <v>30</v>
      </c>
      <c r="R76" s="72">
        <v>30</v>
      </c>
      <c r="S76" s="72">
        <v>30</v>
      </c>
      <c r="T76" s="72">
        <v>30</v>
      </c>
      <c r="U76" s="72">
        <v>30</v>
      </c>
      <c r="V76" s="72">
        <v>30</v>
      </c>
      <c r="W76" s="72">
        <v>30</v>
      </c>
      <c r="X76" s="72">
        <v>30</v>
      </c>
      <c r="Y76" s="72">
        <v>30</v>
      </c>
      <c r="Z76" s="72">
        <v>30</v>
      </c>
      <c r="AA76" s="72">
        <v>30</v>
      </c>
    </row>
    <row r="77" spans="1:27" x14ac:dyDescent="0.25">
      <c r="A77" s="71">
        <v>72</v>
      </c>
      <c r="B77" s="72">
        <v>30</v>
      </c>
      <c r="C77" s="72">
        <v>30</v>
      </c>
      <c r="D77" s="72">
        <v>30</v>
      </c>
      <c r="E77" s="72">
        <v>30</v>
      </c>
      <c r="F77" s="72">
        <v>30</v>
      </c>
      <c r="G77" s="72">
        <v>30</v>
      </c>
      <c r="H77" s="72">
        <v>30</v>
      </c>
      <c r="I77" s="72">
        <v>30</v>
      </c>
      <c r="J77" s="72">
        <v>30</v>
      </c>
      <c r="K77" s="72">
        <v>30</v>
      </c>
      <c r="L77" s="72">
        <v>30</v>
      </c>
      <c r="M77" s="72">
        <v>30</v>
      </c>
      <c r="N77" s="72">
        <v>30</v>
      </c>
      <c r="O77" s="72">
        <v>30</v>
      </c>
      <c r="P77" s="72">
        <v>30</v>
      </c>
      <c r="Q77" s="72">
        <v>30</v>
      </c>
      <c r="R77" s="72">
        <v>30</v>
      </c>
      <c r="S77" s="72">
        <v>30</v>
      </c>
      <c r="T77" s="72">
        <v>30</v>
      </c>
      <c r="U77" s="72">
        <v>30</v>
      </c>
      <c r="V77" s="72">
        <v>30</v>
      </c>
      <c r="W77" s="72">
        <v>30</v>
      </c>
      <c r="X77" s="72">
        <v>30</v>
      </c>
      <c r="Y77" s="72">
        <v>30</v>
      </c>
      <c r="Z77" s="72">
        <v>30</v>
      </c>
      <c r="AA77" s="72">
        <v>30</v>
      </c>
    </row>
    <row r="78" spans="1:27" x14ac:dyDescent="0.25">
      <c r="A78" s="71">
        <v>73</v>
      </c>
      <c r="B78" s="72">
        <v>30</v>
      </c>
      <c r="C78" s="72">
        <v>30</v>
      </c>
      <c r="D78" s="72">
        <v>30</v>
      </c>
      <c r="E78" s="72">
        <v>30</v>
      </c>
      <c r="F78" s="72">
        <v>30</v>
      </c>
      <c r="G78" s="72">
        <v>30</v>
      </c>
      <c r="H78" s="72">
        <v>30</v>
      </c>
      <c r="I78" s="72">
        <v>30</v>
      </c>
      <c r="J78" s="72">
        <v>30</v>
      </c>
      <c r="K78" s="72">
        <v>30</v>
      </c>
      <c r="L78" s="72">
        <v>30</v>
      </c>
      <c r="M78" s="72">
        <v>30</v>
      </c>
      <c r="N78" s="72">
        <v>30</v>
      </c>
      <c r="O78" s="72">
        <v>30</v>
      </c>
      <c r="P78" s="72">
        <v>30</v>
      </c>
      <c r="Q78" s="72">
        <v>30</v>
      </c>
      <c r="R78" s="72">
        <v>30</v>
      </c>
      <c r="S78" s="72">
        <v>30</v>
      </c>
      <c r="T78" s="72">
        <v>30</v>
      </c>
      <c r="U78" s="72">
        <v>30</v>
      </c>
      <c r="V78" s="72">
        <v>30</v>
      </c>
      <c r="W78" s="72">
        <v>30</v>
      </c>
      <c r="X78" s="72">
        <v>30</v>
      </c>
      <c r="Y78" s="72">
        <v>30</v>
      </c>
      <c r="Z78" s="72">
        <v>30</v>
      </c>
      <c r="AA78" s="72">
        <v>30</v>
      </c>
    </row>
    <row r="79" spans="1:27" x14ac:dyDescent="0.25">
      <c r="A79" s="71">
        <v>74</v>
      </c>
      <c r="B79" s="72">
        <v>30</v>
      </c>
      <c r="C79" s="72">
        <v>30</v>
      </c>
      <c r="D79" s="72">
        <v>30</v>
      </c>
      <c r="E79" s="72">
        <v>30</v>
      </c>
      <c r="F79" s="72">
        <v>30</v>
      </c>
      <c r="G79" s="72">
        <v>30</v>
      </c>
      <c r="H79" s="72">
        <v>30</v>
      </c>
      <c r="I79" s="72">
        <v>30</v>
      </c>
      <c r="J79" s="72">
        <v>30</v>
      </c>
      <c r="K79" s="72">
        <v>30</v>
      </c>
      <c r="L79" s="72">
        <v>30</v>
      </c>
      <c r="M79" s="72">
        <v>30</v>
      </c>
      <c r="N79" s="72">
        <v>30</v>
      </c>
      <c r="O79" s="72">
        <v>30</v>
      </c>
      <c r="P79" s="72">
        <v>30</v>
      </c>
      <c r="Q79" s="72">
        <v>30</v>
      </c>
      <c r="R79" s="72">
        <v>30</v>
      </c>
      <c r="S79" s="72">
        <v>30</v>
      </c>
      <c r="T79" s="72">
        <v>30</v>
      </c>
      <c r="U79" s="72">
        <v>30</v>
      </c>
      <c r="V79" s="72">
        <v>30</v>
      </c>
      <c r="W79" s="72">
        <v>30</v>
      </c>
      <c r="X79" s="72">
        <v>30</v>
      </c>
      <c r="Y79" s="72">
        <v>30</v>
      </c>
      <c r="Z79" s="72">
        <v>30</v>
      </c>
      <c r="AA79" s="72">
        <v>30</v>
      </c>
    </row>
    <row r="80" spans="1:27" x14ac:dyDescent="0.25">
      <c r="A80" s="71">
        <v>75</v>
      </c>
      <c r="B80" s="72">
        <v>30</v>
      </c>
      <c r="C80" s="72">
        <v>30</v>
      </c>
      <c r="D80" s="72">
        <v>30</v>
      </c>
      <c r="E80" s="72">
        <v>30</v>
      </c>
      <c r="F80" s="72">
        <v>30</v>
      </c>
      <c r="G80" s="72">
        <v>30</v>
      </c>
      <c r="H80" s="72">
        <v>30</v>
      </c>
      <c r="I80" s="72">
        <v>30</v>
      </c>
      <c r="J80" s="72">
        <v>30</v>
      </c>
      <c r="K80" s="72">
        <v>30</v>
      </c>
      <c r="L80" s="72">
        <v>30</v>
      </c>
      <c r="M80" s="72">
        <v>30</v>
      </c>
      <c r="N80" s="72">
        <v>30</v>
      </c>
      <c r="O80" s="72">
        <v>30</v>
      </c>
      <c r="P80" s="72">
        <v>30</v>
      </c>
      <c r="Q80" s="72">
        <v>30</v>
      </c>
      <c r="R80" s="72">
        <v>30</v>
      </c>
      <c r="S80" s="72">
        <v>30</v>
      </c>
      <c r="T80" s="72">
        <v>30</v>
      </c>
      <c r="U80" s="72">
        <v>30</v>
      </c>
      <c r="V80" s="72">
        <v>30</v>
      </c>
      <c r="W80" s="72">
        <v>30</v>
      </c>
      <c r="X80" s="72">
        <v>30</v>
      </c>
      <c r="Y80" s="72">
        <v>30</v>
      </c>
      <c r="Z80" s="72">
        <v>30</v>
      </c>
      <c r="AA80" s="72">
        <v>30</v>
      </c>
    </row>
    <row r="81" spans="1:27" x14ac:dyDescent="0.25">
      <c r="A81" s="71">
        <v>76</v>
      </c>
      <c r="B81" s="72">
        <v>30</v>
      </c>
      <c r="C81" s="72">
        <v>30</v>
      </c>
      <c r="D81" s="72">
        <v>30</v>
      </c>
      <c r="E81" s="72">
        <v>30</v>
      </c>
      <c r="F81" s="72">
        <v>30</v>
      </c>
      <c r="G81" s="72">
        <v>30</v>
      </c>
      <c r="H81" s="72">
        <v>30</v>
      </c>
      <c r="I81" s="72">
        <v>30</v>
      </c>
      <c r="J81" s="72">
        <v>30</v>
      </c>
      <c r="K81" s="72">
        <v>30</v>
      </c>
      <c r="L81" s="72">
        <v>30</v>
      </c>
      <c r="M81" s="72">
        <v>30</v>
      </c>
      <c r="N81" s="72">
        <v>30</v>
      </c>
      <c r="O81" s="72">
        <v>30</v>
      </c>
      <c r="P81" s="72">
        <v>30</v>
      </c>
      <c r="Q81" s="72">
        <v>30</v>
      </c>
      <c r="R81" s="72">
        <v>30</v>
      </c>
      <c r="S81" s="72">
        <v>30</v>
      </c>
      <c r="T81" s="72">
        <v>30</v>
      </c>
      <c r="U81" s="72">
        <v>30</v>
      </c>
      <c r="V81" s="72">
        <v>30</v>
      </c>
      <c r="W81" s="72">
        <v>30</v>
      </c>
      <c r="X81" s="72">
        <v>30</v>
      </c>
      <c r="Y81" s="72">
        <v>30</v>
      </c>
      <c r="Z81" s="72">
        <v>30</v>
      </c>
      <c r="AA81" s="72">
        <v>30</v>
      </c>
    </row>
    <row r="82" spans="1:27" x14ac:dyDescent="0.25">
      <c r="A82" s="71">
        <v>77</v>
      </c>
      <c r="B82" s="72">
        <v>30</v>
      </c>
      <c r="C82" s="72">
        <v>30</v>
      </c>
      <c r="D82" s="72">
        <v>30</v>
      </c>
      <c r="E82" s="72">
        <v>30</v>
      </c>
      <c r="F82" s="72">
        <v>30</v>
      </c>
      <c r="G82" s="72">
        <v>30</v>
      </c>
      <c r="H82" s="72">
        <v>30</v>
      </c>
      <c r="I82" s="72">
        <v>30</v>
      </c>
      <c r="J82" s="72">
        <v>30</v>
      </c>
      <c r="K82" s="72">
        <v>30</v>
      </c>
      <c r="L82" s="72">
        <v>30</v>
      </c>
      <c r="M82" s="72">
        <v>30</v>
      </c>
      <c r="N82" s="72">
        <v>30</v>
      </c>
      <c r="O82" s="72">
        <v>30</v>
      </c>
      <c r="P82" s="72">
        <v>30</v>
      </c>
      <c r="Q82" s="72">
        <v>30</v>
      </c>
      <c r="R82" s="72">
        <v>30</v>
      </c>
      <c r="S82" s="72">
        <v>30</v>
      </c>
      <c r="T82" s="72">
        <v>30</v>
      </c>
      <c r="U82" s="72">
        <v>30</v>
      </c>
      <c r="V82" s="72">
        <v>30</v>
      </c>
      <c r="W82" s="72">
        <v>30</v>
      </c>
      <c r="X82" s="72">
        <v>30</v>
      </c>
      <c r="Y82" s="72">
        <v>30</v>
      </c>
      <c r="Z82" s="72">
        <v>30</v>
      </c>
      <c r="AA82" s="72">
        <v>30</v>
      </c>
    </row>
    <row r="83" spans="1:27" x14ac:dyDescent="0.25">
      <c r="A83" s="71">
        <v>78</v>
      </c>
      <c r="B83" s="72">
        <v>30</v>
      </c>
      <c r="C83" s="72">
        <v>30</v>
      </c>
      <c r="D83" s="72">
        <v>30</v>
      </c>
      <c r="E83" s="72">
        <v>30</v>
      </c>
      <c r="F83" s="72">
        <v>30</v>
      </c>
      <c r="G83" s="72">
        <v>30</v>
      </c>
      <c r="H83" s="72">
        <v>30</v>
      </c>
      <c r="I83" s="72">
        <v>30</v>
      </c>
      <c r="J83" s="72">
        <v>30</v>
      </c>
      <c r="K83" s="72">
        <v>30</v>
      </c>
      <c r="L83" s="72">
        <v>30</v>
      </c>
      <c r="M83" s="72">
        <v>30</v>
      </c>
      <c r="N83" s="72">
        <v>30</v>
      </c>
      <c r="O83" s="72">
        <v>30</v>
      </c>
      <c r="P83" s="72">
        <v>30</v>
      </c>
      <c r="Q83" s="72">
        <v>30</v>
      </c>
      <c r="R83" s="72">
        <v>30</v>
      </c>
      <c r="S83" s="72">
        <v>30</v>
      </c>
      <c r="T83" s="72">
        <v>30</v>
      </c>
      <c r="U83" s="72">
        <v>30</v>
      </c>
      <c r="V83" s="72">
        <v>30</v>
      </c>
      <c r="W83" s="72">
        <v>30</v>
      </c>
      <c r="X83" s="72">
        <v>30</v>
      </c>
      <c r="Y83" s="72">
        <v>30</v>
      </c>
      <c r="Z83" s="72">
        <v>30</v>
      </c>
      <c r="AA83" s="72">
        <v>30</v>
      </c>
    </row>
    <row r="84" spans="1:27" x14ac:dyDescent="0.25">
      <c r="A84" s="71">
        <v>79</v>
      </c>
      <c r="B84" s="72">
        <v>30</v>
      </c>
      <c r="C84" s="72">
        <v>30</v>
      </c>
      <c r="D84" s="72">
        <v>30</v>
      </c>
      <c r="E84" s="72">
        <v>30</v>
      </c>
      <c r="F84" s="72">
        <v>30</v>
      </c>
      <c r="G84" s="72">
        <v>30</v>
      </c>
      <c r="H84" s="72">
        <v>30</v>
      </c>
      <c r="I84" s="72">
        <v>30</v>
      </c>
      <c r="J84" s="72">
        <v>30</v>
      </c>
      <c r="K84" s="72">
        <v>30</v>
      </c>
      <c r="L84" s="72">
        <v>30</v>
      </c>
      <c r="M84" s="72">
        <v>30</v>
      </c>
      <c r="N84" s="72">
        <v>30</v>
      </c>
      <c r="O84" s="72">
        <v>30</v>
      </c>
      <c r="P84" s="72">
        <v>30</v>
      </c>
      <c r="Q84" s="72">
        <v>30</v>
      </c>
      <c r="R84" s="72">
        <v>30</v>
      </c>
      <c r="S84" s="72">
        <v>30</v>
      </c>
      <c r="T84" s="72">
        <v>30</v>
      </c>
      <c r="U84" s="72">
        <v>30</v>
      </c>
      <c r="V84" s="72">
        <v>30</v>
      </c>
      <c r="W84" s="72">
        <v>30</v>
      </c>
      <c r="X84" s="72">
        <v>30</v>
      </c>
      <c r="Y84" s="72">
        <v>30</v>
      </c>
      <c r="Z84" s="72">
        <v>30</v>
      </c>
      <c r="AA84" s="72">
        <v>30</v>
      </c>
    </row>
    <row r="85" spans="1:27" x14ac:dyDescent="0.25">
      <c r="A85" s="71">
        <v>80</v>
      </c>
      <c r="B85" s="72">
        <v>30</v>
      </c>
      <c r="C85" s="72">
        <v>30</v>
      </c>
      <c r="D85" s="72">
        <v>30</v>
      </c>
      <c r="E85" s="72">
        <v>30</v>
      </c>
      <c r="F85" s="72">
        <v>30</v>
      </c>
      <c r="G85" s="72">
        <v>30</v>
      </c>
      <c r="H85" s="72">
        <v>30</v>
      </c>
      <c r="I85" s="72">
        <v>30</v>
      </c>
      <c r="J85" s="72">
        <v>30</v>
      </c>
      <c r="K85" s="72">
        <v>30</v>
      </c>
      <c r="L85" s="72">
        <v>30</v>
      </c>
      <c r="M85" s="72">
        <v>30</v>
      </c>
      <c r="N85" s="72">
        <v>30</v>
      </c>
      <c r="O85" s="72">
        <v>30</v>
      </c>
      <c r="P85" s="72">
        <v>30</v>
      </c>
      <c r="Q85" s="72">
        <v>30</v>
      </c>
      <c r="R85" s="72">
        <v>30</v>
      </c>
      <c r="S85" s="72">
        <v>30</v>
      </c>
      <c r="T85" s="72">
        <v>30</v>
      </c>
      <c r="U85" s="72">
        <v>30</v>
      </c>
      <c r="V85" s="72">
        <v>30</v>
      </c>
      <c r="W85" s="72">
        <v>30</v>
      </c>
      <c r="X85" s="72">
        <v>30</v>
      </c>
      <c r="Y85" s="72">
        <v>30</v>
      </c>
      <c r="Z85" s="72">
        <v>30</v>
      </c>
      <c r="AA85" s="72">
        <v>30</v>
      </c>
    </row>
    <row r="86" spans="1:27" x14ac:dyDescent="0.25">
      <c r="A86" s="71">
        <v>81</v>
      </c>
      <c r="B86" s="72">
        <v>30</v>
      </c>
      <c r="C86" s="72">
        <v>30</v>
      </c>
      <c r="D86" s="72">
        <v>30</v>
      </c>
      <c r="E86" s="72">
        <v>30</v>
      </c>
      <c r="F86" s="72">
        <v>30</v>
      </c>
      <c r="G86" s="72">
        <v>30</v>
      </c>
      <c r="H86" s="72">
        <v>30</v>
      </c>
      <c r="I86" s="72">
        <v>30</v>
      </c>
      <c r="J86" s="72">
        <v>30</v>
      </c>
      <c r="K86" s="72">
        <v>30</v>
      </c>
      <c r="L86" s="72">
        <v>30</v>
      </c>
      <c r="M86" s="72">
        <v>30</v>
      </c>
      <c r="N86" s="72">
        <v>30</v>
      </c>
      <c r="O86" s="72">
        <v>30</v>
      </c>
      <c r="P86" s="72">
        <v>30</v>
      </c>
      <c r="Q86" s="72">
        <v>30</v>
      </c>
      <c r="R86" s="72">
        <v>30</v>
      </c>
      <c r="S86" s="72">
        <v>30</v>
      </c>
      <c r="T86" s="72">
        <v>30</v>
      </c>
      <c r="U86" s="72">
        <v>30</v>
      </c>
      <c r="V86" s="72">
        <v>30</v>
      </c>
      <c r="W86" s="72">
        <v>30</v>
      </c>
      <c r="X86" s="72">
        <v>30</v>
      </c>
      <c r="Y86" s="72">
        <v>30</v>
      </c>
      <c r="Z86" s="72">
        <v>30</v>
      </c>
      <c r="AA86" s="72">
        <v>30</v>
      </c>
    </row>
    <row r="87" spans="1:27" x14ac:dyDescent="0.25">
      <c r="A87" s="71">
        <v>82</v>
      </c>
      <c r="B87" s="72">
        <v>30</v>
      </c>
      <c r="C87" s="72">
        <v>30</v>
      </c>
      <c r="D87" s="72">
        <v>30</v>
      </c>
      <c r="E87" s="72">
        <v>30</v>
      </c>
      <c r="F87" s="72">
        <v>30</v>
      </c>
      <c r="G87" s="72">
        <v>30</v>
      </c>
      <c r="H87" s="72">
        <v>30</v>
      </c>
      <c r="I87" s="72">
        <v>30</v>
      </c>
      <c r="J87" s="72">
        <v>30</v>
      </c>
      <c r="K87" s="72">
        <v>30</v>
      </c>
      <c r="L87" s="72">
        <v>30</v>
      </c>
      <c r="M87" s="72">
        <v>30</v>
      </c>
      <c r="N87" s="72">
        <v>30</v>
      </c>
      <c r="O87" s="72">
        <v>30</v>
      </c>
      <c r="P87" s="72">
        <v>30</v>
      </c>
      <c r="Q87" s="72">
        <v>30</v>
      </c>
      <c r="R87" s="72">
        <v>30</v>
      </c>
      <c r="S87" s="72">
        <v>30</v>
      </c>
      <c r="T87" s="72">
        <v>30</v>
      </c>
      <c r="U87" s="72">
        <v>30</v>
      </c>
      <c r="V87" s="72">
        <v>30</v>
      </c>
      <c r="W87" s="72">
        <v>30</v>
      </c>
      <c r="X87" s="72">
        <v>30</v>
      </c>
      <c r="Y87" s="72">
        <v>30</v>
      </c>
      <c r="Z87" s="72">
        <v>30</v>
      </c>
      <c r="AA87" s="72">
        <v>30</v>
      </c>
    </row>
    <row r="88" spans="1:27" x14ac:dyDescent="0.25">
      <c r="A88" s="71">
        <v>83</v>
      </c>
      <c r="B88" s="72">
        <v>30</v>
      </c>
      <c r="C88" s="72">
        <v>30</v>
      </c>
      <c r="D88" s="72">
        <v>30</v>
      </c>
      <c r="E88" s="72">
        <v>30</v>
      </c>
      <c r="F88" s="72">
        <v>30</v>
      </c>
      <c r="G88" s="72">
        <v>30</v>
      </c>
      <c r="H88" s="72">
        <v>30</v>
      </c>
      <c r="I88" s="72">
        <v>30</v>
      </c>
      <c r="J88" s="72">
        <v>30</v>
      </c>
      <c r="K88" s="72">
        <v>30</v>
      </c>
      <c r="L88" s="72">
        <v>30</v>
      </c>
      <c r="M88" s="72">
        <v>30</v>
      </c>
      <c r="N88" s="72">
        <v>30</v>
      </c>
      <c r="O88" s="72">
        <v>30</v>
      </c>
      <c r="P88" s="72">
        <v>30</v>
      </c>
      <c r="Q88" s="72">
        <v>30</v>
      </c>
      <c r="R88" s="72">
        <v>30</v>
      </c>
      <c r="S88" s="72">
        <v>30</v>
      </c>
      <c r="T88" s="72">
        <v>30</v>
      </c>
      <c r="U88" s="72">
        <v>30</v>
      </c>
      <c r="V88" s="72">
        <v>30</v>
      </c>
      <c r="W88" s="72">
        <v>30</v>
      </c>
      <c r="X88" s="72">
        <v>30</v>
      </c>
      <c r="Y88" s="72">
        <v>30</v>
      </c>
      <c r="Z88" s="72">
        <v>30</v>
      </c>
      <c r="AA88" s="72">
        <v>30</v>
      </c>
    </row>
    <row r="89" spans="1:27" x14ac:dyDescent="0.25">
      <c r="A89" s="71">
        <v>84</v>
      </c>
      <c r="B89" s="72">
        <v>30</v>
      </c>
      <c r="C89" s="72">
        <v>30</v>
      </c>
      <c r="D89" s="72">
        <v>30</v>
      </c>
      <c r="E89" s="72">
        <v>30</v>
      </c>
      <c r="F89" s="72">
        <v>30</v>
      </c>
      <c r="G89" s="72">
        <v>30</v>
      </c>
      <c r="H89" s="72">
        <v>30</v>
      </c>
      <c r="I89" s="72">
        <v>30</v>
      </c>
      <c r="J89" s="72">
        <v>30</v>
      </c>
      <c r="K89" s="72">
        <v>30</v>
      </c>
      <c r="L89" s="72">
        <v>30</v>
      </c>
      <c r="M89" s="72">
        <v>30</v>
      </c>
      <c r="N89" s="72">
        <v>30</v>
      </c>
      <c r="O89" s="72">
        <v>30</v>
      </c>
      <c r="P89" s="72">
        <v>30</v>
      </c>
      <c r="Q89" s="72">
        <v>30</v>
      </c>
      <c r="R89" s="72">
        <v>30</v>
      </c>
      <c r="S89" s="72">
        <v>30</v>
      </c>
      <c r="T89" s="72">
        <v>30</v>
      </c>
      <c r="U89" s="72">
        <v>30</v>
      </c>
      <c r="V89" s="72">
        <v>30</v>
      </c>
      <c r="W89" s="72">
        <v>30</v>
      </c>
      <c r="X89" s="72">
        <v>30</v>
      </c>
      <c r="Y89" s="72">
        <v>30</v>
      </c>
      <c r="Z89" s="72">
        <v>30</v>
      </c>
      <c r="AA89" s="72">
        <v>30</v>
      </c>
    </row>
    <row r="90" spans="1:27" x14ac:dyDescent="0.25">
      <c r="A90" s="71">
        <v>85</v>
      </c>
      <c r="B90" s="72">
        <v>30</v>
      </c>
      <c r="C90" s="72">
        <v>30</v>
      </c>
      <c r="D90" s="72">
        <v>30</v>
      </c>
      <c r="E90" s="72">
        <v>30</v>
      </c>
      <c r="F90" s="72">
        <v>30</v>
      </c>
      <c r="G90" s="72">
        <v>30</v>
      </c>
      <c r="H90" s="72">
        <v>30</v>
      </c>
      <c r="I90" s="72">
        <v>30</v>
      </c>
      <c r="J90" s="72">
        <v>30</v>
      </c>
      <c r="K90" s="72">
        <v>30</v>
      </c>
      <c r="L90" s="72">
        <v>30</v>
      </c>
      <c r="M90" s="72">
        <v>30</v>
      </c>
      <c r="N90" s="72">
        <v>30</v>
      </c>
      <c r="O90" s="72">
        <v>30</v>
      </c>
      <c r="P90" s="72">
        <v>30</v>
      </c>
      <c r="Q90" s="72">
        <v>30</v>
      </c>
      <c r="R90" s="72">
        <v>30</v>
      </c>
      <c r="S90" s="72">
        <v>30</v>
      </c>
      <c r="T90" s="72">
        <v>30</v>
      </c>
      <c r="U90" s="72">
        <v>30</v>
      </c>
      <c r="V90" s="72">
        <v>30</v>
      </c>
      <c r="W90" s="72">
        <v>30</v>
      </c>
      <c r="X90" s="72">
        <v>30</v>
      </c>
      <c r="Y90" s="72">
        <v>30</v>
      </c>
      <c r="Z90" s="72">
        <v>30</v>
      </c>
      <c r="AA90" s="72">
        <v>30</v>
      </c>
    </row>
    <row r="91" spans="1:27" x14ac:dyDescent="0.25">
      <c r="A91" s="71">
        <v>86</v>
      </c>
      <c r="B91" s="72">
        <v>30</v>
      </c>
      <c r="C91" s="72">
        <v>30</v>
      </c>
      <c r="D91" s="72">
        <v>30</v>
      </c>
      <c r="E91" s="72">
        <v>30</v>
      </c>
      <c r="F91" s="72">
        <v>30</v>
      </c>
      <c r="G91" s="72">
        <v>30</v>
      </c>
      <c r="H91" s="72">
        <v>30</v>
      </c>
      <c r="I91" s="72">
        <v>30</v>
      </c>
      <c r="J91" s="72">
        <v>30</v>
      </c>
      <c r="K91" s="72">
        <v>30</v>
      </c>
      <c r="L91" s="72">
        <v>30</v>
      </c>
      <c r="M91" s="72">
        <v>30</v>
      </c>
      <c r="N91" s="72">
        <v>30</v>
      </c>
      <c r="O91" s="72">
        <v>30</v>
      </c>
      <c r="P91" s="72">
        <v>30</v>
      </c>
      <c r="Q91" s="72">
        <v>30</v>
      </c>
      <c r="R91" s="72">
        <v>30</v>
      </c>
      <c r="S91" s="72">
        <v>30</v>
      </c>
      <c r="T91" s="72">
        <v>30</v>
      </c>
      <c r="U91" s="72">
        <v>30</v>
      </c>
      <c r="V91" s="72">
        <v>30</v>
      </c>
      <c r="W91" s="72">
        <v>30</v>
      </c>
      <c r="X91" s="72">
        <v>30</v>
      </c>
      <c r="Y91" s="72">
        <v>30</v>
      </c>
      <c r="Z91" s="72">
        <v>30</v>
      </c>
      <c r="AA91" s="72">
        <v>30</v>
      </c>
    </row>
    <row r="92" spans="1:27" x14ac:dyDescent="0.25">
      <c r="A92" s="71">
        <v>87</v>
      </c>
      <c r="B92" s="72">
        <v>30</v>
      </c>
      <c r="C92" s="72">
        <v>30</v>
      </c>
      <c r="D92" s="72">
        <v>30</v>
      </c>
      <c r="E92" s="72">
        <v>30</v>
      </c>
      <c r="F92" s="72">
        <v>30</v>
      </c>
      <c r="G92" s="72">
        <v>30</v>
      </c>
      <c r="H92" s="72">
        <v>30</v>
      </c>
      <c r="I92" s="72">
        <v>30</v>
      </c>
      <c r="J92" s="72">
        <v>30</v>
      </c>
      <c r="K92" s="72">
        <v>30</v>
      </c>
      <c r="L92" s="72">
        <v>30</v>
      </c>
      <c r="M92" s="72">
        <v>30</v>
      </c>
      <c r="N92" s="72">
        <v>30</v>
      </c>
      <c r="O92" s="72">
        <v>30</v>
      </c>
      <c r="P92" s="72">
        <v>30</v>
      </c>
      <c r="Q92" s="72">
        <v>30</v>
      </c>
      <c r="R92" s="72">
        <v>30</v>
      </c>
      <c r="S92" s="72">
        <v>30</v>
      </c>
      <c r="T92" s="72">
        <v>30</v>
      </c>
      <c r="U92" s="72">
        <v>30</v>
      </c>
      <c r="V92" s="72">
        <v>30</v>
      </c>
      <c r="W92" s="72">
        <v>30</v>
      </c>
      <c r="X92" s="72">
        <v>30</v>
      </c>
      <c r="Y92" s="72">
        <v>30</v>
      </c>
      <c r="Z92" s="72">
        <v>30</v>
      </c>
      <c r="AA92" s="72">
        <v>30</v>
      </c>
    </row>
    <row r="93" spans="1:27" x14ac:dyDescent="0.25">
      <c r="A93" s="71">
        <v>88</v>
      </c>
      <c r="B93" s="72">
        <v>30</v>
      </c>
      <c r="C93" s="72">
        <v>30</v>
      </c>
      <c r="D93" s="72">
        <v>30</v>
      </c>
      <c r="E93" s="72">
        <v>30</v>
      </c>
      <c r="F93" s="72">
        <v>30</v>
      </c>
      <c r="G93" s="72">
        <v>30</v>
      </c>
      <c r="H93" s="72">
        <v>30</v>
      </c>
      <c r="I93" s="72">
        <v>30</v>
      </c>
      <c r="J93" s="72">
        <v>30</v>
      </c>
      <c r="K93" s="72">
        <v>30</v>
      </c>
      <c r="L93" s="72">
        <v>30</v>
      </c>
      <c r="M93" s="72">
        <v>30</v>
      </c>
      <c r="N93" s="72">
        <v>30</v>
      </c>
      <c r="O93" s="72">
        <v>30</v>
      </c>
      <c r="P93" s="72">
        <v>30</v>
      </c>
      <c r="Q93" s="72">
        <v>30</v>
      </c>
      <c r="R93" s="72">
        <v>30</v>
      </c>
      <c r="S93" s="72">
        <v>30</v>
      </c>
      <c r="T93" s="72">
        <v>30</v>
      </c>
      <c r="U93" s="72">
        <v>30</v>
      </c>
      <c r="V93" s="72">
        <v>30</v>
      </c>
      <c r="W93" s="72">
        <v>30</v>
      </c>
      <c r="X93" s="72">
        <v>30</v>
      </c>
      <c r="Y93" s="72">
        <v>30</v>
      </c>
      <c r="Z93" s="72">
        <v>30</v>
      </c>
      <c r="AA93" s="72">
        <v>30</v>
      </c>
    </row>
    <row r="94" spans="1:27" x14ac:dyDescent="0.25">
      <c r="A94" s="71">
        <v>89</v>
      </c>
      <c r="B94" s="72">
        <v>30</v>
      </c>
      <c r="C94" s="72">
        <v>30</v>
      </c>
      <c r="D94" s="72">
        <v>30</v>
      </c>
      <c r="E94" s="72">
        <v>30</v>
      </c>
      <c r="F94" s="72">
        <v>30</v>
      </c>
      <c r="G94" s="72">
        <v>30</v>
      </c>
      <c r="H94" s="72">
        <v>30</v>
      </c>
      <c r="I94" s="72">
        <v>30</v>
      </c>
      <c r="J94" s="72">
        <v>30</v>
      </c>
      <c r="K94" s="72">
        <v>30</v>
      </c>
      <c r="L94" s="72">
        <v>30</v>
      </c>
      <c r="M94" s="72">
        <v>30</v>
      </c>
      <c r="N94" s="72">
        <v>30</v>
      </c>
      <c r="O94" s="72">
        <v>30</v>
      </c>
      <c r="P94" s="72">
        <v>30</v>
      </c>
      <c r="Q94" s="72">
        <v>30</v>
      </c>
      <c r="R94" s="72">
        <v>30</v>
      </c>
      <c r="S94" s="72">
        <v>30</v>
      </c>
      <c r="T94" s="72">
        <v>30</v>
      </c>
      <c r="U94" s="72">
        <v>30</v>
      </c>
      <c r="V94" s="72">
        <v>30</v>
      </c>
      <c r="W94" s="72">
        <v>30</v>
      </c>
      <c r="X94" s="72">
        <v>30</v>
      </c>
      <c r="Y94" s="72">
        <v>30</v>
      </c>
      <c r="Z94" s="72">
        <v>30</v>
      </c>
      <c r="AA94" s="72">
        <v>30</v>
      </c>
    </row>
    <row r="95" spans="1:27" x14ac:dyDescent="0.25">
      <c r="A95" s="84" t="s">
        <v>842</v>
      </c>
      <c r="B95" s="72">
        <v>30</v>
      </c>
      <c r="C95" s="72">
        <v>30</v>
      </c>
      <c r="D95" s="72">
        <v>30</v>
      </c>
      <c r="E95" s="72">
        <v>30</v>
      </c>
      <c r="F95" s="72">
        <v>30</v>
      </c>
      <c r="G95" s="72">
        <v>30</v>
      </c>
      <c r="H95" s="72">
        <v>30</v>
      </c>
      <c r="I95" s="72">
        <v>30</v>
      </c>
      <c r="J95" s="72">
        <v>30</v>
      </c>
      <c r="K95" s="72">
        <v>30</v>
      </c>
      <c r="L95" s="72">
        <v>30</v>
      </c>
      <c r="M95" s="72">
        <v>30</v>
      </c>
      <c r="N95" s="72">
        <v>30</v>
      </c>
      <c r="O95" s="72">
        <v>30</v>
      </c>
      <c r="P95" s="72">
        <v>30</v>
      </c>
      <c r="Q95" s="72">
        <v>30</v>
      </c>
      <c r="R95" s="72">
        <v>30</v>
      </c>
      <c r="S95" s="72">
        <v>30</v>
      </c>
      <c r="T95" s="72">
        <v>30</v>
      </c>
      <c r="U95" s="72">
        <v>30</v>
      </c>
      <c r="V95" s="72">
        <v>30</v>
      </c>
      <c r="W95" s="72">
        <v>30</v>
      </c>
      <c r="X95" s="72">
        <v>30</v>
      </c>
      <c r="Y95" s="72">
        <v>30</v>
      </c>
      <c r="Z95" s="72">
        <v>30</v>
      </c>
      <c r="AA95" s="72">
        <v>30</v>
      </c>
    </row>
  </sheetData>
  <sheetProtection algorithmName="SHA-512" hashValue="D6Y6yILLBPTBUxWBFEXl+CQYZcQfQb24euZfBjIso4TFCFtA8yWUDS7ZwToT9/mU/ySZ3qrDqkC0c3HYTZjkIA==" saltValue="RkNs3MXGLaO7j/0bPtOmtA==" spinCount="100000" sheet="1" objects="1" scenarios="1"/>
  <conditionalFormatting sqref="A6:A21">
    <cfRule type="expression" dxfId="25" priority="9" stopIfTrue="1">
      <formula>MOD(ROW(),2)=0</formula>
    </cfRule>
    <cfRule type="expression" dxfId="24" priority="10" stopIfTrue="1">
      <formula>MOD(ROW(),2)&lt;&gt;0</formula>
    </cfRule>
  </conditionalFormatting>
  <conditionalFormatting sqref="A26:A95">
    <cfRule type="expression" dxfId="23" priority="17" stopIfTrue="1">
      <formula>MOD(ROW(),2)=0</formula>
    </cfRule>
    <cfRule type="expression" dxfId="22" priority="18" stopIfTrue="1">
      <formula>MOD(ROW(),2)&lt;&gt;0</formula>
    </cfRule>
  </conditionalFormatting>
  <conditionalFormatting sqref="B17:B21">
    <cfRule type="expression" dxfId="21" priority="5" stopIfTrue="1">
      <formula>MOD(ROW(),2)=0</formula>
    </cfRule>
    <cfRule type="expression" dxfId="20" priority="6" stopIfTrue="1">
      <formula>MOD(ROW(),2)&lt;&gt;0</formula>
    </cfRule>
  </conditionalFormatting>
  <conditionalFormatting sqref="B6:AA21">
    <cfRule type="expression" dxfId="19" priority="27" stopIfTrue="1">
      <formula>MOD(ROW(),2)=0</formula>
    </cfRule>
    <cfRule type="expression" dxfId="18" priority="28" stopIfTrue="1">
      <formula>MOD(ROW(),2)&lt;&gt;0</formula>
    </cfRule>
  </conditionalFormatting>
  <conditionalFormatting sqref="B26:AA95">
    <cfRule type="expression" dxfId="17" priority="1" stopIfTrue="1">
      <formula>MOD(ROW(),2)=0</formula>
    </cfRule>
    <cfRule type="expression" dxfId="16" priority="2" stopIfTrue="1">
      <formula>MOD(ROW(),2)&lt;&gt;0</formula>
    </cfRule>
  </conditionalFormatting>
  <conditionalFormatting sqref="C6:AA21">
    <cfRule type="expression" dxfId="15" priority="23" stopIfTrue="1">
      <formula>MOD(ROW(),2)=0</formula>
    </cfRule>
    <cfRule type="expression" dxfId="14" priority="24" stopIfTrue="1">
      <formula>MOD(ROW(),2)&lt;&gt;0</formula>
    </cfRule>
  </conditionalFormatting>
  <hyperlinks>
    <hyperlink ref="B24" location="Assumptions!A1" display="Assumptions" xr:uid="{9D8D0F75-82A6-48C6-879B-E22B25F056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68C5-9F36-4134-A8CB-257EBEC378C8}">
  <sheetPr codeName="Sheet126">
    <pageSetUpPr fitToPage="1"/>
  </sheetPr>
  <dimension ref="A1:I29"/>
  <sheetViews>
    <sheetView showGridLines="0" zoomScale="85" zoomScaleNormal="85" workbookViewId="0">
      <selection activeCell="F33" sqref="F33"/>
    </sheetView>
  </sheetViews>
  <sheetFormatPr defaultColWidth="10" defaultRowHeight="12.5" x14ac:dyDescent="0.25"/>
  <cols>
    <col min="1" max="1" width="31.6328125" style="26" customWidth="1"/>
    <col min="2" max="2" width="37.45312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NHSPS_EW - Consolidated Factor Spreadsheet</v>
      </c>
      <c r="B2" s="40"/>
      <c r="C2" s="40"/>
      <c r="D2" s="40"/>
      <c r="E2" s="40"/>
      <c r="F2" s="40"/>
      <c r="G2" s="40"/>
      <c r="H2" s="40"/>
      <c r="I2" s="40"/>
    </row>
    <row r="3" spans="1:9" ht="15.5" x14ac:dyDescent="0.35">
      <c r="A3" s="41" t="str">
        <f>TABLE_FACTOR_TYPE_1&amp;" - x-"&amp;TABLE_SERIES_NUMBER_1</f>
        <v>Abatement - x-827</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687</v>
      </c>
    </row>
    <row r="9" spans="1:9" x14ac:dyDescent="0.25">
      <c r="A9" s="77" t="s">
        <v>280</v>
      </c>
      <c r="B9" s="161" t="s">
        <v>657</v>
      </c>
    </row>
    <row r="10" spans="1:9" x14ac:dyDescent="0.25">
      <c r="A10" s="77" t="s">
        <v>6</v>
      </c>
      <c r="B10" s="161" t="s">
        <v>688</v>
      </c>
    </row>
    <row r="11" spans="1:9" x14ac:dyDescent="0.25">
      <c r="A11" s="77" t="s">
        <v>283</v>
      </c>
      <c r="B11" s="161" t="s">
        <v>355</v>
      </c>
    </row>
    <row r="12" spans="1:9" x14ac:dyDescent="0.25">
      <c r="A12" s="77" t="s">
        <v>285</v>
      </c>
      <c r="B12" s="161" t="s">
        <v>470</v>
      </c>
    </row>
    <row r="13" spans="1:9" x14ac:dyDescent="0.25">
      <c r="A13" s="77" t="s">
        <v>287</v>
      </c>
      <c r="B13" s="161">
        <v>1</v>
      </c>
    </row>
    <row r="14" spans="1:9" x14ac:dyDescent="0.25">
      <c r="A14" s="77" t="s">
        <v>289</v>
      </c>
      <c r="B14" s="161">
        <v>827</v>
      </c>
    </row>
    <row r="15" spans="1:9" x14ac:dyDescent="0.25">
      <c r="A15" s="77" t="s">
        <v>291</v>
      </c>
      <c r="B15" s="161" t="s">
        <v>689</v>
      </c>
    </row>
    <row r="16" spans="1:9" x14ac:dyDescent="0.25">
      <c r="A16" s="77" t="s">
        <v>293</v>
      </c>
      <c r="B16" s="161" t="s">
        <v>690</v>
      </c>
    </row>
    <row r="17" spans="1:2" x14ac:dyDescent="0.25">
      <c r="A17" s="77" t="s">
        <v>760</v>
      </c>
      <c r="B17" s="161"/>
    </row>
    <row r="18" spans="1:2" x14ac:dyDescent="0.25">
      <c r="A18" s="77" t="s">
        <v>297</v>
      </c>
      <c r="B18" s="163">
        <v>45135</v>
      </c>
    </row>
    <row r="19" spans="1:2" x14ac:dyDescent="0.25">
      <c r="A19" s="77" t="s">
        <v>299</v>
      </c>
      <c r="B19" s="163">
        <v>45170</v>
      </c>
    </row>
    <row r="20" spans="1:2" x14ac:dyDescent="0.25">
      <c r="A20" s="77" t="s">
        <v>301</v>
      </c>
      <c r="B20" s="161" t="s">
        <v>314</v>
      </c>
    </row>
    <row r="21" spans="1:2" x14ac:dyDescent="0.25">
      <c r="A21" s="77" t="s">
        <v>307</v>
      </c>
      <c r="B21" s="161" t="s">
        <v>315</v>
      </c>
    </row>
    <row r="22" spans="1:2" x14ac:dyDescent="0.25">
      <c r="B22" s="100"/>
    </row>
    <row r="23" spans="1:2" x14ac:dyDescent="0.25">
      <c r="B23" s="100" t="str">
        <f>HYPERLINK("#'Factor List'!A1","Back to Factor List")</f>
        <v>Back to Factor List</v>
      </c>
    </row>
    <row r="24" spans="1:2" x14ac:dyDescent="0.25">
      <c r="B24" s="100" t="s">
        <v>13</v>
      </c>
    </row>
    <row r="26" spans="1:2" ht="13" x14ac:dyDescent="0.25">
      <c r="A26" s="150" t="s">
        <v>843</v>
      </c>
      <c r="B26" s="150" t="s">
        <v>801</v>
      </c>
    </row>
    <row r="27" spans="1:2" x14ac:dyDescent="0.25">
      <c r="A27" s="151">
        <v>55</v>
      </c>
      <c r="B27" s="153">
        <v>1</v>
      </c>
    </row>
    <row r="28" spans="1:2" x14ac:dyDescent="0.25">
      <c r="A28" s="151">
        <v>60</v>
      </c>
      <c r="B28" s="153">
        <v>1.25</v>
      </c>
    </row>
    <row r="29" spans="1:2" x14ac:dyDescent="0.25">
      <c r="A29" s="151">
        <v>65</v>
      </c>
      <c r="B29" s="153">
        <v>1.597</v>
      </c>
    </row>
  </sheetData>
  <sheetProtection algorithmName="SHA-512" hashValue="mwP60B1CZj0kLgSIAF/D6LxaQp2+j3aJAsabjlI7x8mXMaUeqWdXuq7IsVjP/hZxtUozNalkSVxsXsGok6gnZQ==" saltValue="IjAXrrrO51p7/YoXezMhCg==" spinCount="100000" sheet="1" objects="1" scenarios="1"/>
  <conditionalFormatting sqref="A6:A21">
    <cfRule type="expression" dxfId="13" priority="27" stopIfTrue="1">
      <formula>MOD(ROW(),2)=0</formula>
    </cfRule>
    <cfRule type="expression" dxfId="12" priority="28" stopIfTrue="1">
      <formula>MOD(ROW(),2)&lt;&gt;0</formula>
    </cfRule>
  </conditionalFormatting>
  <conditionalFormatting sqref="A26:A29">
    <cfRule type="expression" dxfId="11" priority="23" stopIfTrue="1">
      <formula>MOD(ROW(),2)=0</formula>
    </cfRule>
    <cfRule type="expression" dxfId="10" priority="24" stopIfTrue="1">
      <formula>MOD(ROW(),2)&lt;&gt;0</formula>
    </cfRule>
  </conditionalFormatting>
  <conditionalFormatting sqref="B6">
    <cfRule type="expression" dxfId="9" priority="34" stopIfTrue="1">
      <formula>MOD(ROW(),2)&lt;&gt;0</formula>
    </cfRule>
    <cfRule type="expression" dxfId="8" priority="33" stopIfTrue="1">
      <formula>MOD(ROW(),2)=0</formula>
    </cfRule>
  </conditionalFormatting>
  <conditionalFormatting sqref="B6:B21">
    <cfRule type="expression" dxfId="7" priority="21" stopIfTrue="1">
      <formula>MOD(ROW(),2)=0</formula>
    </cfRule>
    <cfRule type="expression" dxfId="6" priority="22" stopIfTrue="1">
      <formula>MOD(ROW(),2)&lt;&gt;0</formula>
    </cfRule>
  </conditionalFormatting>
  <conditionalFormatting sqref="B12">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fRule type="expression" dxfId="5" priority="1" stopIfTrue="1">
      <formula>MOD(ROW(),2)=0</formula>
    </cfRule>
    <cfRule type="expression" dxfId="4"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onditionalFormatting>
  <conditionalFormatting sqref="B17:B21">
    <cfRule type="expression" dxfId="3" priority="17" stopIfTrue="1">
      <formula>MOD(ROW(),2)=0</formula>
    </cfRule>
    <cfRule type="expression" dxfId="2" priority="18" stopIfTrue="1">
      <formula>MOD(ROW(),2)&lt;&gt;0</formula>
    </cfRule>
  </conditionalFormatting>
  <conditionalFormatting sqref="B26:B29">
    <cfRule type="expression" dxfId="1" priority="25" stopIfTrue="1">
      <formula>MOD(ROW(),2)=0</formula>
    </cfRule>
    <cfRule type="expression" dxfId="0" priority="26" stopIfTrue="1">
      <formula>MOD(ROW(),2)&lt;&gt;0</formula>
    </cfRule>
  </conditionalFormatting>
  <hyperlinks>
    <hyperlink ref="B24" location="Assumptions!A1" display="Assumptions" xr:uid="{9919CE37-7DFE-4F54-8352-446AD1B154EB}"/>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A947-34F6-4083-9E10-D34EA76FF9C8}">
  <sheetPr codeName="Sheet7"/>
  <dimension ref="A1:I78"/>
  <sheetViews>
    <sheetView showGridLines="0" zoomScale="85" zoomScaleNormal="85" workbookViewId="0">
      <selection activeCell="A4" sqref="A4"/>
    </sheetView>
  </sheetViews>
  <sheetFormatPr defaultColWidth="8.6328125" defaultRowHeight="12.5" x14ac:dyDescent="0.25"/>
  <cols>
    <col min="1" max="1" width="31.453125" style="26" customWidth="1"/>
    <col min="2" max="2" width="31.54296875" style="26" customWidth="1"/>
    <col min="3" max="16384" width="8.6328125" style="26"/>
  </cols>
  <sheetData>
    <row r="1" spans="1:9" ht="20" x14ac:dyDescent="0.4">
      <c r="A1" s="37" t="s">
        <v>0</v>
      </c>
      <c r="B1" s="38"/>
      <c r="C1" s="38"/>
      <c r="D1" s="38"/>
      <c r="E1" s="38"/>
      <c r="F1" s="38"/>
      <c r="G1" s="38"/>
      <c r="H1" s="38"/>
      <c r="I1" s="38"/>
    </row>
    <row r="2" spans="1:9" ht="15.5" x14ac:dyDescent="0.35">
      <c r="A2" s="88"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Club - CARE Benefit Adjustment Factors  - x-104</v>
      </c>
      <c r="B3" s="40"/>
      <c r="C3" s="40"/>
      <c r="D3" s="40"/>
      <c r="E3" s="40"/>
      <c r="F3" s="40"/>
      <c r="G3" s="40"/>
      <c r="H3" s="40"/>
      <c r="I3" s="40"/>
    </row>
    <row r="4" spans="1:9" x14ac:dyDescent="0.25">
      <c r="A4" s="42"/>
    </row>
    <row r="6" spans="1:9" ht="13" x14ac:dyDescent="0.3">
      <c r="A6" s="75" t="s">
        <v>274</v>
      </c>
      <c r="B6" s="114" t="s">
        <v>275</v>
      </c>
      <c r="C6" s="76"/>
      <c r="D6" s="76"/>
      <c r="E6" s="76"/>
      <c r="F6" s="76"/>
    </row>
    <row r="7" spans="1:9" x14ac:dyDescent="0.25">
      <c r="A7" s="77" t="s">
        <v>276</v>
      </c>
      <c r="B7" s="114" t="s">
        <v>72</v>
      </c>
      <c r="C7" s="78"/>
      <c r="D7" s="78"/>
      <c r="E7" s="78"/>
      <c r="F7" s="78"/>
    </row>
    <row r="8" spans="1:9" x14ac:dyDescent="0.25">
      <c r="A8" s="77" t="s">
        <v>278</v>
      </c>
      <c r="B8" s="114" t="s">
        <v>73</v>
      </c>
      <c r="C8" s="78"/>
      <c r="D8" s="78"/>
      <c r="E8" s="78"/>
      <c r="F8" s="78"/>
    </row>
    <row r="9" spans="1:9" ht="14.15" customHeight="1" x14ac:dyDescent="0.25">
      <c r="A9" s="77" t="s">
        <v>280</v>
      </c>
      <c r="B9" s="114" t="s">
        <v>308</v>
      </c>
      <c r="C9" s="78"/>
      <c r="D9" s="78"/>
      <c r="E9" s="78"/>
      <c r="F9" s="78"/>
    </row>
    <row r="10" spans="1:9" ht="14.15" customHeight="1" x14ac:dyDescent="0.25">
      <c r="A10" s="77" t="s">
        <v>6</v>
      </c>
      <c r="B10" s="114" t="s">
        <v>322</v>
      </c>
      <c r="C10" s="78"/>
      <c r="D10" s="78"/>
      <c r="E10" s="78"/>
      <c r="F10" s="78"/>
    </row>
    <row r="11" spans="1:9" ht="14.15" customHeight="1" x14ac:dyDescent="0.25">
      <c r="A11" s="77" t="s">
        <v>283</v>
      </c>
      <c r="B11" s="114" t="s">
        <v>310</v>
      </c>
      <c r="C11" s="78"/>
      <c r="D11" s="78"/>
      <c r="E11" s="78"/>
      <c r="F11" s="78"/>
    </row>
    <row r="12" spans="1:9" ht="14.15" customHeight="1" x14ac:dyDescent="0.25">
      <c r="A12" s="77" t="s">
        <v>285</v>
      </c>
      <c r="B12" s="114" t="s">
        <v>311</v>
      </c>
      <c r="C12" s="78"/>
      <c r="D12" s="78"/>
      <c r="E12" s="78"/>
      <c r="F12" s="78"/>
    </row>
    <row r="13" spans="1:9" ht="14.15" customHeight="1" x14ac:dyDescent="0.25">
      <c r="A13" s="77" t="s">
        <v>287</v>
      </c>
      <c r="B13" s="114">
        <v>0</v>
      </c>
      <c r="C13" s="78"/>
      <c r="D13" s="78"/>
      <c r="E13" s="78"/>
      <c r="F13" s="78"/>
    </row>
    <row r="14" spans="1:9" ht="14.15" customHeight="1" x14ac:dyDescent="0.25">
      <c r="A14" s="77" t="s">
        <v>289</v>
      </c>
      <c r="B14" s="114">
        <v>104</v>
      </c>
      <c r="C14" s="78"/>
      <c r="D14" s="78"/>
      <c r="E14" s="78"/>
      <c r="F14" s="78"/>
    </row>
    <row r="15" spans="1:9" ht="14.15" customHeight="1" x14ac:dyDescent="0.25">
      <c r="A15" s="77" t="s">
        <v>291</v>
      </c>
      <c r="B15" s="114" t="s">
        <v>323</v>
      </c>
      <c r="C15" s="78"/>
      <c r="D15" s="78"/>
      <c r="E15" s="78"/>
      <c r="F15" s="78"/>
    </row>
    <row r="16" spans="1:9" ht="14.15" customHeight="1" x14ac:dyDescent="0.25">
      <c r="A16" s="77" t="s">
        <v>293</v>
      </c>
      <c r="B16" s="114" t="s">
        <v>324</v>
      </c>
      <c r="C16" s="78"/>
      <c r="D16" s="78"/>
      <c r="E16" s="78"/>
      <c r="F16" s="78"/>
    </row>
    <row r="17" spans="1:6" ht="25.4" customHeight="1" x14ac:dyDescent="0.25">
      <c r="A17" s="74" t="s">
        <v>760</v>
      </c>
      <c r="B17" s="114"/>
      <c r="C17" s="78"/>
      <c r="D17" s="78"/>
      <c r="E17" s="78"/>
      <c r="F17" s="78"/>
    </row>
    <row r="18" spans="1:6" ht="14.15" customHeight="1" x14ac:dyDescent="0.25">
      <c r="A18" s="77" t="s">
        <v>297</v>
      </c>
      <c r="B18" s="162">
        <v>45202</v>
      </c>
      <c r="C18" s="85"/>
      <c r="D18" s="85"/>
      <c r="E18" s="85"/>
      <c r="F18" s="85"/>
    </row>
    <row r="19" spans="1:6" ht="14.15" customHeight="1" x14ac:dyDescent="0.25">
      <c r="A19" s="77" t="s">
        <v>299</v>
      </c>
      <c r="B19" s="162">
        <v>45200</v>
      </c>
      <c r="C19" s="85"/>
      <c r="D19" s="85"/>
      <c r="E19" s="85"/>
      <c r="F19" s="85"/>
    </row>
    <row r="20" spans="1:6" ht="14.15" customHeight="1" x14ac:dyDescent="0.25">
      <c r="A20" s="77" t="s">
        <v>301</v>
      </c>
      <c r="B20" s="114" t="s">
        <v>314</v>
      </c>
      <c r="C20" s="78"/>
      <c r="D20" s="78"/>
      <c r="E20" s="78"/>
      <c r="F20" s="78"/>
    </row>
    <row r="21" spans="1:6" x14ac:dyDescent="0.25">
      <c r="A21" s="77" t="s">
        <v>307</v>
      </c>
      <c r="B21" s="114" t="s">
        <v>315</v>
      </c>
      <c r="C21" s="78"/>
      <c r="D21" s="78"/>
      <c r="E21" s="78"/>
      <c r="F21" s="78"/>
    </row>
    <row r="23" spans="1:6" x14ac:dyDescent="0.25">
      <c r="B23" s="100" t="str">
        <f>HYPERLINK("#'Factor List'!A1","Back to Factor List")</f>
        <v>Back to Factor List</v>
      </c>
    </row>
    <row r="24" spans="1:6" x14ac:dyDescent="0.25">
      <c r="B24" s="100" t="s">
        <v>13</v>
      </c>
    </row>
    <row r="25" spans="1:6" x14ac:dyDescent="0.25">
      <c r="B25" s="100"/>
    </row>
    <row r="26" spans="1:6" ht="13" x14ac:dyDescent="0.25">
      <c r="A26" s="79" t="s">
        <v>371</v>
      </c>
      <c r="B26" s="156" t="s">
        <v>761</v>
      </c>
    </row>
    <row r="27" spans="1:6" x14ac:dyDescent="0.25">
      <c r="A27" s="80">
        <v>16</v>
      </c>
      <c r="B27" s="81">
        <v>1.0269999999999999</v>
      </c>
    </row>
    <row r="28" spans="1:6" x14ac:dyDescent="0.25">
      <c r="A28" s="80">
        <f>A27+1</f>
        <v>17</v>
      </c>
      <c r="B28" s="81">
        <v>1.0269999999999999</v>
      </c>
    </row>
    <row r="29" spans="1:6" x14ac:dyDescent="0.25">
      <c r="A29" s="80">
        <f t="shared" ref="A29:A78" si="0">A28+1</f>
        <v>18</v>
      </c>
      <c r="B29" s="81">
        <v>1.0269999999999999</v>
      </c>
    </row>
    <row r="30" spans="1:6" x14ac:dyDescent="0.25">
      <c r="A30" s="80">
        <f t="shared" si="0"/>
        <v>19</v>
      </c>
      <c r="B30" s="81">
        <v>1.0269999999999999</v>
      </c>
    </row>
    <row r="31" spans="1:6" x14ac:dyDescent="0.25">
      <c r="A31" s="80">
        <f t="shared" si="0"/>
        <v>20</v>
      </c>
      <c r="B31" s="81">
        <v>1.0269999999999999</v>
      </c>
    </row>
    <row r="32" spans="1:6" x14ac:dyDescent="0.25">
      <c r="A32" s="80">
        <f t="shared" si="0"/>
        <v>21</v>
      </c>
      <c r="B32" s="81">
        <v>1.0269999999999999</v>
      </c>
    </row>
    <row r="33" spans="1:2" x14ac:dyDescent="0.25">
      <c r="A33" s="80">
        <f t="shared" si="0"/>
        <v>22</v>
      </c>
      <c r="B33" s="81">
        <v>1.0269999999999999</v>
      </c>
    </row>
    <row r="34" spans="1:2" x14ac:dyDescent="0.25">
      <c r="A34" s="80">
        <f t="shared" si="0"/>
        <v>23</v>
      </c>
      <c r="B34" s="81">
        <v>1.0269999999999999</v>
      </c>
    </row>
    <row r="35" spans="1:2" x14ac:dyDescent="0.25">
      <c r="A35" s="80">
        <f t="shared" si="0"/>
        <v>24</v>
      </c>
      <c r="B35" s="81">
        <v>1.0269999999999999</v>
      </c>
    </row>
    <row r="36" spans="1:2" x14ac:dyDescent="0.25">
      <c r="A36" s="80">
        <f>A35+1</f>
        <v>25</v>
      </c>
      <c r="B36" s="81">
        <v>1.0269999999999999</v>
      </c>
    </row>
    <row r="37" spans="1:2" x14ac:dyDescent="0.25">
      <c r="A37" s="80">
        <f t="shared" si="0"/>
        <v>26</v>
      </c>
      <c r="B37" s="81">
        <v>1.0269999999999999</v>
      </c>
    </row>
    <row r="38" spans="1:2" x14ac:dyDescent="0.25">
      <c r="A38" s="80">
        <f t="shared" si="0"/>
        <v>27</v>
      </c>
      <c r="B38" s="81">
        <v>1.0269999999999999</v>
      </c>
    </row>
    <row r="39" spans="1:2" x14ac:dyDescent="0.25">
      <c r="A39" s="80">
        <f t="shared" si="0"/>
        <v>28</v>
      </c>
      <c r="B39" s="81">
        <v>1.0269999999999999</v>
      </c>
    </row>
    <row r="40" spans="1:2" x14ac:dyDescent="0.25">
      <c r="A40" s="80">
        <f>A39+1</f>
        <v>29</v>
      </c>
      <c r="B40" s="81">
        <v>1.0269999999999999</v>
      </c>
    </row>
    <row r="41" spans="1:2" x14ac:dyDescent="0.25">
      <c r="A41" s="80">
        <f t="shared" si="0"/>
        <v>30</v>
      </c>
      <c r="B41" s="81">
        <v>1.0269999999999999</v>
      </c>
    </row>
    <row r="42" spans="1:2" x14ac:dyDescent="0.25">
      <c r="A42" s="80">
        <f t="shared" si="0"/>
        <v>31</v>
      </c>
      <c r="B42" s="81">
        <v>1.0269999999999999</v>
      </c>
    </row>
    <row r="43" spans="1:2" x14ac:dyDescent="0.25">
      <c r="A43" s="80">
        <f t="shared" si="0"/>
        <v>32</v>
      </c>
      <c r="B43" s="81">
        <v>1.0269999999999999</v>
      </c>
    </row>
    <row r="44" spans="1:2" x14ac:dyDescent="0.25">
      <c r="A44" s="80">
        <f t="shared" si="0"/>
        <v>33</v>
      </c>
      <c r="B44" s="81">
        <v>1.0269999999999999</v>
      </c>
    </row>
    <row r="45" spans="1:2" x14ac:dyDescent="0.25">
      <c r="A45" s="80">
        <f t="shared" si="0"/>
        <v>34</v>
      </c>
      <c r="B45" s="81">
        <v>1.0269999999999999</v>
      </c>
    </row>
    <row r="46" spans="1:2" x14ac:dyDescent="0.25">
      <c r="A46" s="80">
        <f t="shared" si="0"/>
        <v>35</v>
      </c>
      <c r="B46" s="81">
        <v>1.0269999999999999</v>
      </c>
    </row>
    <row r="47" spans="1:2" x14ac:dyDescent="0.25">
      <c r="A47" s="80">
        <f t="shared" si="0"/>
        <v>36</v>
      </c>
      <c r="B47" s="81">
        <v>1.0269999999999999</v>
      </c>
    </row>
    <row r="48" spans="1:2" x14ac:dyDescent="0.25">
      <c r="A48" s="80">
        <f t="shared" si="0"/>
        <v>37</v>
      </c>
      <c r="B48" s="81">
        <v>1.0269999999999999</v>
      </c>
    </row>
    <row r="49" spans="1:2" x14ac:dyDescent="0.25">
      <c r="A49" s="80">
        <f t="shared" si="0"/>
        <v>38</v>
      </c>
      <c r="B49" s="81">
        <v>1.0269999999999999</v>
      </c>
    </row>
    <row r="50" spans="1:2" x14ac:dyDescent="0.25">
      <c r="A50" s="80">
        <f t="shared" si="0"/>
        <v>39</v>
      </c>
      <c r="B50" s="81">
        <v>1.0269999999999999</v>
      </c>
    </row>
    <row r="51" spans="1:2" x14ac:dyDescent="0.25">
      <c r="A51" s="80">
        <f t="shared" si="0"/>
        <v>40</v>
      </c>
      <c r="B51" s="81">
        <v>1.0269999999999999</v>
      </c>
    </row>
    <row r="52" spans="1:2" x14ac:dyDescent="0.25">
      <c r="A52" s="80">
        <f t="shared" si="0"/>
        <v>41</v>
      </c>
      <c r="B52" s="81">
        <v>1.0269999999999999</v>
      </c>
    </row>
    <row r="53" spans="1:2" x14ac:dyDescent="0.25">
      <c r="A53" s="80">
        <f t="shared" si="0"/>
        <v>42</v>
      </c>
      <c r="B53" s="81">
        <v>1.0269999999999999</v>
      </c>
    </row>
    <row r="54" spans="1:2" x14ac:dyDescent="0.25">
      <c r="A54" s="80">
        <f t="shared" si="0"/>
        <v>43</v>
      </c>
      <c r="B54" s="81">
        <v>1.0269999999999999</v>
      </c>
    </row>
    <row r="55" spans="1:2" x14ac:dyDescent="0.25">
      <c r="A55" s="80">
        <f t="shared" si="0"/>
        <v>44</v>
      </c>
      <c r="B55" s="81">
        <v>1.0269999999999999</v>
      </c>
    </row>
    <row r="56" spans="1:2" x14ac:dyDescent="0.25">
      <c r="A56" s="80">
        <f t="shared" si="0"/>
        <v>45</v>
      </c>
      <c r="B56" s="81">
        <v>1.026</v>
      </c>
    </row>
    <row r="57" spans="1:2" x14ac:dyDescent="0.25">
      <c r="A57" s="80">
        <f t="shared" si="0"/>
        <v>46</v>
      </c>
      <c r="B57" s="81">
        <v>1.026</v>
      </c>
    </row>
    <row r="58" spans="1:2" x14ac:dyDescent="0.25">
      <c r="A58" s="80">
        <f t="shared" si="0"/>
        <v>47</v>
      </c>
      <c r="B58" s="81">
        <v>1.0249999999999999</v>
      </c>
    </row>
    <row r="59" spans="1:2" x14ac:dyDescent="0.25">
      <c r="A59" s="80">
        <f t="shared" si="0"/>
        <v>48</v>
      </c>
      <c r="B59" s="81">
        <v>1.0249999999999999</v>
      </c>
    </row>
    <row r="60" spans="1:2" x14ac:dyDescent="0.25">
      <c r="A60" s="80">
        <f t="shared" si="0"/>
        <v>49</v>
      </c>
      <c r="B60" s="81">
        <v>1.024</v>
      </c>
    </row>
    <row r="61" spans="1:2" x14ac:dyDescent="0.25">
      <c r="A61" s="80">
        <f t="shared" si="0"/>
        <v>50</v>
      </c>
      <c r="B61" s="81">
        <v>1.024</v>
      </c>
    </row>
    <row r="62" spans="1:2" x14ac:dyDescent="0.25">
      <c r="A62" s="80">
        <f t="shared" si="0"/>
        <v>51</v>
      </c>
      <c r="B62" s="81">
        <v>1.024</v>
      </c>
    </row>
    <row r="63" spans="1:2" x14ac:dyDescent="0.25">
      <c r="A63" s="80">
        <f t="shared" si="0"/>
        <v>52</v>
      </c>
      <c r="B63" s="81">
        <v>1.024</v>
      </c>
    </row>
    <row r="64" spans="1:2" x14ac:dyDescent="0.25">
      <c r="A64" s="80">
        <f t="shared" si="0"/>
        <v>53</v>
      </c>
      <c r="B64" s="81">
        <v>1.024</v>
      </c>
    </row>
    <row r="65" spans="1:2" x14ac:dyDescent="0.25">
      <c r="A65" s="80">
        <f t="shared" si="0"/>
        <v>54</v>
      </c>
      <c r="B65" s="81">
        <v>1.0229999999999999</v>
      </c>
    </row>
    <row r="66" spans="1:2" x14ac:dyDescent="0.25">
      <c r="A66" s="80">
        <f t="shared" si="0"/>
        <v>55</v>
      </c>
      <c r="B66" s="81">
        <v>1.0229999999999999</v>
      </c>
    </row>
    <row r="67" spans="1:2" x14ac:dyDescent="0.25">
      <c r="A67" s="80">
        <f t="shared" si="0"/>
        <v>56</v>
      </c>
      <c r="B67" s="81">
        <v>1.0229999999999999</v>
      </c>
    </row>
    <row r="68" spans="1:2" x14ac:dyDescent="0.25">
      <c r="A68" s="80">
        <f t="shared" si="0"/>
        <v>57</v>
      </c>
      <c r="B68" s="81">
        <v>1.0229999999999999</v>
      </c>
    </row>
    <row r="69" spans="1:2" x14ac:dyDescent="0.25">
      <c r="A69" s="80">
        <f t="shared" si="0"/>
        <v>58</v>
      </c>
      <c r="B69" s="81">
        <v>1.022</v>
      </c>
    </row>
    <row r="70" spans="1:2" x14ac:dyDescent="0.25">
      <c r="A70" s="80">
        <f t="shared" si="0"/>
        <v>59</v>
      </c>
      <c r="B70" s="81">
        <v>1.022</v>
      </c>
    </row>
    <row r="71" spans="1:2" x14ac:dyDescent="0.25">
      <c r="A71" s="80">
        <f t="shared" si="0"/>
        <v>60</v>
      </c>
      <c r="B71" s="81">
        <v>1.022</v>
      </c>
    </row>
    <row r="72" spans="1:2" x14ac:dyDescent="0.25">
      <c r="A72" s="80">
        <f t="shared" si="0"/>
        <v>61</v>
      </c>
      <c r="B72" s="81">
        <v>1.0209999999999999</v>
      </c>
    </row>
    <row r="73" spans="1:2" x14ac:dyDescent="0.25">
      <c r="A73" s="80">
        <f t="shared" si="0"/>
        <v>62</v>
      </c>
      <c r="B73" s="81">
        <v>1.0209999999999999</v>
      </c>
    </row>
    <row r="74" spans="1:2" x14ac:dyDescent="0.25">
      <c r="A74" s="80">
        <f t="shared" si="0"/>
        <v>63</v>
      </c>
      <c r="B74" s="81">
        <v>1.02</v>
      </c>
    </row>
    <row r="75" spans="1:2" x14ac:dyDescent="0.25">
      <c r="A75" s="80">
        <f t="shared" si="0"/>
        <v>64</v>
      </c>
      <c r="B75" s="81">
        <v>1.02</v>
      </c>
    </row>
    <row r="76" spans="1:2" x14ac:dyDescent="0.25">
      <c r="A76" s="80">
        <f t="shared" si="0"/>
        <v>65</v>
      </c>
      <c r="B76" s="81">
        <v>1.0189999999999999</v>
      </c>
    </row>
    <row r="77" spans="1:2" x14ac:dyDescent="0.25">
      <c r="A77" s="80">
        <f t="shared" si="0"/>
        <v>66</v>
      </c>
      <c r="B77" s="81">
        <v>1.0189999999999999</v>
      </c>
    </row>
    <row r="78" spans="1:2" x14ac:dyDescent="0.25">
      <c r="A78" s="80">
        <f t="shared" si="0"/>
        <v>67</v>
      </c>
      <c r="B78" s="81">
        <v>1.0189999999999999</v>
      </c>
    </row>
  </sheetData>
  <sheetProtection algorithmName="SHA-512" hashValue="NRElcbQy8XQby/2xiPIgl0CV+7NB4L5cGF2nXUgpBG6VLNxlbcptLpq9WHDqrOsLO/OmwKwYQdpT/Sx63Xc1xQ==" saltValue="Y9Nagv+lAbWpTarXjtOoXA==" spinCount="100000" sheet="1" objects="1" scenarios="1"/>
  <conditionalFormatting sqref="A6:A21">
    <cfRule type="expression" dxfId="1183" priority="19" stopIfTrue="1">
      <formula>MOD(ROW(),2)=0</formula>
    </cfRule>
    <cfRule type="expression" dxfId="1182" priority="20" stopIfTrue="1">
      <formula>MOD(ROW(),2)&lt;&gt;0</formula>
    </cfRule>
  </conditionalFormatting>
  <conditionalFormatting sqref="A26:A78">
    <cfRule type="expression" dxfId="1181" priority="26" stopIfTrue="1">
      <formula>MOD(ROW(),2)&lt;&gt;0</formula>
    </cfRule>
    <cfRule type="expression" dxfId="1180" priority="25" stopIfTrue="1">
      <formula>MOD(ROW(),2)=0</formula>
    </cfRule>
  </conditionalFormatting>
  <conditionalFormatting sqref="B6:B21">
    <cfRule type="expression" dxfId="1179" priority="22" stopIfTrue="1">
      <formula>MOD(ROW(),2)&lt;&gt;0</formula>
    </cfRule>
    <cfRule type="expression" dxfId="1178" priority="21" stopIfTrue="1">
      <formula>MOD(ROW(),2)=0</formula>
    </cfRule>
  </conditionalFormatting>
  <conditionalFormatting sqref="B27:B78">
    <cfRule type="expression" dxfId="1177" priority="28" stopIfTrue="1">
      <formula>MOD(ROW(),2)&lt;&gt;0</formula>
    </cfRule>
    <cfRule type="expression" dxfId="1176" priority="27" stopIfTrue="1">
      <formula>MOD(ROW(),2)=0</formula>
    </cfRule>
  </conditionalFormatting>
  <conditionalFormatting sqref="B6:F6 C7:F8">
    <cfRule type="expression" dxfId="1175" priority="43" stopIfTrue="1">
      <formula>MOD(ROW(),2)=0</formula>
    </cfRule>
    <cfRule type="expression" dxfId="1174" priority="44" stopIfTrue="1">
      <formula>MOD(ROW(),2)&lt;&gt;0</formula>
    </cfRule>
  </conditionalFormatting>
  <conditionalFormatting sqref="B9:F16">
    <cfRule type="expression" dxfId="1173" priority="39" stopIfTrue="1">
      <formula>MOD(ROW(),2)=0</formula>
    </cfRule>
    <cfRule type="expression" dxfId="1172" priority="40" stopIfTrue="1">
      <formula>MOD(ROW(),2)&lt;&gt;0</formula>
    </cfRule>
  </conditionalFormatting>
  <conditionalFormatting sqref="B17:F21">
    <cfRule type="expression" dxfId="1171" priority="2" stopIfTrue="1">
      <formula>MOD(ROW(),2)&lt;&gt;0</formula>
    </cfRule>
    <cfRule type="expression" dxfId="1170" priority="1" stopIfTrue="1">
      <formula>MOD(ROW(),2)=0</formula>
    </cfRule>
  </conditionalFormatting>
  <hyperlinks>
    <hyperlink ref="B24" location="Assumptions!A1" display="Assumptions" xr:uid="{5436ACB1-55E6-44C1-969B-56A2546A4D7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H65"/>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8" ht="20" x14ac:dyDescent="0.4">
      <c r="A1" s="37" t="s">
        <v>0</v>
      </c>
      <c r="B1" s="38"/>
      <c r="C1" s="38"/>
      <c r="D1" s="38"/>
      <c r="E1" s="38"/>
      <c r="F1" s="38"/>
      <c r="G1" s="38"/>
      <c r="H1" s="38"/>
    </row>
    <row r="2" spans="1:8" ht="15.5" x14ac:dyDescent="0.35">
      <c r="A2" s="39" t="str">
        <f>IF(title="&gt; Enter workbook title here","Enter workbook title in Cover sheet",title)</f>
        <v>NHSPS_S - Consolidated Factor Spreadsheet</v>
      </c>
      <c r="B2" s="40"/>
      <c r="C2" s="40"/>
      <c r="D2" s="40"/>
      <c r="E2" s="40"/>
      <c r="F2" s="40"/>
      <c r="G2" s="40"/>
      <c r="H2" s="40"/>
    </row>
    <row r="3" spans="1:8" ht="15.5" x14ac:dyDescent="0.35">
      <c r="A3" s="41" t="str">
        <f>TABLE_FACTOR_TYPE_1&amp;" - x-"&amp;TABLE_SERIES_NUMBER_1</f>
        <v>CETV - x-201</v>
      </c>
      <c r="B3" s="40"/>
      <c r="C3" s="40"/>
      <c r="D3" s="40"/>
      <c r="E3" s="40"/>
      <c r="F3" s="40"/>
      <c r="G3" s="40"/>
      <c r="H3" s="40"/>
    </row>
    <row r="4" spans="1:8" x14ac:dyDescent="0.25">
      <c r="A4" s="42"/>
    </row>
    <row r="6" spans="1:8" ht="13" x14ac:dyDescent="0.3">
      <c r="A6" s="73" t="s">
        <v>274</v>
      </c>
      <c r="B6" s="114" t="s">
        <v>275</v>
      </c>
      <c r="C6" s="114"/>
      <c r="D6" s="114"/>
      <c r="E6" s="114"/>
    </row>
    <row r="7" spans="1:8" x14ac:dyDescent="0.25">
      <c r="A7" s="74" t="s">
        <v>276</v>
      </c>
      <c r="B7" s="114" t="s">
        <v>72</v>
      </c>
      <c r="C7" s="114"/>
      <c r="D7" s="114"/>
      <c r="E7" s="114"/>
    </row>
    <row r="8" spans="1:8" x14ac:dyDescent="0.25">
      <c r="A8" s="74" t="s">
        <v>278</v>
      </c>
      <c r="B8" s="114" t="s">
        <v>74</v>
      </c>
      <c r="C8" s="114"/>
      <c r="D8" s="114"/>
      <c r="E8" s="114"/>
    </row>
    <row r="9" spans="1:8" x14ac:dyDescent="0.25">
      <c r="A9" s="74" t="s">
        <v>280</v>
      </c>
      <c r="B9" s="114" t="s">
        <v>325</v>
      </c>
      <c r="C9" s="114"/>
      <c r="D9" s="114"/>
      <c r="E9" s="114"/>
    </row>
    <row r="10" spans="1:8" x14ac:dyDescent="0.25">
      <c r="A10" s="74" t="s">
        <v>6</v>
      </c>
      <c r="B10" s="114" t="s">
        <v>326</v>
      </c>
      <c r="C10" s="114"/>
      <c r="D10" s="114"/>
      <c r="E10" s="114"/>
    </row>
    <row r="11" spans="1:8" x14ac:dyDescent="0.25">
      <c r="A11" s="74" t="s">
        <v>283</v>
      </c>
      <c r="B11" s="114" t="s">
        <v>327</v>
      </c>
      <c r="C11" s="114"/>
      <c r="D11" s="114"/>
      <c r="E11" s="114"/>
    </row>
    <row r="12" spans="1:8" x14ac:dyDescent="0.25">
      <c r="A12" s="74" t="s">
        <v>285</v>
      </c>
      <c r="B12" s="114" t="s">
        <v>311</v>
      </c>
      <c r="C12" s="114"/>
      <c r="D12" s="114"/>
      <c r="E12" s="114"/>
    </row>
    <row r="13" spans="1:8" x14ac:dyDescent="0.25">
      <c r="A13" s="74" t="s">
        <v>287</v>
      </c>
      <c r="B13" s="114">
        <v>1</v>
      </c>
      <c r="C13" s="114"/>
      <c r="D13" s="114"/>
      <c r="E13" s="114"/>
    </row>
    <row r="14" spans="1:8" x14ac:dyDescent="0.25">
      <c r="A14" s="74" t="s">
        <v>289</v>
      </c>
      <c r="B14" s="114">
        <v>201</v>
      </c>
      <c r="C14" s="114"/>
      <c r="D14" s="114"/>
      <c r="E14" s="114"/>
    </row>
    <row r="15" spans="1:8" x14ac:dyDescent="0.25">
      <c r="A15" s="74" t="s">
        <v>291</v>
      </c>
      <c r="B15" s="114" t="s">
        <v>328</v>
      </c>
      <c r="C15" s="114"/>
      <c r="D15" s="114"/>
      <c r="E15" s="114"/>
    </row>
    <row r="16" spans="1:8" x14ac:dyDescent="0.25">
      <c r="A16" s="74" t="s">
        <v>293</v>
      </c>
      <c r="B16" s="114" t="s">
        <v>329</v>
      </c>
      <c r="C16" s="114"/>
      <c r="D16" s="114"/>
      <c r="E16" s="114"/>
    </row>
    <row r="17" spans="1:5" x14ac:dyDescent="0.25">
      <c r="A17" s="74" t="s">
        <v>760</v>
      </c>
      <c r="B17" s="114"/>
      <c r="C17" s="114"/>
      <c r="D17" s="114"/>
      <c r="E17" s="114"/>
    </row>
    <row r="18" spans="1:5" x14ac:dyDescent="0.25">
      <c r="A18" s="74" t="s">
        <v>297</v>
      </c>
      <c r="B18" s="162" t="s">
        <v>762</v>
      </c>
      <c r="C18" s="114"/>
      <c r="D18" s="114"/>
      <c r="E18" s="114"/>
    </row>
    <row r="19" spans="1:5" x14ac:dyDescent="0.25">
      <c r="A19" s="74" t="s">
        <v>299</v>
      </c>
      <c r="B19" s="162">
        <v>45014</v>
      </c>
      <c r="C19" s="114"/>
      <c r="D19" s="114"/>
      <c r="E19" s="114"/>
    </row>
    <row r="20" spans="1:5" x14ac:dyDescent="0.25">
      <c r="A20" s="74" t="s">
        <v>301</v>
      </c>
      <c r="B20" s="114" t="s">
        <v>314</v>
      </c>
      <c r="C20" s="114"/>
      <c r="D20" s="114"/>
      <c r="E20" s="114"/>
    </row>
    <row r="21" spans="1:5" x14ac:dyDescent="0.25">
      <c r="A21" s="74" t="s">
        <v>307</v>
      </c>
      <c r="B21" s="114" t="s">
        <v>315</v>
      </c>
      <c r="C21" s="114"/>
      <c r="D21" s="114"/>
      <c r="E21" s="114"/>
    </row>
    <row r="23" spans="1:5" x14ac:dyDescent="0.25">
      <c r="B23" s="100" t="str">
        <f>HYPERLINK("#'Factor List'!A1","Back to Factor List")</f>
        <v>Back to Factor List</v>
      </c>
    </row>
    <row r="24" spans="1:5" x14ac:dyDescent="0.25">
      <c r="B24" s="100" t="s">
        <v>13</v>
      </c>
    </row>
    <row r="26" spans="1:5" ht="39" x14ac:dyDescent="0.25">
      <c r="A26" s="97" t="s">
        <v>417</v>
      </c>
      <c r="B26" s="97" t="s">
        <v>763</v>
      </c>
      <c r="C26" s="97" t="s">
        <v>764</v>
      </c>
      <c r="D26" s="97" t="s">
        <v>765</v>
      </c>
      <c r="E26" s="97" t="s">
        <v>766</v>
      </c>
    </row>
    <row r="27" spans="1:5" x14ac:dyDescent="0.25">
      <c r="A27" s="98">
        <v>22</v>
      </c>
      <c r="B27" s="99">
        <v>12.29</v>
      </c>
      <c r="C27" s="99">
        <v>0.53</v>
      </c>
      <c r="D27" s="99">
        <v>1.24</v>
      </c>
      <c r="E27" s="99">
        <v>0</v>
      </c>
    </row>
    <row r="28" spans="1:5" x14ac:dyDescent="0.25">
      <c r="A28" s="98">
        <v>23</v>
      </c>
      <c r="B28" s="99">
        <v>12.48</v>
      </c>
      <c r="C28" s="99">
        <v>0.54</v>
      </c>
      <c r="D28" s="99">
        <v>1.25</v>
      </c>
      <c r="E28" s="99">
        <v>0</v>
      </c>
    </row>
    <row r="29" spans="1:5" x14ac:dyDescent="0.25">
      <c r="A29" s="98">
        <v>24</v>
      </c>
      <c r="B29" s="99">
        <v>12.66</v>
      </c>
      <c r="C29" s="99">
        <v>0.55000000000000004</v>
      </c>
      <c r="D29" s="99">
        <v>1.27</v>
      </c>
      <c r="E29" s="99">
        <v>0</v>
      </c>
    </row>
    <row r="30" spans="1:5" x14ac:dyDescent="0.25">
      <c r="A30" s="98">
        <v>25</v>
      </c>
      <c r="B30" s="99">
        <v>12.85</v>
      </c>
      <c r="C30" s="99">
        <v>0.56000000000000005</v>
      </c>
      <c r="D30" s="99">
        <v>1.29</v>
      </c>
      <c r="E30" s="99">
        <v>0</v>
      </c>
    </row>
    <row r="31" spans="1:5" x14ac:dyDescent="0.25">
      <c r="A31" s="98">
        <v>26</v>
      </c>
      <c r="B31" s="99">
        <v>13.04</v>
      </c>
      <c r="C31" s="99">
        <v>0.56999999999999995</v>
      </c>
      <c r="D31" s="99">
        <v>1.31</v>
      </c>
      <c r="E31" s="99">
        <v>0</v>
      </c>
    </row>
    <row r="32" spans="1:5" x14ac:dyDescent="0.25">
      <c r="A32" s="98">
        <v>27</v>
      </c>
      <c r="B32" s="99">
        <v>13.24</v>
      </c>
      <c r="C32" s="99">
        <v>0.57999999999999996</v>
      </c>
      <c r="D32" s="99">
        <v>1.33</v>
      </c>
      <c r="E32" s="99">
        <v>0</v>
      </c>
    </row>
    <row r="33" spans="1:5" x14ac:dyDescent="0.25">
      <c r="A33" s="98">
        <v>28</v>
      </c>
      <c r="B33" s="99">
        <v>13.44</v>
      </c>
      <c r="C33" s="99">
        <v>0.59</v>
      </c>
      <c r="D33" s="99">
        <v>1.35</v>
      </c>
      <c r="E33" s="99">
        <v>0</v>
      </c>
    </row>
    <row r="34" spans="1:5" x14ac:dyDescent="0.25">
      <c r="A34" s="98">
        <v>29</v>
      </c>
      <c r="B34" s="99">
        <v>13.64</v>
      </c>
      <c r="C34" s="99">
        <v>0.6</v>
      </c>
      <c r="D34" s="99">
        <v>1.37</v>
      </c>
      <c r="E34" s="99">
        <v>0</v>
      </c>
    </row>
    <row r="35" spans="1:5" x14ac:dyDescent="0.25">
      <c r="A35" s="98">
        <v>30</v>
      </c>
      <c r="B35" s="99">
        <v>13.84</v>
      </c>
      <c r="C35" s="99">
        <v>0.61</v>
      </c>
      <c r="D35" s="99">
        <v>1.39</v>
      </c>
      <c r="E35" s="99">
        <v>0</v>
      </c>
    </row>
    <row r="36" spans="1:5" x14ac:dyDescent="0.25">
      <c r="A36" s="98">
        <v>31</v>
      </c>
      <c r="B36" s="99">
        <v>14.05</v>
      </c>
      <c r="C36" s="99">
        <v>0.62</v>
      </c>
      <c r="D36" s="99">
        <v>1.4</v>
      </c>
      <c r="E36" s="99">
        <v>0</v>
      </c>
    </row>
    <row r="37" spans="1:5" x14ac:dyDescent="0.25">
      <c r="A37" s="98">
        <v>32</v>
      </c>
      <c r="B37" s="99">
        <v>14.26</v>
      </c>
      <c r="C37" s="99">
        <v>0.63</v>
      </c>
      <c r="D37" s="99">
        <v>1.42</v>
      </c>
      <c r="E37" s="99">
        <v>0</v>
      </c>
    </row>
    <row r="38" spans="1:5" x14ac:dyDescent="0.25">
      <c r="A38" s="98">
        <v>33</v>
      </c>
      <c r="B38" s="99">
        <v>14.47</v>
      </c>
      <c r="C38" s="99">
        <v>0.64</v>
      </c>
      <c r="D38" s="99">
        <v>1.44</v>
      </c>
      <c r="E38" s="99">
        <v>0</v>
      </c>
    </row>
    <row r="39" spans="1:5" x14ac:dyDescent="0.25">
      <c r="A39" s="98">
        <v>34</v>
      </c>
      <c r="B39" s="99">
        <v>14.69</v>
      </c>
      <c r="C39" s="99">
        <v>0.65</v>
      </c>
      <c r="D39" s="99">
        <v>1.46</v>
      </c>
      <c r="E39" s="99">
        <v>0</v>
      </c>
    </row>
    <row r="40" spans="1:5" x14ac:dyDescent="0.25">
      <c r="A40" s="98">
        <v>35</v>
      </c>
      <c r="B40" s="99">
        <v>14.91</v>
      </c>
      <c r="C40" s="99">
        <v>0.66</v>
      </c>
      <c r="D40" s="99">
        <v>1.48</v>
      </c>
      <c r="E40" s="99">
        <v>0</v>
      </c>
    </row>
    <row r="41" spans="1:5" x14ac:dyDescent="0.25">
      <c r="A41" s="98">
        <v>36</v>
      </c>
      <c r="B41" s="99">
        <v>15.14</v>
      </c>
      <c r="C41" s="99">
        <v>0.67</v>
      </c>
      <c r="D41" s="99">
        <v>1.49</v>
      </c>
      <c r="E41" s="99">
        <v>0</v>
      </c>
    </row>
    <row r="42" spans="1:5" x14ac:dyDescent="0.25">
      <c r="A42" s="98">
        <v>37</v>
      </c>
      <c r="B42" s="99">
        <v>15.37</v>
      </c>
      <c r="C42" s="99">
        <v>0.68</v>
      </c>
      <c r="D42" s="99">
        <v>1.51</v>
      </c>
      <c r="E42" s="99">
        <v>0</v>
      </c>
    </row>
    <row r="43" spans="1:5" x14ac:dyDescent="0.25">
      <c r="A43" s="98">
        <v>38</v>
      </c>
      <c r="B43" s="99">
        <v>15.6</v>
      </c>
      <c r="C43" s="99">
        <v>0.7</v>
      </c>
      <c r="D43" s="99">
        <v>1.53</v>
      </c>
      <c r="E43" s="99">
        <v>0</v>
      </c>
    </row>
    <row r="44" spans="1:5" x14ac:dyDescent="0.25">
      <c r="A44" s="98">
        <v>39</v>
      </c>
      <c r="B44" s="99">
        <v>15.84</v>
      </c>
      <c r="C44" s="99">
        <v>0.71</v>
      </c>
      <c r="D44" s="99">
        <v>1.54</v>
      </c>
      <c r="E44" s="99">
        <v>0</v>
      </c>
    </row>
    <row r="45" spans="1:5" x14ac:dyDescent="0.25">
      <c r="A45" s="98">
        <v>40</v>
      </c>
      <c r="B45" s="99">
        <v>16.079999999999998</v>
      </c>
      <c r="C45" s="99">
        <v>0.72</v>
      </c>
      <c r="D45" s="99">
        <v>1.56</v>
      </c>
      <c r="E45" s="99">
        <v>0</v>
      </c>
    </row>
    <row r="46" spans="1:5" x14ac:dyDescent="0.25">
      <c r="A46" s="98">
        <v>41</v>
      </c>
      <c r="B46" s="99">
        <v>16.32</v>
      </c>
      <c r="C46" s="99">
        <v>0.73</v>
      </c>
      <c r="D46" s="99">
        <v>1.58</v>
      </c>
      <c r="E46" s="99">
        <v>0</v>
      </c>
    </row>
    <row r="47" spans="1:5" x14ac:dyDescent="0.25">
      <c r="A47" s="98">
        <v>42</v>
      </c>
      <c r="B47" s="99">
        <v>16.57</v>
      </c>
      <c r="C47" s="99">
        <v>0.74</v>
      </c>
      <c r="D47" s="99">
        <v>1.59</v>
      </c>
      <c r="E47" s="99">
        <v>0</v>
      </c>
    </row>
    <row r="48" spans="1:5" x14ac:dyDescent="0.25">
      <c r="A48" s="98">
        <v>43</v>
      </c>
      <c r="B48" s="99">
        <v>16.829999999999998</v>
      </c>
      <c r="C48" s="99">
        <v>0.76</v>
      </c>
      <c r="D48" s="99">
        <v>1.61</v>
      </c>
      <c r="E48" s="99">
        <v>0</v>
      </c>
    </row>
    <row r="49" spans="1:5" x14ac:dyDescent="0.25">
      <c r="A49" s="98">
        <v>44</v>
      </c>
      <c r="B49" s="99">
        <v>17.079999999999998</v>
      </c>
      <c r="C49" s="99">
        <v>0.77</v>
      </c>
      <c r="D49" s="99">
        <v>1.62</v>
      </c>
      <c r="E49" s="99">
        <v>0</v>
      </c>
    </row>
    <row r="50" spans="1:5" x14ac:dyDescent="0.25">
      <c r="A50" s="98">
        <v>45</v>
      </c>
      <c r="B50" s="99">
        <v>17.350000000000001</v>
      </c>
      <c r="C50" s="99">
        <v>0.78</v>
      </c>
      <c r="D50" s="99">
        <v>1.64</v>
      </c>
      <c r="E50" s="99">
        <v>0</v>
      </c>
    </row>
    <row r="51" spans="1:5" x14ac:dyDescent="0.25">
      <c r="A51" s="98">
        <v>46</v>
      </c>
      <c r="B51" s="99">
        <v>17.62</v>
      </c>
      <c r="C51" s="99">
        <v>0.8</v>
      </c>
      <c r="D51" s="99">
        <v>1.65</v>
      </c>
      <c r="E51" s="99">
        <v>0</v>
      </c>
    </row>
    <row r="52" spans="1:5" x14ac:dyDescent="0.25">
      <c r="A52" s="98">
        <v>47</v>
      </c>
      <c r="B52" s="99">
        <v>17.89</v>
      </c>
      <c r="C52" s="99">
        <v>0.81</v>
      </c>
      <c r="D52" s="99">
        <v>1.66</v>
      </c>
      <c r="E52" s="99">
        <v>0</v>
      </c>
    </row>
    <row r="53" spans="1:5" x14ac:dyDescent="0.25">
      <c r="A53" s="98">
        <v>48</v>
      </c>
      <c r="B53" s="99">
        <v>18.170000000000002</v>
      </c>
      <c r="C53" s="99">
        <v>0.82</v>
      </c>
      <c r="D53" s="99">
        <v>1.68</v>
      </c>
      <c r="E53" s="99">
        <v>0</v>
      </c>
    </row>
    <row r="54" spans="1:5" x14ac:dyDescent="0.25">
      <c r="A54" s="98">
        <v>49</v>
      </c>
      <c r="B54" s="99">
        <v>18.46</v>
      </c>
      <c r="C54" s="99">
        <v>0.84</v>
      </c>
      <c r="D54" s="99">
        <v>1.69</v>
      </c>
      <c r="E54" s="99">
        <v>0</v>
      </c>
    </row>
    <row r="55" spans="1:5" x14ac:dyDescent="0.25">
      <c r="A55" s="98">
        <v>50</v>
      </c>
      <c r="B55" s="99">
        <v>18.75</v>
      </c>
      <c r="C55" s="99">
        <v>0.85</v>
      </c>
      <c r="D55" s="99">
        <v>1.7</v>
      </c>
      <c r="E55" s="99">
        <v>0</v>
      </c>
    </row>
    <row r="56" spans="1:5" x14ac:dyDescent="0.25">
      <c r="A56" s="98">
        <v>51</v>
      </c>
      <c r="B56" s="99">
        <v>19.05</v>
      </c>
      <c r="C56" s="99">
        <v>0.87</v>
      </c>
      <c r="D56" s="99">
        <v>1.71</v>
      </c>
      <c r="E56" s="99">
        <v>0</v>
      </c>
    </row>
    <row r="57" spans="1:5" x14ac:dyDescent="0.25">
      <c r="A57" s="98">
        <v>52</v>
      </c>
      <c r="B57" s="99">
        <v>19.350000000000001</v>
      </c>
      <c r="C57" s="99">
        <v>0.88</v>
      </c>
      <c r="D57" s="99">
        <v>1.72</v>
      </c>
      <c r="E57" s="99">
        <v>0</v>
      </c>
    </row>
    <row r="58" spans="1:5" x14ac:dyDescent="0.25">
      <c r="A58" s="98">
        <v>53</v>
      </c>
      <c r="B58" s="99">
        <v>19.670000000000002</v>
      </c>
      <c r="C58" s="99">
        <v>0.9</v>
      </c>
      <c r="D58" s="99">
        <v>1.72</v>
      </c>
      <c r="E58" s="99">
        <v>0</v>
      </c>
    </row>
    <row r="59" spans="1:5" x14ac:dyDescent="0.25">
      <c r="A59" s="98">
        <v>54</v>
      </c>
      <c r="B59" s="99">
        <v>19.989999999999998</v>
      </c>
      <c r="C59" s="99">
        <v>0.91</v>
      </c>
      <c r="D59" s="99">
        <v>1.73</v>
      </c>
      <c r="E59" s="99">
        <v>0</v>
      </c>
    </row>
    <row r="60" spans="1:5" x14ac:dyDescent="0.25">
      <c r="A60" s="98">
        <v>55</v>
      </c>
      <c r="B60" s="99">
        <v>20.32</v>
      </c>
      <c r="C60" s="99">
        <v>0.93</v>
      </c>
      <c r="D60" s="99">
        <v>1.74</v>
      </c>
      <c r="E60" s="99">
        <v>0</v>
      </c>
    </row>
    <row r="61" spans="1:5" x14ac:dyDescent="0.25">
      <c r="A61" s="98">
        <v>56</v>
      </c>
      <c r="B61" s="99">
        <v>20.65</v>
      </c>
      <c r="C61" s="99">
        <v>0.94</v>
      </c>
      <c r="D61" s="99">
        <v>1.74</v>
      </c>
      <c r="E61" s="99">
        <v>0</v>
      </c>
    </row>
    <row r="62" spans="1:5" x14ac:dyDescent="0.25">
      <c r="A62" s="98">
        <v>57</v>
      </c>
      <c r="B62" s="99">
        <v>21</v>
      </c>
      <c r="C62" s="99">
        <v>0.96</v>
      </c>
      <c r="D62" s="99">
        <v>1.74</v>
      </c>
      <c r="E62" s="99">
        <v>0</v>
      </c>
    </row>
    <row r="63" spans="1:5" x14ac:dyDescent="0.25">
      <c r="A63" s="98">
        <v>58</v>
      </c>
      <c r="B63" s="99">
        <v>21.36</v>
      </c>
      <c r="C63" s="99">
        <v>0.98</v>
      </c>
      <c r="D63" s="99">
        <v>1.74</v>
      </c>
      <c r="E63" s="99">
        <v>0</v>
      </c>
    </row>
    <row r="64" spans="1:5" x14ac:dyDescent="0.25">
      <c r="A64" s="98">
        <v>59</v>
      </c>
      <c r="B64" s="99">
        <v>21.73</v>
      </c>
      <c r="C64" s="99">
        <v>0.99</v>
      </c>
      <c r="D64" s="99">
        <v>1.74</v>
      </c>
      <c r="E64" s="99">
        <v>0</v>
      </c>
    </row>
    <row r="65" spans="1:2" x14ac:dyDescent="0.25">
      <c r="A65"/>
      <c r="B65"/>
    </row>
  </sheetData>
  <sheetProtection algorithmName="SHA-512" hashValue="BAx1QGYEVE7DhpKd/005J6zywVfwEwk+fU+bDaE9WtmIBAGSszwLM0K7j+VxI0zTQckTPGUJtPHxmlCJ0JY8Zw==" saltValue="i14eh5wGkA4gdk20pX0X2A==" spinCount="100000" sheet="1" objects="1" scenarios="1"/>
  <conditionalFormatting sqref="A6:A21">
    <cfRule type="expression" dxfId="1169" priority="11" stopIfTrue="1">
      <formula>MOD(ROW(),2)=0</formula>
    </cfRule>
    <cfRule type="expression" dxfId="1168" priority="12" stopIfTrue="1">
      <formula>MOD(ROW(),2)&lt;&gt;0</formula>
    </cfRule>
  </conditionalFormatting>
  <conditionalFormatting sqref="A26:A64">
    <cfRule type="expression" dxfId="1167" priority="1" stopIfTrue="1">
      <formula>MOD(ROW(),2)=0</formula>
    </cfRule>
    <cfRule type="expression" dxfId="1166" priority="2" stopIfTrue="1">
      <formula>MOD(ROW(),2)&lt;&gt;0</formula>
    </cfRule>
  </conditionalFormatting>
  <conditionalFormatting sqref="B17:B21">
    <cfRule type="expression" dxfId="1165" priority="5" stopIfTrue="1">
      <formula>MOD(ROW(),2)=0</formula>
    </cfRule>
    <cfRule type="expression" dxfId="1164" priority="6" stopIfTrue="1">
      <formula>MOD(ROW(),2)&lt;&gt;0</formula>
    </cfRule>
  </conditionalFormatting>
  <conditionalFormatting sqref="B6:E21">
    <cfRule type="expression" dxfId="1163" priority="13" stopIfTrue="1">
      <formula>MOD(ROW(),2)=0</formula>
    </cfRule>
    <cfRule type="expression" dxfId="1162" priority="14" stopIfTrue="1">
      <formula>MOD(ROW(),2)&lt;&gt;0</formula>
    </cfRule>
  </conditionalFormatting>
  <conditionalFormatting sqref="B26:E64">
    <cfRule type="expression" dxfId="1161" priority="3" stopIfTrue="1">
      <formula>MOD(ROW(),2)=0</formula>
    </cfRule>
    <cfRule type="expression" dxfId="1160" priority="4" stopIfTrue="1">
      <formula>MOD(ROW(),2)&lt;&gt;0</formula>
    </cfRule>
  </conditionalFormatting>
  <hyperlinks>
    <hyperlink ref="B24" location="Assumptions!A1" display="Assumptions" xr:uid="{879F1323-0739-4697-8C4D-E6E14F8143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H65"/>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8" ht="20" x14ac:dyDescent="0.4">
      <c r="A1" s="37" t="s">
        <v>0</v>
      </c>
      <c r="B1" s="38"/>
      <c r="C1" s="38"/>
      <c r="D1" s="38"/>
      <c r="E1" s="38"/>
      <c r="F1" s="38"/>
      <c r="G1" s="38"/>
      <c r="H1" s="38"/>
    </row>
    <row r="2" spans="1:8" ht="15.5" x14ac:dyDescent="0.35">
      <c r="A2" s="39" t="str">
        <f>IF(title="&gt; Enter workbook title here","Enter workbook title in Cover sheet",title)</f>
        <v>NHSPS_S - Consolidated Factor Spreadsheet</v>
      </c>
      <c r="B2" s="40"/>
      <c r="C2" s="40"/>
      <c r="D2" s="40"/>
      <c r="E2" s="40"/>
      <c r="F2" s="40"/>
      <c r="G2" s="40"/>
      <c r="H2" s="40"/>
    </row>
    <row r="3" spans="1:8" ht="15.5" x14ac:dyDescent="0.35">
      <c r="A3" s="41" t="str">
        <f>TABLE_FACTOR_TYPE_1&amp;" - x-"&amp;TABLE_SERIES_NUMBER_1</f>
        <v>CETV - x-202</v>
      </c>
      <c r="B3" s="40"/>
      <c r="C3" s="40"/>
      <c r="D3" s="40"/>
      <c r="E3" s="40"/>
      <c r="F3" s="40"/>
      <c r="G3" s="40"/>
      <c r="H3" s="40"/>
    </row>
    <row r="4" spans="1:8" x14ac:dyDescent="0.25">
      <c r="A4" s="42"/>
    </row>
    <row r="6" spans="1:8" ht="13" x14ac:dyDescent="0.3">
      <c r="A6" s="73" t="s">
        <v>274</v>
      </c>
      <c r="B6" s="114" t="s">
        <v>275</v>
      </c>
      <c r="C6" s="114"/>
      <c r="D6" s="114"/>
      <c r="E6" s="114"/>
    </row>
    <row r="7" spans="1:8" x14ac:dyDescent="0.25">
      <c r="A7" s="74" t="s">
        <v>276</v>
      </c>
      <c r="B7" s="114" t="s">
        <v>72</v>
      </c>
      <c r="C7" s="114"/>
      <c r="D7" s="114"/>
      <c r="E7" s="114"/>
    </row>
    <row r="8" spans="1:8" x14ac:dyDescent="0.25">
      <c r="A8" s="74" t="s">
        <v>278</v>
      </c>
      <c r="B8" s="114" t="s">
        <v>74</v>
      </c>
      <c r="C8" s="114"/>
      <c r="D8" s="114"/>
      <c r="E8" s="114"/>
    </row>
    <row r="9" spans="1:8" x14ac:dyDescent="0.25">
      <c r="A9" s="74" t="s">
        <v>280</v>
      </c>
      <c r="B9" s="114" t="s">
        <v>325</v>
      </c>
      <c r="C9" s="114"/>
      <c r="D9" s="114"/>
      <c r="E9" s="114"/>
    </row>
    <row r="10" spans="1:8" x14ac:dyDescent="0.25">
      <c r="A10" s="74" t="s">
        <v>6</v>
      </c>
      <c r="B10" s="114" t="s">
        <v>330</v>
      </c>
      <c r="C10" s="114"/>
      <c r="D10" s="114"/>
      <c r="E10" s="114"/>
    </row>
    <row r="11" spans="1:8" x14ac:dyDescent="0.25">
      <c r="A11" s="74" t="s">
        <v>283</v>
      </c>
      <c r="B11" s="114" t="s">
        <v>331</v>
      </c>
      <c r="C11" s="114"/>
      <c r="D11" s="114"/>
      <c r="E11" s="114"/>
    </row>
    <row r="12" spans="1:8" x14ac:dyDescent="0.25">
      <c r="A12" s="74" t="s">
        <v>285</v>
      </c>
      <c r="B12" s="114" t="s">
        <v>311</v>
      </c>
      <c r="C12" s="114"/>
      <c r="D12" s="114"/>
      <c r="E12" s="114"/>
    </row>
    <row r="13" spans="1:8" x14ac:dyDescent="0.25">
      <c r="A13" s="74" t="s">
        <v>287</v>
      </c>
      <c r="B13" s="114">
        <v>1</v>
      </c>
      <c r="C13" s="114"/>
      <c r="D13" s="114"/>
      <c r="E13" s="114"/>
    </row>
    <row r="14" spans="1:8" x14ac:dyDescent="0.25">
      <c r="A14" s="74" t="s">
        <v>289</v>
      </c>
      <c r="B14" s="114">
        <v>202</v>
      </c>
      <c r="C14" s="114"/>
      <c r="D14" s="114"/>
      <c r="E14" s="114"/>
    </row>
    <row r="15" spans="1:8" x14ac:dyDescent="0.25">
      <c r="A15" s="74" t="s">
        <v>291</v>
      </c>
      <c r="B15" s="114" t="s">
        <v>332</v>
      </c>
      <c r="C15" s="114"/>
      <c r="D15" s="114"/>
      <c r="E15" s="114"/>
    </row>
    <row r="16" spans="1:8" x14ac:dyDescent="0.25">
      <c r="A16" s="74" t="s">
        <v>293</v>
      </c>
      <c r="B16" s="114" t="s">
        <v>333</v>
      </c>
      <c r="C16" s="114"/>
      <c r="D16" s="114"/>
      <c r="E16" s="114"/>
    </row>
    <row r="17" spans="1:5" x14ac:dyDescent="0.25">
      <c r="A17" s="74" t="s">
        <v>760</v>
      </c>
      <c r="B17" s="114"/>
      <c r="C17" s="114"/>
      <c r="D17" s="114"/>
      <c r="E17" s="114"/>
    </row>
    <row r="18" spans="1:5" x14ac:dyDescent="0.25">
      <c r="A18" s="74" t="s">
        <v>297</v>
      </c>
      <c r="B18" s="162" t="s">
        <v>762</v>
      </c>
      <c r="C18" s="114"/>
      <c r="D18" s="114"/>
      <c r="E18" s="114"/>
    </row>
    <row r="19" spans="1:5" x14ac:dyDescent="0.25">
      <c r="A19" s="74" t="s">
        <v>299</v>
      </c>
      <c r="B19" s="162">
        <v>45014</v>
      </c>
      <c r="C19" s="114"/>
      <c r="D19" s="114"/>
      <c r="E19" s="114"/>
    </row>
    <row r="20" spans="1:5" x14ac:dyDescent="0.25">
      <c r="A20" s="74" t="s">
        <v>301</v>
      </c>
      <c r="B20" s="114" t="s">
        <v>314</v>
      </c>
      <c r="C20" s="114"/>
      <c r="D20" s="114"/>
      <c r="E20" s="114"/>
    </row>
    <row r="21" spans="1:5" x14ac:dyDescent="0.25">
      <c r="A21" s="74" t="s">
        <v>307</v>
      </c>
      <c r="B21" s="114" t="s">
        <v>315</v>
      </c>
      <c r="C21" s="114"/>
      <c r="D21" s="114"/>
      <c r="E21" s="114"/>
    </row>
    <row r="23" spans="1:5" x14ac:dyDescent="0.25">
      <c r="B23" s="100" t="str">
        <f>HYPERLINK("#'Factor List'!A1","Back to Factor List")</f>
        <v>Back to Factor List</v>
      </c>
    </row>
    <row r="24" spans="1:5" x14ac:dyDescent="0.25">
      <c r="B24" s="100" t="s">
        <v>13</v>
      </c>
    </row>
    <row r="26" spans="1:5" ht="39" x14ac:dyDescent="0.25">
      <c r="A26" s="97" t="s">
        <v>417</v>
      </c>
      <c r="B26" s="97" t="s">
        <v>763</v>
      </c>
      <c r="C26" s="97" t="s">
        <v>764</v>
      </c>
      <c r="D26" s="97" t="s">
        <v>765</v>
      </c>
      <c r="E26" s="97" t="s">
        <v>767</v>
      </c>
    </row>
    <row r="27" spans="1:5" x14ac:dyDescent="0.25">
      <c r="A27" s="98">
        <v>22</v>
      </c>
      <c r="B27" s="99">
        <v>12.29</v>
      </c>
      <c r="C27" s="99">
        <v>0.53</v>
      </c>
      <c r="D27" s="99">
        <v>1.24</v>
      </c>
      <c r="E27" s="99">
        <v>0</v>
      </c>
    </row>
    <row r="28" spans="1:5" x14ac:dyDescent="0.25">
      <c r="A28" s="98">
        <v>23</v>
      </c>
      <c r="B28" s="99">
        <v>12.48</v>
      </c>
      <c r="C28" s="99">
        <v>0.54</v>
      </c>
      <c r="D28" s="99">
        <v>1.25</v>
      </c>
      <c r="E28" s="99">
        <v>0</v>
      </c>
    </row>
    <row r="29" spans="1:5" x14ac:dyDescent="0.25">
      <c r="A29" s="98">
        <v>24</v>
      </c>
      <c r="B29" s="99">
        <v>12.66</v>
      </c>
      <c r="C29" s="99">
        <v>0.55000000000000004</v>
      </c>
      <c r="D29" s="99">
        <v>1.27</v>
      </c>
      <c r="E29" s="99">
        <v>0</v>
      </c>
    </row>
    <row r="30" spans="1:5" x14ac:dyDescent="0.25">
      <c r="A30" s="98">
        <v>25</v>
      </c>
      <c r="B30" s="99">
        <v>12.85</v>
      </c>
      <c r="C30" s="99">
        <v>0.56000000000000005</v>
      </c>
      <c r="D30" s="99">
        <v>1.29</v>
      </c>
      <c r="E30" s="99">
        <v>0</v>
      </c>
    </row>
    <row r="31" spans="1:5" x14ac:dyDescent="0.25">
      <c r="A31" s="98">
        <v>26</v>
      </c>
      <c r="B31" s="99">
        <v>13.04</v>
      </c>
      <c r="C31" s="99">
        <v>0.56999999999999995</v>
      </c>
      <c r="D31" s="99">
        <v>1.31</v>
      </c>
      <c r="E31" s="99">
        <v>0</v>
      </c>
    </row>
    <row r="32" spans="1:5" x14ac:dyDescent="0.25">
      <c r="A32" s="98">
        <v>27</v>
      </c>
      <c r="B32" s="99">
        <v>13.24</v>
      </c>
      <c r="C32" s="99">
        <v>0.57999999999999996</v>
      </c>
      <c r="D32" s="99">
        <v>1.33</v>
      </c>
      <c r="E32" s="99">
        <v>0</v>
      </c>
    </row>
    <row r="33" spans="1:5" x14ac:dyDescent="0.25">
      <c r="A33" s="98">
        <v>28</v>
      </c>
      <c r="B33" s="99">
        <v>13.44</v>
      </c>
      <c r="C33" s="99">
        <v>0.59</v>
      </c>
      <c r="D33" s="99">
        <v>1.35</v>
      </c>
      <c r="E33" s="99">
        <v>0</v>
      </c>
    </row>
    <row r="34" spans="1:5" x14ac:dyDescent="0.25">
      <c r="A34" s="98">
        <v>29</v>
      </c>
      <c r="B34" s="99">
        <v>13.64</v>
      </c>
      <c r="C34" s="99">
        <v>0.6</v>
      </c>
      <c r="D34" s="99">
        <v>1.37</v>
      </c>
      <c r="E34" s="99">
        <v>0</v>
      </c>
    </row>
    <row r="35" spans="1:5" x14ac:dyDescent="0.25">
      <c r="A35" s="98">
        <v>30</v>
      </c>
      <c r="B35" s="99">
        <v>13.84</v>
      </c>
      <c r="C35" s="99">
        <v>0.61</v>
      </c>
      <c r="D35" s="99">
        <v>1.39</v>
      </c>
      <c r="E35" s="99">
        <v>0</v>
      </c>
    </row>
    <row r="36" spans="1:5" x14ac:dyDescent="0.25">
      <c r="A36" s="98">
        <v>31</v>
      </c>
      <c r="B36" s="99">
        <v>14.05</v>
      </c>
      <c r="C36" s="99">
        <v>0.62</v>
      </c>
      <c r="D36" s="99">
        <v>1.4</v>
      </c>
      <c r="E36" s="99">
        <v>0</v>
      </c>
    </row>
    <row r="37" spans="1:5" x14ac:dyDescent="0.25">
      <c r="A37" s="98">
        <v>32</v>
      </c>
      <c r="B37" s="99">
        <v>14.26</v>
      </c>
      <c r="C37" s="99">
        <v>0.63</v>
      </c>
      <c r="D37" s="99">
        <v>1.42</v>
      </c>
      <c r="E37" s="99">
        <v>0</v>
      </c>
    </row>
    <row r="38" spans="1:5" x14ac:dyDescent="0.25">
      <c r="A38" s="98">
        <v>33</v>
      </c>
      <c r="B38" s="99">
        <v>14.47</v>
      </c>
      <c r="C38" s="99">
        <v>0.64</v>
      </c>
      <c r="D38" s="99">
        <v>1.44</v>
      </c>
      <c r="E38" s="99">
        <v>0</v>
      </c>
    </row>
    <row r="39" spans="1:5" x14ac:dyDescent="0.25">
      <c r="A39" s="98">
        <v>34</v>
      </c>
      <c r="B39" s="99">
        <v>14.69</v>
      </c>
      <c r="C39" s="99">
        <v>0.65</v>
      </c>
      <c r="D39" s="99">
        <v>1.46</v>
      </c>
      <c r="E39" s="99">
        <v>0</v>
      </c>
    </row>
    <row r="40" spans="1:5" x14ac:dyDescent="0.25">
      <c r="A40" s="98">
        <v>35</v>
      </c>
      <c r="B40" s="99">
        <v>14.91</v>
      </c>
      <c r="C40" s="99">
        <v>0.66</v>
      </c>
      <c r="D40" s="99">
        <v>1.48</v>
      </c>
      <c r="E40" s="99">
        <v>0</v>
      </c>
    </row>
    <row r="41" spans="1:5" x14ac:dyDescent="0.25">
      <c r="A41" s="98">
        <v>36</v>
      </c>
      <c r="B41" s="99">
        <v>15.14</v>
      </c>
      <c r="C41" s="99">
        <v>0.67</v>
      </c>
      <c r="D41" s="99">
        <v>1.49</v>
      </c>
      <c r="E41" s="99">
        <v>0</v>
      </c>
    </row>
    <row r="42" spans="1:5" x14ac:dyDescent="0.25">
      <c r="A42" s="98">
        <v>37</v>
      </c>
      <c r="B42" s="99">
        <v>15.37</v>
      </c>
      <c r="C42" s="99">
        <v>0.68</v>
      </c>
      <c r="D42" s="99">
        <v>1.51</v>
      </c>
      <c r="E42" s="99">
        <v>0</v>
      </c>
    </row>
    <row r="43" spans="1:5" x14ac:dyDescent="0.25">
      <c r="A43" s="98">
        <v>38</v>
      </c>
      <c r="B43" s="99">
        <v>15.6</v>
      </c>
      <c r="C43" s="99">
        <v>0.7</v>
      </c>
      <c r="D43" s="99">
        <v>1.53</v>
      </c>
      <c r="E43" s="99">
        <v>0</v>
      </c>
    </row>
    <row r="44" spans="1:5" x14ac:dyDescent="0.25">
      <c r="A44" s="98">
        <v>39</v>
      </c>
      <c r="B44" s="99">
        <v>15.84</v>
      </c>
      <c r="C44" s="99">
        <v>0.71</v>
      </c>
      <c r="D44" s="99">
        <v>1.54</v>
      </c>
      <c r="E44" s="99">
        <v>0</v>
      </c>
    </row>
    <row r="45" spans="1:5" x14ac:dyDescent="0.25">
      <c r="A45" s="98">
        <v>40</v>
      </c>
      <c r="B45" s="99">
        <v>16.079999999999998</v>
      </c>
      <c r="C45" s="99">
        <v>0.72</v>
      </c>
      <c r="D45" s="99">
        <v>1.56</v>
      </c>
      <c r="E45" s="99">
        <v>0</v>
      </c>
    </row>
    <row r="46" spans="1:5" x14ac:dyDescent="0.25">
      <c r="A46" s="98">
        <v>41</v>
      </c>
      <c r="B46" s="99">
        <v>16.32</v>
      </c>
      <c r="C46" s="99">
        <v>0.73</v>
      </c>
      <c r="D46" s="99">
        <v>1.58</v>
      </c>
      <c r="E46" s="99">
        <v>0</v>
      </c>
    </row>
    <row r="47" spans="1:5" x14ac:dyDescent="0.25">
      <c r="A47" s="98">
        <v>42</v>
      </c>
      <c r="B47" s="99">
        <v>16.57</v>
      </c>
      <c r="C47" s="99">
        <v>0.74</v>
      </c>
      <c r="D47" s="99">
        <v>1.59</v>
      </c>
      <c r="E47" s="99">
        <v>0</v>
      </c>
    </row>
    <row r="48" spans="1:5" x14ac:dyDescent="0.25">
      <c r="A48" s="98">
        <v>43</v>
      </c>
      <c r="B48" s="99">
        <v>16.829999999999998</v>
      </c>
      <c r="C48" s="99">
        <v>0.76</v>
      </c>
      <c r="D48" s="99">
        <v>1.61</v>
      </c>
      <c r="E48" s="99">
        <v>0</v>
      </c>
    </row>
    <row r="49" spans="1:5" x14ac:dyDescent="0.25">
      <c r="A49" s="98">
        <v>44</v>
      </c>
      <c r="B49" s="99">
        <v>17.079999999999998</v>
      </c>
      <c r="C49" s="99">
        <v>0.77</v>
      </c>
      <c r="D49" s="99">
        <v>1.62</v>
      </c>
      <c r="E49" s="99">
        <v>0</v>
      </c>
    </row>
    <row r="50" spans="1:5" x14ac:dyDescent="0.25">
      <c r="A50" s="98">
        <v>45</v>
      </c>
      <c r="B50" s="99">
        <v>17.350000000000001</v>
      </c>
      <c r="C50" s="99">
        <v>0.78</v>
      </c>
      <c r="D50" s="99">
        <v>1.64</v>
      </c>
      <c r="E50" s="99">
        <v>0</v>
      </c>
    </row>
    <row r="51" spans="1:5" x14ac:dyDescent="0.25">
      <c r="A51" s="98">
        <v>46</v>
      </c>
      <c r="B51" s="99">
        <v>17.62</v>
      </c>
      <c r="C51" s="99">
        <v>0.8</v>
      </c>
      <c r="D51" s="99">
        <v>1.65</v>
      </c>
      <c r="E51" s="99">
        <v>0</v>
      </c>
    </row>
    <row r="52" spans="1:5" x14ac:dyDescent="0.25">
      <c r="A52" s="98">
        <v>47</v>
      </c>
      <c r="B52" s="99">
        <v>17.89</v>
      </c>
      <c r="C52" s="99">
        <v>0.81</v>
      </c>
      <c r="D52" s="99">
        <v>1.66</v>
      </c>
      <c r="E52" s="99">
        <v>0</v>
      </c>
    </row>
    <row r="53" spans="1:5" x14ac:dyDescent="0.25">
      <c r="A53" s="98">
        <v>48</v>
      </c>
      <c r="B53" s="99">
        <v>18.170000000000002</v>
      </c>
      <c r="C53" s="99">
        <v>0.82</v>
      </c>
      <c r="D53" s="99">
        <v>1.68</v>
      </c>
      <c r="E53" s="99">
        <v>0</v>
      </c>
    </row>
    <row r="54" spans="1:5" x14ac:dyDescent="0.25">
      <c r="A54" s="98">
        <v>49</v>
      </c>
      <c r="B54" s="99">
        <v>18.46</v>
      </c>
      <c r="C54" s="99">
        <v>0.84</v>
      </c>
      <c r="D54" s="99">
        <v>1.69</v>
      </c>
      <c r="E54" s="99">
        <v>0</v>
      </c>
    </row>
    <row r="55" spans="1:5" x14ac:dyDescent="0.25">
      <c r="A55" s="98">
        <v>50</v>
      </c>
      <c r="B55" s="99">
        <v>18.75</v>
      </c>
      <c r="C55" s="99">
        <v>0.85</v>
      </c>
      <c r="D55" s="99">
        <v>1.7</v>
      </c>
      <c r="E55" s="99">
        <v>0</v>
      </c>
    </row>
    <row r="56" spans="1:5" x14ac:dyDescent="0.25">
      <c r="A56" s="98">
        <v>51</v>
      </c>
      <c r="B56" s="99">
        <v>19.05</v>
      </c>
      <c r="C56" s="99">
        <v>0.87</v>
      </c>
      <c r="D56" s="99">
        <v>1.71</v>
      </c>
      <c r="E56" s="99">
        <v>0</v>
      </c>
    </row>
    <row r="57" spans="1:5" x14ac:dyDescent="0.25">
      <c r="A57" s="98">
        <v>52</v>
      </c>
      <c r="B57" s="99">
        <v>19.350000000000001</v>
      </c>
      <c r="C57" s="99">
        <v>0.88</v>
      </c>
      <c r="D57" s="99">
        <v>1.72</v>
      </c>
      <c r="E57" s="99">
        <v>0</v>
      </c>
    </row>
    <row r="58" spans="1:5" x14ac:dyDescent="0.25">
      <c r="A58" s="98">
        <v>53</v>
      </c>
      <c r="B58" s="99">
        <v>19.670000000000002</v>
      </c>
      <c r="C58" s="99">
        <v>0.9</v>
      </c>
      <c r="D58" s="99">
        <v>1.72</v>
      </c>
      <c r="E58" s="99">
        <v>0</v>
      </c>
    </row>
    <row r="59" spans="1:5" x14ac:dyDescent="0.25">
      <c r="A59" s="98">
        <v>54</v>
      </c>
      <c r="B59" s="99">
        <v>19.989999999999998</v>
      </c>
      <c r="C59" s="99">
        <v>0.91</v>
      </c>
      <c r="D59" s="99">
        <v>1.73</v>
      </c>
      <c r="E59" s="99">
        <v>0</v>
      </c>
    </row>
    <row r="60" spans="1:5" x14ac:dyDescent="0.25">
      <c r="A60" s="98">
        <v>55</v>
      </c>
      <c r="B60" s="99">
        <v>20.32</v>
      </c>
      <c r="C60" s="99">
        <v>0.93</v>
      </c>
      <c r="D60" s="99">
        <v>1.74</v>
      </c>
      <c r="E60" s="99">
        <v>0</v>
      </c>
    </row>
    <row r="61" spans="1:5" x14ac:dyDescent="0.25">
      <c r="A61" s="98">
        <v>56</v>
      </c>
      <c r="B61" s="99">
        <v>20.65</v>
      </c>
      <c r="C61" s="99">
        <v>0.94</v>
      </c>
      <c r="D61" s="99">
        <v>1.74</v>
      </c>
      <c r="E61" s="99">
        <v>0</v>
      </c>
    </row>
    <row r="62" spans="1:5" x14ac:dyDescent="0.25">
      <c r="A62" s="98">
        <v>57</v>
      </c>
      <c r="B62" s="99">
        <v>21</v>
      </c>
      <c r="C62" s="99">
        <v>0.96</v>
      </c>
      <c r="D62" s="99">
        <v>1.74</v>
      </c>
      <c r="E62" s="99">
        <v>0</v>
      </c>
    </row>
    <row r="63" spans="1:5" x14ac:dyDescent="0.25">
      <c r="A63" s="98">
        <v>58</v>
      </c>
      <c r="B63" s="99">
        <v>21.36</v>
      </c>
      <c r="C63" s="99">
        <v>0.98</v>
      </c>
      <c r="D63" s="99">
        <v>1.74</v>
      </c>
      <c r="E63" s="99">
        <v>0</v>
      </c>
    </row>
    <row r="64" spans="1:5" x14ac:dyDescent="0.25">
      <c r="A64" s="98">
        <v>59</v>
      </c>
      <c r="B64" s="99">
        <v>21.73</v>
      </c>
      <c r="C64" s="99">
        <v>0.99</v>
      </c>
      <c r="D64" s="99">
        <v>1.74</v>
      </c>
      <c r="E64" s="99">
        <v>0</v>
      </c>
    </row>
    <row r="65" spans="1:2" x14ac:dyDescent="0.25">
      <c r="A65"/>
      <c r="B65"/>
    </row>
  </sheetData>
  <sheetProtection algorithmName="SHA-512" hashValue="MndkWQ/c4GBRuwSKXR396jo3oniSVmSWcGmVMSfXxUhoHBwWhM9YE4KFtX0HsMRzdO2WNyVefj/Vvy8lH9w7rg==" saltValue="4CY4pjx3cqQbu7BIxLEv/Q==" spinCount="100000" sheet="1" objects="1" scenarios="1"/>
  <conditionalFormatting sqref="A6:A21">
    <cfRule type="expression" dxfId="1159" priority="13" stopIfTrue="1">
      <formula>MOD(ROW(),2)=0</formula>
    </cfRule>
    <cfRule type="expression" dxfId="1158" priority="14" stopIfTrue="1">
      <formula>MOD(ROW(),2)&lt;&gt;0</formula>
    </cfRule>
  </conditionalFormatting>
  <conditionalFormatting sqref="A26:A64">
    <cfRule type="expression" dxfId="1157" priority="5" stopIfTrue="1">
      <formula>MOD(ROW(),2)=0</formula>
    </cfRule>
    <cfRule type="expression" dxfId="1156" priority="6" stopIfTrue="1">
      <formula>MOD(ROW(),2)&lt;&gt;0</formula>
    </cfRule>
  </conditionalFormatting>
  <conditionalFormatting sqref="B17:B21">
    <cfRule type="expression" dxfId="1155" priority="1" stopIfTrue="1">
      <formula>MOD(ROW(),2)=0</formula>
    </cfRule>
    <cfRule type="expression" dxfId="1154" priority="2" stopIfTrue="1">
      <formula>MOD(ROW(),2)&lt;&gt;0</formula>
    </cfRule>
  </conditionalFormatting>
  <conditionalFormatting sqref="B6:E21">
    <cfRule type="expression" dxfId="1153" priority="21" stopIfTrue="1">
      <formula>MOD(ROW(),2)=0</formula>
    </cfRule>
    <cfRule type="expression" dxfId="1152" priority="22" stopIfTrue="1">
      <formula>MOD(ROW(),2)&lt;&gt;0</formula>
    </cfRule>
  </conditionalFormatting>
  <conditionalFormatting sqref="B26:E64">
    <cfRule type="expression" dxfId="1151" priority="7" stopIfTrue="1">
      <formula>MOD(ROW(),2)=0</formula>
    </cfRule>
    <cfRule type="expression" dxfId="1150" priority="8" stopIfTrue="1">
      <formula>MOD(ROW(),2)&lt;&gt;0</formula>
    </cfRule>
  </conditionalFormatting>
  <hyperlinks>
    <hyperlink ref="B24" location="Assumptions!A1" display="Assumptions" xr:uid="{8BCBE89C-B7C6-4056-A5B5-106605D1267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H73"/>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8" ht="20" x14ac:dyDescent="0.4">
      <c r="A1" s="37" t="s">
        <v>0</v>
      </c>
      <c r="B1" s="38"/>
      <c r="C1" s="38"/>
      <c r="D1" s="38"/>
      <c r="E1" s="38"/>
      <c r="F1" s="38"/>
      <c r="G1" s="38"/>
      <c r="H1" s="38"/>
    </row>
    <row r="2" spans="1:8" ht="15.5" x14ac:dyDescent="0.35">
      <c r="A2" s="39" t="str">
        <f>IF(title="&gt; Enter workbook title here","Enter workbook title in Cover sheet",title)</f>
        <v>NHSPS_S - Consolidated Factor Spreadsheet</v>
      </c>
      <c r="B2" s="40"/>
      <c r="C2" s="40"/>
      <c r="D2" s="40"/>
      <c r="E2" s="40"/>
      <c r="F2" s="40"/>
      <c r="G2" s="40"/>
      <c r="H2" s="40"/>
    </row>
    <row r="3" spans="1:8" ht="15.5" x14ac:dyDescent="0.35">
      <c r="A3" s="41" t="str">
        <f>TABLE_FACTOR_TYPE_1&amp;" - x-"&amp;TABLE_SERIES_NUMBER_1</f>
        <v>CETV - x-203</v>
      </c>
      <c r="B3" s="40"/>
      <c r="C3" s="40"/>
      <c r="D3" s="40"/>
      <c r="E3" s="40"/>
      <c r="F3" s="40"/>
      <c r="G3" s="40"/>
      <c r="H3" s="40"/>
    </row>
    <row r="4" spans="1:8" x14ac:dyDescent="0.25">
      <c r="A4" s="42"/>
    </row>
    <row r="6" spans="1:8" ht="13" x14ac:dyDescent="0.3">
      <c r="A6" s="73" t="s">
        <v>274</v>
      </c>
      <c r="B6" s="114" t="s">
        <v>275</v>
      </c>
      <c r="C6" s="114"/>
      <c r="D6" s="114"/>
      <c r="E6" s="114"/>
    </row>
    <row r="7" spans="1:8" x14ac:dyDescent="0.25">
      <c r="A7" s="74" t="s">
        <v>276</v>
      </c>
      <c r="B7" s="114" t="s">
        <v>72</v>
      </c>
      <c r="C7" s="114"/>
      <c r="D7" s="114"/>
      <c r="E7" s="114"/>
    </row>
    <row r="8" spans="1:8" x14ac:dyDescent="0.25">
      <c r="A8" s="74" t="s">
        <v>278</v>
      </c>
      <c r="B8" s="114" t="s">
        <v>74</v>
      </c>
      <c r="C8" s="114"/>
      <c r="D8" s="114"/>
      <c r="E8" s="114"/>
    </row>
    <row r="9" spans="1:8" x14ac:dyDescent="0.25">
      <c r="A9" s="74" t="s">
        <v>280</v>
      </c>
      <c r="B9" s="114" t="s">
        <v>325</v>
      </c>
      <c r="C9" s="114"/>
      <c r="D9" s="114"/>
      <c r="E9" s="114"/>
    </row>
    <row r="10" spans="1:8" x14ac:dyDescent="0.25">
      <c r="A10" s="74" t="s">
        <v>6</v>
      </c>
      <c r="B10" s="114" t="s">
        <v>334</v>
      </c>
      <c r="C10" s="114"/>
      <c r="D10" s="114"/>
      <c r="E10" s="114"/>
    </row>
    <row r="11" spans="1:8" x14ac:dyDescent="0.25">
      <c r="A11" s="74" t="s">
        <v>283</v>
      </c>
      <c r="B11" s="114" t="s">
        <v>327</v>
      </c>
      <c r="C11" s="114"/>
      <c r="D11" s="114"/>
      <c r="E11" s="114"/>
    </row>
    <row r="12" spans="1:8" x14ac:dyDescent="0.25">
      <c r="A12" s="74" t="s">
        <v>285</v>
      </c>
      <c r="B12" s="114" t="s">
        <v>311</v>
      </c>
      <c r="C12" s="114"/>
      <c r="D12" s="114"/>
      <c r="E12" s="114"/>
    </row>
    <row r="13" spans="1:8" x14ac:dyDescent="0.25">
      <c r="A13" s="74" t="s">
        <v>287</v>
      </c>
      <c r="B13" s="114">
        <v>2</v>
      </c>
      <c r="C13" s="114"/>
      <c r="D13" s="114"/>
      <c r="E13" s="114"/>
    </row>
    <row r="14" spans="1:8" x14ac:dyDescent="0.25">
      <c r="A14" s="74" t="s">
        <v>289</v>
      </c>
      <c r="B14" s="114">
        <v>203</v>
      </c>
      <c r="C14" s="114"/>
      <c r="D14" s="114"/>
      <c r="E14" s="114"/>
    </row>
    <row r="15" spans="1:8" x14ac:dyDescent="0.25">
      <c r="A15" s="74" t="s">
        <v>291</v>
      </c>
      <c r="B15" s="114" t="s">
        <v>335</v>
      </c>
      <c r="C15" s="114"/>
      <c r="D15" s="114"/>
      <c r="E15" s="114"/>
    </row>
    <row r="16" spans="1:8" x14ac:dyDescent="0.25">
      <c r="A16" s="74" t="s">
        <v>293</v>
      </c>
      <c r="B16" s="114" t="s">
        <v>336</v>
      </c>
      <c r="C16" s="114"/>
      <c r="D16" s="114"/>
      <c r="E16" s="114"/>
    </row>
    <row r="17" spans="1:5" x14ac:dyDescent="0.25">
      <c r="A17" s="74" t="s">
        <v>760</v>
      </c>
      <c r="B17" s="114"/>
      <c r="C17" s="114"/>
      <c r="D17" s="114"/>
      <c r="E17" s="114"/>
    </row>
    <row r="18" spans="1:5" x14ac:dyDescent="0.25">
      <c r="A18" s="74" t="s">
        <v>297</v>
      </c>
      <c r="B18" s="162" t="s">
        <v>762</v>
      </c>
      <c r="C18" s="114"/>
      <c r="D18" s="114"/>
      <c r="E18" s="114"/>
    </row>
    <row r="19" spans="1:5" x14ac:dyDescent="0.25">
      <c r="A19" s="74" t="s">
        <v>299</v>
      </c>
      <c r="B19" s="162">
        <v>45014</v>
      </c>
      <c r="C19" s="114"/>
      <c r="D19" s="114"/>
      <c r="E19" s="114"/>
    </row>
    <row r="20" spans="1:5" x14ac:dyDescent="0.25">
      <c r="A20" s="74" t="s">
        <v>301</v>
      </c>
      <c r="B20" s="114" t="s">
        <v>314</v>
      </c>
      <c r="C20" s="114"/>
      <c r="D20" s="114"/>
      <c r="E20" s="114"/>
    </row>
    <row r="21" spans="1:5" x14ac:dyDescent="0.25">
      <c r="A21" s="74" t="s">
        <v>307</v>
      </c>
      <c r="B21" s="114" t="s">
        <v>315</v>
      </c>
      <c r="C21" s="114"/>
      <c r="D21" s="114"/>
      <c r="E21" s="114"/>
    </row>
    <row r="23" spans="1:5" x14ac:dyDescent="0.25">
      <c r="B23" s="100" t="str">
        <f>HYPERLINK("#'Factor List'!A1","Back to Factor List")</f>
        <v>Back to Factor List</v>
      </c>
    </row>
    <row r="24" spans="1:5" x14ac:dyDescent="0.25">
      <c r="B24" s="100" t="s">
        <v>13</v>
      </c>
    </row>
    <row r="26" spans="1:5" ht="39" x14ac:dyDescent="0.25">
      <c r="A26" s="97" t="s">
        <v>417</v>
      </c>
      <c r="B26" s="97" t="s">
        <v>763</v>
      </c>
      <c r="C26" s="97" t="s">
        <v>768</v>
      </c>
      <c r="D26" s="97" t="s">
        <v>769</v>
      </c>
      <c r="E26" s="97" t="s">
        <v>770</v>
      </c>
    </row>
    <row r="27" spans="1:5" x14ac:dyDescent="0.25">
      <c r="A27" s="98">
        <v>18</v>
      </c>
      <c r="B27" s="99">
        <v>9.2899999999999991</v>
      </c>
      <c r="C27" s="99">
        <v>0.46</v>
      </c>
      <c r="D27" s="99">
        <v>1.17</v>
      </c>
      <c r="E27" s="99">
        <v>0</v>
      </c>
    </row>
    <row r="28" spans="1:5" x14ac:dyDescent="0.25">
      <c r="A28" s="98">
        <v>19</v>
      </c>
      <c r="B28" s="99">
        <v>9.43</v>
      </c>
      <c r="C28" s="99">
        <v>0.46</v>
      </c>
      <c r="D28" s="99">
        <v>1.21</v>
      </c>
      <c r="E28" s="99">
        <v>0</v>
      </c>
    </row>
    <row r="29" spans="1:5" x14ac:dyDescent="0.25">
      <c r="A29" s="98">
        <v>20</v>
      </c>
      <c r="B29" s="99">
        <v>9.56</v>
      </c>
      <c r="C29" s="99">
        <v>0.47</v>
      </c>
      <c r="D29" s="99">
        <v>1.23</v>
      </c>
      <c r="E29" s="99">
        <v>0</v>
      </c>
    </row>
    <row r="30" spans="1:5" x14ac:dyDescent="0.25">
      <c r="A30" s="98">
        <v>21</v>
      </c>
      <c r="B30" s="99">
        <v>9.6999999999999993</v>
      </c>
      <c r="C30" s="99">
        <v>0.48</v>
      </c>
      <c r="D30" s="99">
        <v>1.25</v>
      </c>
      <c r="E30" s="99">
        <v>0</v>
      </c>
    </row>
    <row r="31" spans="1:5" x14ac:dyDescent="0.25">
      <c r="A31" s="98">
        <v>22</v>
      </c>
      <c r="B31" s="99">
        <v>9.84</v>
      </c>
      <c r="C31" s="99">
        <v>0.49</v>
      </c>
      <c r="D31" s="99">
        <v>1.27</v>
      </c>
      <c r="E31" s="99">
        <v>0</v>
      </c>
    </row>
    <row r="32" spans="1:5" x14ac:dyDescent="0.25">
      <c r="A32" s="98">
        <v>23</v>
      </c>
      <c r="B32" s="99">
        <v>9.99</v>
      </c>
      <c r="C32" s="99">
        <v>0.5</v>
      </c>
      <c r="D32" s="99">
        <v>1.29</v>
      </c>
      <c r="E32" s="99">
        <v>0</v>
      </c>
    </row>
    <row r="33" spans="1:5" x14ac:dyDescent="0.25">
      <c r="A33" s="98">
        <v>24</v>
      </c>
      <c r="B33" s="99">
        <v>10.130000000000001</v>
      </c>
      <c r="C33" s="99">
        <v>0.51</v>
      </c>
      <c r="D33" s="99">
        <v>1.31</v>
      </c>
      <c r="E33" s="99">
        <v>0</v>
      </c>
    </row>
    <row r="34" spans="1:5" x14ac:dyDescent="0.25">
      <c r="A34" s="98">
        <v>25</v>
      </c>
      <c r="B34" s="99">
        <v>10.28</v>
      </c>
      <c r="C34" s="99">
        <v>0.51</v>
      </c>
      <c r="D34" s="99">
        <v>1.33</v>
      </c>
      <c r="E34" s="99">
        <v>0</v>
      </c>
    </row>
    <row r="35" spans="1:5" x14ac:dyDescent="0.25">
      <c r="A35" s="98">
        <v>26</v>
      </c>
      <c r="B35" s="99">
        <v>10.43</v>
      </c>
      <c r="C35" s="99">
        <v>0.52</v>
      </c>
      <c r="D35" s="99">
        <v>1.35</v>
      </c>
      <c r="E35" s="99">
        <v>0</v>
      </c>
    </row>
    <row r="36" spans="1:5" x14ac:dyDescent="0.25">
      <c r="A36" s="98">
        <v>27</v>
      </c>
      <c r="B36" s="99">
        <v>10.58</v>
      </c>
      <c r="C36" s="99">
        <v>0.53</v>
      </c>
      <c r="D36" s="99">
        <v>1.37</v>
      </c>
      <c r="E36" s="99">
        <v>0</v>
      </c>
    </row>
    <row r="37" spans="1:5" x14ac:dyDescent="0.25">
      <c r="A37" s="98">
        <v>28</v>
      </c>
      <c r="B37" s="99">
        <v>10.73</v>
      </c>
      <c r="C37" s="99">
        <v>0.54</v>
      </c>
      <c r="D37" s="99">
        <v>1.39</v>
      </c>
      <c r="E37" s="99">
        <v>0</v>
      </c>
    </row>
    <row r="38" spans="1:5" x14ac:dyDescent="0.25">
      <c r="A38" s="98">
        <v>29</v>
      </c>
      <c r="B38" s="99">
        <v>10.89</v>
      </c>
      <c r="C38" s="99">
        <v>0.55000000000000004</v>
      </c>
      <c r="D38" s="99">
        <v>1.4</v>
      </c>
      <c r="E38" s="99">
        <v>0</v>
      </c>
    </row>
    <row r="39" spans="1:5" x14ac:dyDescent="0.25">
      <c r="A39" s="98">
        <v>30</v>
      </c>
      <c r="B39" s="99">
        <v>11.04</v>
      </c>
      <c r="C39" s="99">
        <v>0.56000000000000005</v>
      </c>
      <c r="D39" s="99">
        <v>1.42</v>
      </c>
      <c r="E39" s="99">
        <v>0</v>
      </c>
    </row>
    <row r="40" spans="1:5" x14ac:dyDescent="0.25">
      <c r="A40" s="98">
        <v>31</v>
      </c>
      <c r="B40" s="99">
        <v>11.2</v>
      </c>
      <c r="C40" s="99">
        <v>0.56999999999999995</v>
      </c>
      <c r="D40" s="99">
        <v>1.44</v>
      </c>
      <c r="E40" s="99">
        <v>0</v>
      </c>
    </row>
    <row r="41" spans="1:5" x14ac:dyDescent="0.25">
      <c r="A41" s="98">
        <v>32</v>
      </c>
      <c r="B41" s="99">
        <v>11.37</v>
      </c>
      <c r="C41" s="99">
        <v>0.57999999999999996</v>
      </c>
      <c r="D41" s="99">
        <v>1.46</v>
      </c>
      <c r="E41" s="99">
        <v>0</v>
      </c>
    </row>
    <row r="42" spans="1:5" x14ac:dyDescent="0.25">
      <c r="A42" s="98">
        <v>33</v>
      </c>
      <c r="B42" s="99">
        <v>11.53</v>
      </c>
      <c r="C42" s="99">
        <v>0.59</v>
      </c>
      <c r="D42" s="99">
        <v>1.48</v>
      </c>
      <c r="E42" s="99">
        <v>0</v>
      </c>
    </row>
    <row r="43" spans="1:5" x14ac:dyDescent="0.25">
      <c r="A43" s="98">
        <v>34</v>
      </c>
      <c r="B43" s="99">
        <v>11.7</v>
      </c>
      <c r="C43" s="99">
        <v>0.6</v>
      </c>
      <c r="D43" s="99">
        <v>1.5</v>
      </c>
      <c r="E43" s="99">
        <v>0</v>
      </c>
    </row>
    <row r="44" spans="1:5" x14ac:dyDescent="0.25">
      <c r="A44" s="98">
        <v>35</v>
      </c>
      <c r="B44" s="99">
        <v>11.87</v>
      </c>
      <c r="C44" s="99">
        <v>0.61</v>
      </c>
      <c r="D44" s="99">
        <v>1.52</v>
      </c>
      <c r="E44" s="99">
        <v>0</v>
      </c>
    </row>
    <row r="45" spans="1:5" x14ac:dyDescent="0.25">
      <c r="A45" s="98">
        <v>36</v>
      </c>
      <c r="B45" s="99">
        <v>12.04</v>
      </c>
      <c r="C45" s="99">
        <v>0.62</v>
      </c>
      <c r="D45" s="99">
        <v>1.54</v>
      </c>
      <c r="E45" s="99">
        <v>0</v>
      </c>
    </row>
    <row r="46" spans="1:5" x14ac:dyDescent="0.25">
      <c r="A46" s="98">
        <v>37</v>
      </c>
      <c r="B46" s="99">
        <v>12.22</v>
      </c>
      <c r="C46" s="99">
        <v>0.63</v>
      </c>
      <c r="D46" s="99">
        <v>1.56</v>
      </c>
      <c r="E46" s="99">
        <v>0</v>
      </c>
    </row>
    <row r="47" spans="1:5" x14ac:dyDescent="0.25">
      <c r="A47" s="98">
        <v>38</v>
      </c>
      <c r="B47" s="99">
        <v>12.4</v>
      </c>
      <c r="C47" s="99">
        <v>0.64</v>
      </c>
      <c r="D47" s="99">
        <v>1.57</v>
      </c>
      <c r="E47" s="99">
        <v>0</v>
      </c>
    </row>
    <row r="48" spans="1:5" x14ac:dyDescent="0.25">
      <c r="A48" s="98">
        <v>39</v>
      </c>
      <c r="B48" s="99">
        <v>12.58</v>
      </c>
      <c r="C48" s="99">
        <v>0.65</v>
      </c>
      <c r="D48" s="99">
        <v>1.59</v>
      </c>
      <c r="E48" s="99">
        <v>0</v>
      </c>
    </row>
    <row r="49" spans="1:5" x14ac:dyDescent="0.25">
      <c r="A49" s="98">
        <v>40</v>
      </c>
      <c r="B49" s="99">
        <v>12.76</v>
      </c>
      <c r="C49" s="99">
        <v>0.66</v>
      </c>
      <c r="D49" s="99">
        <v>1.61</v>
      </c>
      <c r="E49" s="99">
        <v>0</v>
      </c>
    </row>
    <row r="50" spans="1:5" x14ac:dyDescent="0.25">
      <c r="A50" s="98">
        <v>41</v>
      </c>
      <c r="B50" s="99">
        <v>12.95</v>
      </c>
      <c r="C50" s="99">
        <v>0.67</v>
      </c>
      <c r="D50" s="99">
        <v>1.63</v>
      </c>
      <c r="E50" s="99">
        <v>0</v>
      </c>
    </row>
    <row r="51" spans="1:5" x14ac:dyDescent="0.25">
      <c r="A51" s="98">
        <v>42</v>
      </c>
      <c r="B51" s="99">
        <v>13.14</v>
      </c>
      <c r="C51" s="99">
        <v>0.68</v>
      </c>
      <c r="D51" s="99">
        <v>1.64</v>
      </c>
      <c r="E51" s="99">
        <v>0</v>
      </c>
    </row>
    <row r="52" spans="1:5" x14ac:dyDescent="0.25">
      <c r="A52" s="98">
        <v>43</v>
      </c>
      <c r="B52" s="99">
        <v>13.34</v>
      </c>
      <c r="C52" s="99">
        <v>0.7</v>
      </c>
      <c r="D52" s="99">
        <v>1.66</v>
      </c>
      <c r="E52" s="99">
        <v>0</v>
      </c>
    </row>
    <row r="53" spans="1:5" x14ac:dyDescent="0.25">
      <c r="A53" s="98">
        <v>44</v>
      </c>
      <c r="B53" s="99">
        <v>13.53</v>
      </c>
      <c r="C53" s="99">
        <v>0.71</v>
      </c>
      <c r="D53" s="99">
        <v>1.68</v>
      </c>
      <c r="E53" s="99">
        <v>0</v>
      </c>
    </row>
    <row r="54" spans="1:5" x14ac:dyDescent="0.25">
      <c r="A54" s="98">
        <v>45</v>
      </c>
      <c r="B54" s="99">
        <v>13.74</v>
      </c>
      <c r="C54" s="99">
        <v>0.72</v>
      </c>
      <c r="D54" s="99">
        <v>1.69</v>
      </c>
      <c r="E54" s="99">
        <v>0</v>
      </c>
    </row>
    <row r="55" spans="1:5" x14ac:dyDescent="0.25">
      <c r="A55" s="98">
        <v>46</v>
      </c>
      <c r="B55" s="99">
        <v>13.94</v>
      </c>
      <c r="C55" s="99">
        <v>0.73</v>
      </c>
      <c r="D55" s="99">
        <v>1.71</v>
      </c>
      <c r="E55" s="99">
        <v>0</v>
      </c>
    </row>
    <row r="56" spans="1:5" x14ac:dyDescent="0.25">
      <c r="A56" s="98">
        <v>47</v>
      </c>
      <c r="B56" s="99">
        <v>14.15</v>
      </c>
      <c r="C56" s="99">
        <v>0.74</v>
      </c>
      <c r="D56" s="99">
        <v>1.72</v>
      </c>
      <c r="E56" s="99">
        <v>0</v>
      </c>
    </row>
    <row r="57" spans="1:5" x14ac:dyDescent="0.25">
      <c r="A57" s="98">
        <v>48</v>
      </c>
      <c r="B57" s="99">
        <v>14.36</v>
      </c>
      <c r="C57" s="99">
        <v>0.76</v>
      </c>
      <c r="D57" s="99">
        <v>1.73</v>
      </c>
      <c r="E57" s="99">
        <v>0</v>
      </c>
    </row>
    <row r="58" spans="1:5" x14ac:dyDescent="0.25">
      <c r="A58" s="98">
        <v>49</v>
      </c>
      <c r="B58" s="99">
        <v>14.58</v>
      </c>
      <c r="C58" s="99">
        <v>0.77</v>
      </c>
      <c r="D58" s="99">
        <v>1.74</v>
      </c>
      <c r="E58" s="99">
        <v>0</v>
      </c>
    </row>
    <row r="59" spans="1:5" x14ac:dyDescent="0.25">
      <c r="A59" s="98">
        <v>50</v>
      </c>
      <c r="B59" s="99">
        <v>14.81</v>
      </c>
      <c r="C59" s="99">
        <v>0.78</v>
      </c>
      <c r="D59" s="99">
        <v>1.76</v>
      </c>
      <c r="E59" s="99">
        <v>0</v>
      </c>
    </row>
    <row r="60" spans="1:5" x14ac:dyDescent="0.25">
      <c r="A60" s="98">
        <v>51</v>
      </c>
      <c r="B60" s="99">
        <v>15.03</v>
      </c>
      <c r="C60" s="99">
        <v>0.8</v>
      </c>
      <c r="D60" s="99">
        <v>1.77</v>
      </c>
      <c r="E60" s="99">
        <v>0</v>
      </c>
    </row>
    <row r="61" spans="1:5" x14ac:dyDescent="0.25">
      <c r="A61" s="98">
        <v>52</v>
      </c>
      <c r="B61" s="99">
        <v>15.27</v>
      </c>
      <c r="C61" s="99">
        <v>0.81</v>
      </c>
      <c r="D61" s="99">
        <v>1.78</v>
      </c>
      <c r="E61" s="99">
        <v>0</v>
      </c>
    </row>
    <row r="62" spans="1:5" x14ac:dyDescent="0.25">
      <c r="A62" s="98">
        <v>53</v>
      </c>
      <c r="B62" s="99">
        <v>15.5</v>
      </c>
      <c r="C62" s="99">
        <v>0.82</v>
      </c>
      <c r="D62" s="99">
        <v>1.79</v>
      </c>
      <c r="E62" s="99">
        <v>0</v>
      </c>
    </row>
    <row r="63" spans="1:5" x14ac:dyDescent="0.25">
      <c r="A63" s="98">
        <v>54</v>
      </c>
      <c r="B63" s="99">
        <v>15.75</v>
      </c>
      <c r="C63" s="99">
        <v>0.84</v>
      </c>
      <c r="D63" s="99">
        <v>1.79</v>
      </c>
      <c r="E63" s="99">
        <v>0</v>
      </c>
    </row>
    <row r="64" spans="1:5" x14ac:dyDescent="0.25">
      <c r="A64" s="98">
        <v>55</v>
      </c>
      <c r="B64" s="99">
        <v>16</v>
      </c>
      <c r="C64" s="99">
        <v>0.85</v>
      </c>
      <c r="D64" s="99">
        <v>1.8</v>
      </c>
      <c r="E64" s="99">
        <v>0</v>
      </c>
    </row>
    <row r="65" spans="1:5" x14ac:dyDescent="0.25">
      <c r="A65" s="98">
        <v>56</v>
      </c>
      <c r="B65" s="99">
        <v>16.25</v>
      </c>
      <c r="C65" s="99">
        <v>0.87</v>
      </c>
      <c r="D65" s="99">
        <v>1.81</v>
      </c>
      <c r="E65" s="99">
        <v>0</v>
      </c>
    </row>
    <row r="66" spans="1:5" x14ac:dyDescent="0.25">
      <c r="A66" s="98">
        <v>57</v>
      </c>
      <c r="B66" s="99">
        <v>16.52</v>
      </c>
      <c r="C66" s="99">
        <v>0.88</v>
      </c>
      <c r="D66" s="99">
        <v>1.81</v>
      </c>
      <c r="E66" s="99">
        <v>0</v>
      </c>
    </row>
    <row r="67" spans="1:5" x14ac:dyDescent="0.25">
      <c r="A67" s="98">
        <v>58</v>
      </c>
      <c r="B67" s="99">
        <v>16.79</v>
      </c>
      <c r="C67" s="99">
        <v>0.9</v>
      </c>
      <c r="D67" s="99">
        <v>1.81</v>
      </c>
      <c r="E67" s="99">
        <v>0</v>
      </c>
    </row>
    <row r="68" spans="1:5" x14ac:dyDescent="0.25">
      <c r="A68" s="98">
        <v>59</v>
      </c>
      <c r="B68" s="99">
        <v>17.07</v>
      </c>
      <c r="C68" s="99">
        <v>0.91</v>
      </c>
      <c r="D68" s="99">
        <v>1.81</v>
      </c>
      <c r="E68" s="99">
        <v>0</v>
      </c>
    </row>
    <row r="69" spans="1:5" x14ac:dyDescent="0.25">
      <c r="A69" s="98">
        <v>60</v>
      </c>
      <c r="B69" s="99">
        <v>17.37</v>
      </c>
      <c r="C69" s="99">
        <v>0.93</v>
      </c>
      <c r="D69" s="99">
        <v>1.81</v>
      </c>
      <c r="E69" s="99">
        <v>0</v>
      </c>
    </row>
    <row r="70" spans="1:5" x14ac:dyDescent="0.25">
      <c r="A70" s="98">
        <v>61</v>
      </c>
      <c r="B70" s="99">
        <v>17.670000000000002</v>
      </c>
      <c r="C70" s="99">
        <v>0.94</v>
      </c>
      <c r="D70" s="99">
        <v>1.8</v>
      </c>
      <c r="E70" s="99">
        <v>0</v>
      </c>
    </row>
    <row r="71" spans="1:5" x14ac:dyDescent="0.25">
      <c r="A71" s="98">
        <v>62</v>
      </c>
      <c r="B71" s="99">
        <v>17.989999999999998</v>
      </c>
      <c r="C71" s="99">
        <v>0.96</v>
      </c>
      <c r="D71" s="99">
        <v>1.8</v>
      </c>
      <c r="E71" s="99">
        <v>0</v>
      </c>
    </row>
    <row r="72" spans="1:5" x14ac:dyDescent="0.25">
      <c r="A72" s="98">
        <v>63</v>
      </c>
      <c r="B72" s="99">
        <v>18.309999999999999</v>
      </c>
      <c r="C72" s="99">
        <v>0.98</v>
      </c>
      <c r="D72" s="99">
        <v>1.79</v>
      </c>
      <c r="E72" s="99">
        <v>0</v>
      </c>
    </row>
    <row r="73" spans="1:5" x14ac:dyDescent="0.25">
      <c r="A73" s="98">
        <v>64</v>
      </c>
      <c r="B73" s="99">
        <v>18.66</v>
      </c>
      <c r="C73" s="99">
        <v>0.99</v>
      </c>
      <c r="D73" s="99">
        <v>1.77</v>
      </c>
      <c r="E73" s="99">
        <v>0</v>
      </c>
    </row>
  </sheetData>
  <sheetProtection algorithmName="SHA-512" hashValue="q2m6adXGqgvtZy304IAIP1Bc4CvNWuOFTBbVxSIvQC/x52GvpeU6drl2gNH0klbcwIMEct8g2B3r6VgQJjp8Zw==" saltValue="iI6SgoQMZ4whQtyLnLH18w==" spinCount="100000" sheet="1" objects="1" scenarios="1"/>
  <conditionalFormatting sqref="A6:A21">
    <cfRule type="expression" dxfId="1149" priority="13" stopIfTrue="1">
      <formula>MOD(ROW(),2)=0</formula>
    </cfRule>
    <cfRule type="expression" dxfId="1148" priority="14" stopIfTrue="1">
      <formula>MOD(ROW(),2)&lt;&gt;0</formula>
    </cfRule>
  </conditionalFormatting>
  <conditionalFormatting sqref="A26:A73">
    <cfRule type="expression" dxfId="1147" priority="5" stopIfTrue="1">
      <formula>MOD(ROW(),2)=0</formula>
    </cfRule>
    <cfRule type="expression" dxfId="1146" priority="6" stopIfTrue="1">
      <formula>MOD(ROW(),2)&lt;&gt;0</formula>
    </cfRule>
  </conditionalFormatting>
  <conditionalFormatting sqref="B17:B21">
    <cfRule type="expression" dxfId="1145" priority="1" stopIfTrue="1">
      <formula>MOD(ROW(),2)=0</formula>
    </cfRule>
    <cfRule type="expression" dxfId="1144" priority="2" stopIfTrue="1">
      <formula>MOD(ROW(),2)&lt;&gt;0</formula>
    </cfRule>
  </conditionalFormatting>
  <conditionalFormatting sqref="B6:E21">
    <cfRule type="expression" dxfId="1143" priority="21" stopIfTrue="1">
      <formula>MOD(ROW(),2)=0</formula>
    </cfRule>
    <cfRule type="expression" dxfId="1142" priority="22" stopIfTrue="1">
      <formula>MOD(ROW(),2)&lt;&gt;0</formula>
    </cfRule>
  </conditionalFormatting>
  <conditionalFormatting sqref="B26:E73">
    <cfRule type="expression" dxfId="1141" priority="7" stopIfTrue="1">
      <formula>MOD(ROW(),2)=0</formula>
    </cfRule>
    <cfRule type="expression" dxfId="1140" priority="8" stopIfTrue="1">
      <formula>MOD(ROW(),2)&lt;&gt;0</formula>
    </cfRule>
  </conditionalFormatting>
  <hyperlinks>
    <hyperlink ref="B24" location="Assumptions!A1" display="Assumptions" xr:uid="{A797B5BA-99A1-433F-B665-879630600A5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L68"/>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7" width="10" style="26"/>
    <col min="8" max="8" width="31.54296875" style="26" customWidth="1"/>
    <col min="9" max="12" width="22.54296875" style="26" customWidth="1"/>
    <col min="13" max="16384" width="10" style="26"/>
  </cols>
  <sheetData>
    <row r="1" spans="1:12" ht="20" x14ac:dyDescent="0.4">
      <c r="A1" s="37" t="s">
        <v>0</v>
      </c>
      <c r="B1" s="38"/>
      <c r="C1" s="38"/>
      <c r="D1" s="38"/>
      <c r="E1" s="38"/>
      <c r="F1" s="38"/>
      <c r="G1" s="38"/>
      <c r="H1" s="38"/>
    </row>
    <row r="2" spans="1:12" ht="15.5" x14ac:dyDescent="0.35">
      <c r="A2" s="39" t="str">
        <f>IF(title="&gt; Enter workbook title here","Enter workbook title in Cover sheet",title)</f>
        <v>NHSPS_S - Consolidated Factor Spreadsheet</v>
      </c>
      <c r="B2" s="40"/>
      <c r="C2" s="40"/>
      <c r="D2" s="40"/>
      <c r="E2" s="40"/>
      <c r="F2" s="40"/>
      <c r="G2" s="40"/>
      <c r="H2" s="40"/>
    </row>
    <row r="3" spans="1:12" ht="15.5" x14ac:dyDescent="0.35">
      <c r="A3" s="41" t="str">
        <f>TABLE_FACTOR_TYPE_1&amp;" - x-"&amp;TABLE_SERIES_NUMBER_1</f>
        <v>CETV - x-204</v>
      </c>
      <c r="B3" s="40"/>
      <c r="C3" s="40"/>
      <c r="D3" s="40"/>
      <c r="E3" s="40"/>
      <c r="F3" s="40"/>
      <c r="G3" s="40"/>
      <c r="H3" s="40"/>
    </row>
    <row r="4" spans="1:12" x14ac:dyDescent="0.25">
      <c r="A4" s="42"/>
    </row>
    <row r="6" spans="1:12" ht="13" x14ac:dyDescent="0.3">
      <c r="A6" s="73" t="s">
        <v>274</v>
      </c>
      <c r="B6" s="114" t="s">
        <v>275</v>
      </c>
      <c r="C6" s="114"/>
      <c r="D6" s="114"/>
      <c r="E6" s="114"/>
      <c r="H6" s="73" t="s">
        <v>274</v>
      </c>
      <c r="I6" s="114" t="s">
        <v>275</v>
      </c>
      <c r="J6" s="114"/>
      <c r="K6" s="114"/>
      <c r="L6" s="114"/>
    </row>
    <row r="7" spans="1:12" x14ac:dyDescent="0.25">
      <c r="A7" s="74" t="s">
        <v>276</v>
      </c>
      <c r="B7" s="114" t="s">
        <v>72</v>
      </c>
      <c r="C7" s="114"/>
      <c r="D7" s="114"/>
      <c r="E7" s="114"/>
      <c r="H7" s="74" t="s">
        <v>276</v>
      </c>
      <c r="I7" s="114" t="s">
        <v>72</v>
      </c>
      <c r="J7" s="114"/>
      <c r="K7" s="114"/>
      <c r="L7" s="114"/>
    </row>
    <row r="8" spans="1:12" x14ac:dyDescent="0.25">
      <c r="A8" s="74" t="s">
        <v>278</v>
      </c>
      <c r="B8" s="114" t="s">
        <v>74</v>
      </c>
      <c r="C8" s="114"/>
      <c r="D8" s="114"/>
      <c r="E8" s="114"/>
      <c r="H8" s="74" t="s">
        <v>278</v>
      </c>
      <c r="I8" s="114" t="s">
        <v>74</v>
      </c>
      <c r="J8" s="114"/>
      <c r="K8" s="114"/>
      <c r="L8" s="114"/>
    </row>
    <row r="9" spans="1:12" x14ac:dyDescent="0.25">
      <c r="A9" s="74" t="s">
        <v>280</v>
      </c>
      <c r="B9" s="114" t="s">
        <v>325</v>
      </c>
      <c r="C9" s="114"/>
      <c r="D9" s="114"/>
      <c r="E9" s="114"/>
      <c r="H9" s="74" t="s">
        <v>280</v>
      </c>
      <c r="I9" s="114" t="s">
        <v>325</v>
      </c>
      <c r="J9" s="114"/>
      <c r="K9" s="114"/>
      <c r="L9" s="114"/>
    </row>
    <row r="10" spans="1:12" x14ac:dyDescent="0.25">
      <c r="A10" s="74" t="s">
        <v>6</v>
      </c>
      <c r="B10" s="114" t="s">
        <v>337</v>
      </c>
      <c r="C10" s="114"/>
      <c r="D10" s="114"/>
      <c r="E10" s="114"/>
      <c r="H10" s="74" t="s">
        <v>6</v>
      </c>
      <c r="I10" s="114" t="s">
        <v>340</v>
      </c>
      <c r="J10" s="114"/>
      <c r="K10" s="114"/>
      <c r="L10" s="114"/>
    </row>
    <row r="11" spans="1:12" x14ac:dyDescent="0.25">
      <c r="A11" s="74" t="s">
        <v>283</v>
      </c>
      <c r="B11" s="114" t="s">
        <v>331</v>
      </c>
      <c r="C11" s="114"/>
      <c r="D11" s="114"/>
      <c r="E11" s="114"/>
      <c r="H11" s="74" t="s">
        <v>283</v>
      </c>
      <c r="I11" s="114" t="s">
        <v>331</v>
      </c>
      <c r="J11" s="114"/>
      <c r="K11" s="114"/>
      <c r="L11" s="114"/>
    </row>
    <row r="12" spans="1:12" x14ac:dyDescent="0.25">
      <c r="A12" s="74" t="s">
        <v>285</v>
      </c>
      <c r="B12" s="114" t="s">
        <v>311</v>
      </c>
      <c r="C12" s="114"/>
      <c r="D12" s="114"/>
      <c r="E12" s="114"/>
      <c r="H12" s="74" t="s">
        <v>285</v>
      </c>
      <c r="I12" s="114" t="s">
        <v>311</v>
      </c>
      <c r="J12" s="114"/>
      <c r="K12" s="114"/>
      <c r="L12" s="114"/>
    </row>
    <row r="13" spans="1:12" x14ac:dyDescent="0.25">
      <c r="A13" s="74" t="s">
        <v>287</v>
      </c>
      <c r="B13" s="114">
        <v>2</v>
      </c>
      <c r="C13" s="114"/>
      <c r="D13" s="114"/>
      <c r="E13" s="114"/>
      <c r="H13" s="74" t="s">
        <v>287</v>
      </c>
      <c r="I13" s="114">
        <v>2</v>
      </c>
      <c r="J13" s="114"/>
      <c r="K13" s="114"/>
      <c r="L13" s="114"/>
    </row>
    <row r="14" spans="1:12" x14ac:dyDescent="0.25">
      <c r="A14" s="74" t="s">
        <v>289</v>
      </c>
      <c r="B14" s="114">
        <v>204</v>
      </c>
      <c r="C14" s="114"/>
      <c r="D14" s="114"/>
      <c r="E14" s="114"/>
      <c r="H14" s="74" t="s">
        <v>289</v>
      </c>
      <c r="I14" s="114">
        <v>204</v>
      </c>
      <c r="J14" s="114"/>
      <c r="K14" s="114"/>
      <c r="L14" s="114"/>
    </row>
    <row r="15" spans="1:12" x14ac:dyDescent="0.25">
      <c r="A15" s="74" t="s">
        <v>291</v>
      </c>
      <c r="B15" s="114" t="s">
        <v>338</v>
      </c>
      <c r="C15" s="114"/>
      <c r="D15" s="114"/>
      <c r="E15" s="114"/>
      <c r="H15" s="74" t="s">
        <v>291</v>
      </c>
      <c r="I15" s="114" t="s">
        <v>341</v>
      </c>
      <c r="J15" s="114"/>
      <c r="K15" s="114"/>
      <c r="L15" s="114"/>
    </row>
    <row r="16" spans="1:12" x14ac:dyDescent="0.25">
      <c r="A16" s="74" t="s">
        <v>293</v>
      </c>
      <c r="B16" s="114" t="s">
        <v>339</v>
      </c>
      <c r="C16" s="114"/>
      <c r="D16" s="114"/>
      <c r="E16" s="114"/>
      <c r="H16" s="74" t="s">
        <v>293</v>
      </c>
      <c r="I16" s="114" t="s">
        <v>339</v>
      </c>
      <c r="J16" s="114"/>
      <c r="K16" s="114"/>
      <c r="L16" s="114"/>
    </row>
    <row r="17" spans="1:12" x14ac:dyDescent="0.25">
      <c r="A17" s="74" t="s">
        <v>760</v>
      </c>
      <c r="B17" s="114"/>
      <c r="C17" s="114"/>
      <c r="D17" s="114"/>
      <c r="E17" s="114"/>
      <c r="H17" s="74" t="s">
        <v>760</v>
      </c>
      <c r="I17" s="114"/>
      <c r="J17" s="114"/>
      <c r="K17" s="114"/>
      <c r="L17" s="114"/>
    </row>
    <row r="18" spans="1:12" x14ac:dyDescent="0.25">
      <c r="A18" s="74" t="s">
        <v>297</v>
      </c>
      <c r="B18" s="162" t="s">
        <v>762</v>
      </c>
      <c r="C18" s="114"/>
      <c r="D18" s="114"/>
      <c r="E18" s="114"/>
      <c r="H18" s="74" t="s">
        <v>297</v>
      </c>
      <c r="I18" s="162" t="s">
        <v>762</v>
      </c>
      <c r="J18" s="114"/>
      <c r="K18" s="114"/>
      <c r="L18" s="114"/>
    </row>
    <row r="19" spans="1:12" x14ac:dyDescent="0.25">
      <c r="A19" s="74" t="s">
        <v>299</v>
      </c>
      <c r="B19" s="162">
        <v>45014</v>
      </c>
      <c r="C19" s="114"/>
      <c r="D19" s="114"/>
      <c r="E19" s="114"/>
      <c r="H19" s="74" t="s">
        <v>299</v>
      </c>
      <c r="I19" s="162">
        <v>45014</v>
      </c>
      <c r="J19" s="114"/>
      <c r="K19" s="114"/>
      <c r="L19" s="114"/>
    </row>
    <row r="20" spans="1:12" x14ac:dyDescent="0.25">
      <c r="A20" s="74" t="s">
        <v>301</v>
      </c>
      <c r="B20" s="114" t="s">
        <v>314</v>
      </c>
      <c r="C20" s="114"/>
      <c r="D20" s="114"/>
      <c r="E20" s="114"/>
      <c r="H20" s="74" t="s">
        <v>301</v>
      </c>
      <c r="I20" s="114" t="s">
        <v>314</v>
      </c>
      <c r="J20" s="114"/>
      <c r="K20" s="114"/>
      <c r="L20" s="114"/>
    </row>
    <row r="21" spans="1:12" x14ac:dyDescent="0.25">
      <c r="A21" s="74" t="s">
        <v>307</v>
      </c>
      <c r="B21" s="114" t="s">
        <v>315</v>
      </c>
      <c r="C21" s="114"/>
      <c r="D21" s="114"/>
      <c r="E21" s="114"/>
      <c r="H21" s="74" t="s">
        <v>307</v>
      </c>
      <c r="I21" s="114" t="s">
        <v>315</v>
      </c>
      <c r="J21" s="114"/>
      <c r="K21" s="114"/>
      <c r="L21" s="114"/>
    </row>
    <row r="23" spans="1:12" x14ac:dyDescent="0.25">
      <c r="B23" s="100" t="str">
        <f>HYPERLINK("#'Factor List'!A1","Back to Factor List")</f>
        <v>Back to Factor List</v>
      </c>
    </row>
    <row r="24" spans="1:12" x14ac:dyDescent="0.25">
      <c r="B24" s="100" t="s">
        <v>13</v>
      </c>
    </row>
    <row r="26" spans="1:12" ht="39" x14ac:dyDescent="0.25">
      <c r="A26" s="97" t="s">
        <v>417</v>
      </c>
      <c r="B26" s="97" t="s">
        <v>763</v>
      </c>
      <c r="C26" s="97" t="s">
        <v>768</v>
      </c>
      <c r="D26" s="97" t="s">
        <v>765</v>
      </c>
      <c r="E26" s="97" t="s">
        <v>770</v>
      </c>
      <c r="H26" s="97" t="s">
        <v>417</v>
      </c>
      <c r="I26" s="97" t="s">
        <v>763</v>
      </c>
      <c r="J26" s="97" t="s">
        <v>768</v>
      </c>
      <c r="K26" s="97" t="s">
        <v>765</v>
      </c>
      <c r="L26" s="97" t="s">
        <v>771</v>
      </c>
    </row>
    <row r="27" spans="1:12" x14ac:dyDescent="0.25">
      <c r="A27" s="98">
        <v>18</v>
      </c>
      <c r="B27" s="99">
        <v>9.2899999999999991</v>
      </c>
      <c r="C27" s="99">
        <v>0.46</v>
      </c>
      <c r="D27" s="99">
        <v>1.17</v>
      </c>
      <c r="E27" s="99">
        <v>0</v>
      </c>
      <c r="H27" s="98">
        <v>60</v>
      </c>
      <c r="I27" s="99">
        <v>17.37</v>
      </c>
      <c r="J27" s="99">
        <v>0.93</v>
      </c>
      <c r="K27" s="99">
        <v>1.81</v>
      </c>
      <c r="L27" s="99">
        <v>0</v>
      </c>
    </row>
    <row r="28" spans="1:12" x14ac:dyDescent="0.25">
      <c r="A28" s="98">
        <v>19</v>
      </c>
      <c r="B28" s="99">
        <v>9.43</v>
      </c>
      <c r="C28" s="99">
        <v>0.46</v>
      </c>
      <c r="D28" s="99">
        <v>1.21</v>
      </c>
      <c r="E28" s="99">
        <v>0</v>
      </c>
      <c r="H28" s="98">
        <v>61</v>
      </c>
      <c r="I28" s="99">
        <v>17.670000000000002</v>
      </c>
      <c r="J28" s="99">
        <v>0.94</v>
      </c>
      <c r="K28" s="99">
        <v>1.8</v>
      </c>
      <c r="L28" s="99">
        <v>0</v>
      </c>
    </row>
    <row r="29" spans="1:12" x14ac:dyDescent="0.25">
      <c r="A29" s="98">
        <v>20</v>
      </c>
      <c r="B29" s="99">
        <v>9.56</v>
      </c>
      <c r="C29" s="99">
        <v>0.47</v>
      </c>
      <c r="D29" s="99">
        <v>1.23</v>
      </c>
      <c r="E29" s="99">
        <v>0</v>
      </c>
      <c r="H29" s="98">
        <v>62</v>
      </c>
      <c r="I29" s="99">
        <v>17.989999999999998</v>
      </c>
      <c r="J29" s="99">
        <v>0.96</v>
      </c>
      <c r="K29" s="99">
        <v>1.8</v>
      </c>
      <c r="L29" s="99">
        <v>0</v>
      </c>
    </row>
    <row r="30" spans="1:12" x14ac:dyDescent="0.25">
      <c r="A30" s="98">
        <v>21</v>
      </c>
      <c r="B30" s="99">
        <v>9.6999999999999993</v>
      </c>
      <c r="C30" s="99">
        <v>0.48</v>
      </c>
      <c r="D30" s="99">
        <v>1.25</v>
      </c>
      <c r="E30" s="99">
        <v>0</v>
      </c>
      <c r="H30" s="98">
        <v>63</v>
      </c>
      <c r="I30" s="99">
        <v>18.309999999999999</v>
      </c>
      <c r="J30" s="99">
        <v>0.98</v>
      </c>
      <c r="K30" s="99">
        <v>1.79</v>
      </c>
      <c r="L30" s="99">
        <v>0</v>
      </c>
    </row>
    <row r="31" spans="1:12" x14ac:dyDescent="0.25">
      <c r="A31" s="98">
        <v>22</v>
      </c>
      <c r="B31" s="99">
        <v>9.84</v>
      </c>
      <c r="C31" s="99">
        <v>0.49</v>
      </c>
      <c r="D31" s="99">
        <v>1.27</v>
      </c>
      <c r="E31" s="99">
        <v>0</v>
      </c>
      <c r="H31" s="98">
        <v>64</v>
      </c>
      <c r="I31" s="99">
        <v>18.66</v>
      </c>
      <c r="J31" s="99">
        <v>0.99</v>
      </c>
      <c r="K31" s="99">
        <v>1.77</v>
      </c>
      <c r="L31" s="99">
        <v>0</v>
      </c>
    </row>
    <row r="32" spans="1:12" x14ac:dyDescent="0.25">
      <c r="A32" s="98">
        <v>23</v>
      </c>
      <c r="B32" s="99">
        <v>9.99</v>
      </c>
      <c r="C32" s="99">
        <v>0.5</v>
      </c>
      <c r="D32" s="99">
        <v>1.29</v>
      </c>
      <c r="E32" s="99">
        <v>0</v>
      </c>
    </row>
    <row r="33" spans="1:5" x14ac:dyDescent="0.25">
      <c r="A33" s="98">
        <v>24</v>
      </c>
      <c r="B33" s="99">
        <v>10.130000000000001</v>
      </c>
      <c r="C33" s="99">
        <v>0.51</v>
      </c>
      <c r="D33" s="99">
        <v>1.31</v>
      </c>
      <c r="E33" s="99">
        <v>0</v>
      </c>
    </row>
    <row r="34" spans="1:5" x14ac:dyDescent="0.25">
      <c r="A34" s="98">
        <v>25</v>
      </c>
      <c r="B34" s="99">
        <v>10.28</v>
      </c>
      <c r="C34" s="99">
        <v>0.51</v>
      </c>
      <c r="D34" s="99">
        <v>1.33</v>
      </c>
      <c r="E34" s="99">
        <v>0</v>
      </c>
    </row>
    <row r="35" spans="1:5" x14ac:dyDescent="0.25">
      <c r="A35" s="98">
        <v>26</v>
      </c>
      <c r="B35" s="99">
        <v>10.43</v>
      </c>
      <c r="C35" s="99">
        <v>0.52</v>
      </c>
      <c r="D35" s="99">
        <v>1.35</v>
      </c>
      <c r="E35" s="99">
        <v>0</v>
      </c>
    </row>
    <row r="36" spans="1:5" x14ac:dyDescent="0.25">
      <c r="A36" s="98">
        <v>27</v>
      </c>
      <c r="B36" s="99">
        <v>10.58</v>
      </c>
      <c r="C36" s="99">
        <v>0.53</v>
      </c>
      <c r="D36" s="99">
        <v>1.37</v>
      </c>
      <c r="E36" s="99">
        <v>0</v>
      </c>
    </row>
    <row r="37" spans="1:5" x14ac:dyDescent="0.25">
      <c r="A37" s="98">
        <v>28</v>
      </c>
      <c r="B37" s="99">
        <v>10.73</v>
      </c>
      <c r="C37" s="99">
        <v>0.54</v>
      </c>
      <c r="D37" s="99">
        <v>1.39</v>
      </c>
      <c r="E37" s="99">
        <v>0</v>
      </c>
    </row>
    <row r="38" spans="1:5" x14ac:dyDescent="0.25">
      <c r="A38" s="98">
        <v>29</v>
      </c>
      <c r="B38" s="99">
        <v>10.89</v>
      </c>
      <c r="C38" s="99">
        <v>0.55000000000000004</v>
      </c>
      <c r="D38" s="99">
        <v>1.4</v>
      </c>
      <c r="E38" s="99">
        <v>0</v>
      </c>
    </row>
    <row r="39" spans="1:5" x14ac:dyDescent="0.25">
      <c r="A39" s="98">
        <v>30</v>
      </c>
      <c r="B39" s="99">
        <v>11.04</v>
      </c>
      <c r="C39" s="99">
        <v>0.56000000000000005</v>
      </c>
      <c r="D39" s="99">
        <v>1.42</v>
      </c>
      <c r="E39" s="99">
        <v>0</v>
      </c>
    </row>
    <row r="40" spans="1:5" x14ac:dyDescent="0.25">
      <c r="A40" s="98">
        <v>31</v>
      </c>
      <c r="B40" s="99">
        <v>11.2</v>
      </c>
      <c r="C40" s="99">
        <v>0.56999999999999995</v>
      </c>
      <c r="D40" s="99">
        <v>1.44</v>
      </c>
      <c r="E40" s="99">
        <v>0</v>
      </c>
    </row>
    <row r="41" spans="1:5" x14ac:dyDescent="0.25">
      <c r="A41" s="98">
        <v>32</v>
      </c>
      <c r="B41" s="99">
        <v>11.37</v>
      </c>
      <c r="C41" s="99">
        <v>0.57999999999999996</v>
      </c>
      <c r="D41" s="99">
        <v>1.46</v>
      </c>
      <c r="E41" s="99">
        <v>0</v>
      </c>
    </row>
    <row r="42" spans="1:5" x14ac:dyDescent="0.25">
      <c r="A42" s="98">
        <v>33</v>
      </c>
      <c r="B42" s="99">
        <v>11.53</v>
      </c>
      <c r="C42" s="99">
        <v>0.59</v>
      </c>
      <c r="D42" s="99">
        <v>1.48</v>
      </c>
      <c r="E42" s="99">
        <v>0</v>
      </c>
    </row>
    <row r="43" spans="1:5" x14ac:dyDescent="0.25">
      <c r="A43" s="98">
        <v>34</v>
      </c>
      <c r="B43" s="99">
        <v>11.7</v>
      </c>
      <c r="C43" s="99">
        <v>0.6</v>
      </c>
      <c r="D43" s="99">
        <v>1.5</v>
      </c>
      <c r="E43" s="99">
        <v>0</v>
      </c>
    </row>
    <row r="44" spans="1:5" x14ac:dyDescent="0.25">
      <c r="A44" s="98">
        <v>35</v>
      </c>
      <c r="B44" s="99">
        <v>11.87</v>
      </c>
      <c r="C44" s="99">
        <v>0.61</v>
      </c>
      <c r="D44" s="99">
        <v>1.52</v>
      </c>
      <c r="E44" s="99">
        <v>0</v>
      </c>
    </row>
    <row r="45" spans="1:5" x14ac:dyDescent="0.25">
      <c r="A45" s="98">
        <v>36</v>
      </c>
      <c r="B45" s="99">
        <v>12.04</v>
      </c>
      <c r="C45" s="99">
        <v>0.62</v>
      </c>
      <c r="D45" s="99">
        <v>1.54</v>
      </c>
      <c r="E45" s="99">
        <v>0</v>
      </c>
    </row>
    <row r="46" spans="1:5" x14ac:dyDescent="0.25">
      <c r="A46" s="98">
        <v>37</v>
      </c>
      <c r="B46" s="99">
        <v>12.22</v>
      </c>
      <c r="C46" s="99">
        <v>0.63</v>
      </c>
      <c r="D46" s="99">
        <v>1.56</v>
      </c>
      <c r="E46" s="99">
        <v>0</v>
      </c>
    </row>
    <row r="47" spans="1:5" x14ac:dyDescent="0.25">
      <c r="A47" s="98">
        <v>38</v>
      </c>
      <c r="B47" s="99">
        <v>12.4</v>
      </c>
      <c r="C47" s="99">
        <v>0.64</v>
      </c>
      <c r="D47" s="99">
        <v>1.57</v>
      </c>
      <c r="E47" s="99">
        <v>0</v>
      </c>
    </row>
    <row r="48" spans="1:5" x14ac:dyDescent="0.25">
      <c r="A48" s="98">
        <v>39</v>
      </c>
      <c r="B48" s="99">
        <v>12.58</v>
      </c>
      <c r="C48" s="99">
        <v>0.65</v>
      </c>
      <c r="D48" s="99">
        <v>1.59</v>
      </c>
      <c r="E48" s="99">
        <v>0</v>
      </c>
    </row>
    <row r="49" spans="1:5" x14ac:dyDescent="0.25">
      <c r="A49" s="98">
        <v>40</v>
      </c>
      <c r="B49" s="99">
        <v>12.76</v>
      </c>
      <c r="C49" s="99">
        <v>0.66</v>
      </c>
      <c r="D49" s="99">
        <v>1.61</v>
      </c>
      <c r="E49" s="99">
        <v>0</v>
      </c>
    </row>
    <row r="50" spans="1:5" x14ac:dyDescent="0.25">
      <c r="A50" s="98">
        <v>41</v>
      </c>
      <c r="B50" s="99">
        <v>12.95</v>
      </c>
      <c r="C50" s="99">
        <v>0.67</v>
      </c>
      <c r="D50" s="99">
        <v>1.63</v>
      </c>
      <c r="E50" s="99">
        <v>0</v>
      </c>
    </row>
    <row r="51" spans="1:5" x14ac:dyDescent="0.25">
      <c r="A51" s="98">
        <v>42</v>
      </c>
      <c r="B51" s="99">
        <v>13.14</v>
      </c>
      <c r="C51" s="99">
        <v>0.68</v>
      </c>
      <c r="D51" s="99">
        <v>1.64</v>
      </c>
      <c r="E51" s="99">
        <v>0</v>
      </c>
    </row>
    <row r="52" spans="1:5" x14ac:dyDescent="0.25">
      <c r="A52" s="98">
        <v>43</v>
      </c>
      <c r="B52" s="99">
        <v>13.34</v>
      </c>
      <c r="C52" s="99">
        <v>0.7</v>
      </c>
      <c r="D52" s="99">
        <v>1.66</v>
      </c>
      <c r="E52" s="99">
        <v>0</v>
      </c>
    </row>
    <row r="53" spans="1:5" x14ac:dyDescent="0.25">
      <c r="A53" s="98">
        <v>44</v>
      </c>
      <c r="B53" s="99">
        <v>13.53</v>
      </c>
      <c r="C53" s="99">
        <v>0.71</v>
      </c>
      <c r="D53" s="99">
        <v>1.68</v>
      </c>
      <c r="E53" s="99">
        <v>0</v>
      </c>
    </row>
    <row r="54" spans="1:5" x14ac:dyDescent="0.25">
      <c r="A54" s="98">
        <v>45</v>
      </c>
      <c r="B54" s="99">
        <v>13.74</v>
      </c>
      <c r="C54" s="99">
        <v>0.72</v>
      </c>
      <c r="D54" s="99">
        <v>1.69</v>
      </c>
      <c r="E54" s="99">
        <v>0</v>
      </c>
    </row>
    <row r="55" spans="1:5" x14ac:dyDescent="0.25">
      <c r="A55" s="98">
        <v>46</v>
      </c>
      <c r="B55" s="99">
        <v>13.94</v>
      </c>
      <c r="C55" s="99">
        <v>0.73</v>
      </c>
      <c r="D55" s="99">
        <v>1.71</v>
      </c>
      <c r="E55" s="99">
        <v>0</v>
      </c>
    </row>
    <row r="56" spans="1:5" x14ac:dyDescent="0.25">
      <c r="A56" s="98">
        <v>47</v>
      </c>
      <c r="B56" s="99">
        <v>14.15</v>
      </c>
      <c r="C56" s="99">
        <v>0.74</v>
      </c>
      <c r="D56" s="99">
        <v>1.72</v>
      </c>
      <c r="E56" s="99">
        <v>0</v>
      </c>
    </row>
    <row r="57" spans="1:5" x14ac:dyDescent="0.25">
      <c r="A57" s="98">
        <v>48</v>
      </c>
      <c r="B57" s="99">
        <v>14.36</v>
      </c>
      <c r="C57" s="99">
        <v>0.76</v>
      </c>
      <c r="D57" s="99">
        <v>1.73</v>
      </c>
      <c r="E57" s="99">
        <v>0</v>
      </c>
    </row>
    <row r="58" spans="1:5" x14ac:dyDescent="0.25">
      <c r="A58" s="98">
        <v>49</v>
      </c>
      <c r="B58" s="99">
        <v>14.58</v>
      </c>
      <c r="C58" s="99">
        <v>0.77</v>
      </c>
      <c r="D58" s="99">
        <v>1.74</v>
      </c>
      <c r="E58" s="99">
        <v>0</v>
      </c>
    </row>
    <row r="59" spans="1:5" x14ac:dyDescent="0.25">
      <c r="A59" s="98">
        <v>50</v>
      </c>
      <c r="B59" s="99">
        <v>14.81</v>
      </c>
      <c r="C59" s="99">
        <v>0.78</v>
      </c>
      <c r="D59" s="99">
        <v>1.76</v>
      </c>
      <c r="E59" s="99">
        <v>0</v>
      </c>
    </row>
    <row r="60" spans="1:5" x14ac:dyDescent="0.25">
      <c r="A60" s="98">
        <v>51</v>
      </c>
      <c r="B60" s="99">
        <v>15.03</v>
      </c>
      <c r="C60" s="99">
        <v>0.8</v>
      </c>
      <c r="D60" s="99">
        <v>1.77</v>
      </c>
      <c r="E60" s="99">
        <v>0</v>
      </c>
    </row>
    <row r="61" spans="1:5" x14ac:dyDescent="0.25">
      <c r="A61" s="98">
        <v>52</v>
      </c>
      <c r="B61" s="99">
        <v>15.27</v>
      </c>
      <c r="C61" s="99">
        <v>0.81</v>
      </c>
      <c r="D61" s="99">
        <v>1.78</v>
      </c>
      <c r="E61" s="99">
        <v>0</v>
      </c>
    </row>
    <row r="62" spans="1:5" x14ac:dyDescent="0.25">
      <c r="A62" s="98">
        <v>53</v>
      </c>
      <c r="B62" s="99">
        <v>15.5</v>
      </c>
      <c r="C62" s="99">
        <v>0.82</v>
      </c>
      <c r="D62" s="99">
        <v>1.79</v>
      </c>
      <c r="E62" s="99">
        <v>0</v>
      </c>
    </row>
    <row r="63" spans="1:5" x14ac:dyDescent="0.25">
      <c r="A63" s="98">
        <v>54</v>
      </c>
      <c r="B63" s="99">
        <v>15.75</v>
      </c>
      <c r="C63" s="99">
        <v>0.84</v>
      </c>
      <c r="D63" s="99">
        <v>1.79</v>
      </c>
      <c r="E63" s="99">
        <v>0</v>
      </c>
    </row>
    <row r="64" spans="1:5" x14ac:dyDescent="0.25">
      <c r="A64" s="98">
        <v>55</v>
      </c>
      <c r="B64" s="99">
        <v>16</v>
      </c>
      <c r="C64" s="99">
        <v>0.85</v>
      </c>
      <c r="D64" s="99">
        <v>1.8</v>
      </c>
      <c r="E64" s="99">
        <v>0</v>
      </c>
    </row>
    <row r="65" spans="1:5" x14ac:dyDescent="0.25">
      <c r="A65" s="98">
        <v>56</v>
      </c>
      <c r="B65" s="99">
        <v>16.25</v>
      </c>
      <c r="C65" s="99">
        <v>0.87</v>
      </c>
      <c r="D65" s="99">
        <v>1.81</v>
      </c>
      <c r="E65" s="99">
        <v>0</v>
      </c>
    </row>
    <row r="66" spans="1:5" x14ac:dyDescent="0.25">
      <c r="A66" s="98">
        <v>57</v>
      </c>
      <c r="B66" s="99">
        <v>16.52</v>
      </c>
      <c r="C66" s="99">
        <v>0.88</v>
      </c>
      <c r="D66" s="99">
        <v>1.81</v>
      </c>
      <c r="E66" s="99">
        <v>0</v>
      </c>
    </row>
    <row r="67" spans="1:5" x14ac:dyDescent="0.25">
      <c r="A67" s="98">
        <v>58</v>
      </c>
      <c r="B67" s="99">
        <v>16.79</v>
      </c>
      <c r="C67" s="99">
        <v>0.9</v>
      </c>
      <c r="D67" s="99">
        <v>1.81</v>
      </c>
      <c r="E67" s="99">
        <v>0</v>
      </c>
    </row>
    <row r="68" spans="1:5" x14ac:dyDescent="0.25">
      <c r="A68" s="98">
        <v>59</v>
      </c>
      <c r="B68" s="99">
        <v>17.07</v>
      </c>
      <c r="C68" s="99">
        <v>0.91</v>
      </c>
      <c r="D68" s="99">
        <v>1.81</v>
      </c>
      <c r="E68" s="99">
        <v>0</v>
      </c>
    </row>
  </sheetData>
  <sheetProtection algorithmName="SHA-512" hashValue="tuXDILDMTR2CWXdssbJ5bAzm2sYWYdViU+Xn93BCXjTM5mR67adXNfvH9ODPUWBrt37m8YgDa469gmxAUsqruQ==" saltValue="aabiJTR4a0CQzvDx7Hp4rw==" spinCount="100000" sheet="1" objects="1" scenarios="1"/>
  <conditionalFormatting sqref="A6:A21">
    <cfRule type="expression" dxfId="1139" priority="29" stopIfTrue="1">
      <formula>MOD(ROW(),2)=0</formula>
    </cfRule>
    <cfRule type="expression" dxfId="1138" priority="30" stopIfTrue="1">
      <formula>MOD(ROW(),2)&lt;&gt;0</formula>
    </cfRule>
  </conditionalFormatting>
  <conditionalFormatting sqref="A26:A68">
    <cfRule type="expression" dxfId="1137" priority="15" stopIfTrue="1">
      <formula>MOD(ROW(),2)=0</formula>
    </cfRule>
    <cfRule type="expression" dxfId="1136" priority="16" stopIfTrue="1">
      <formula>MOD(ROW(),2)&lt;&gt;0</formula>
    </cfRule>
  </conditionalFormatting>
  <conditionalFormatting sqref="B17:B21">
    <cfRule type="expression" dxfId="1135" priority="5" stopIfTrue="1">
      <formula>MOD(ROW(),2)=0</formula>
    </cfRule>
    <cfRule type="expression" dxfId="1134" priority="6" stopIfTrue="1">
      <formula>MOD(ROW(),2)&lt;&gt;0</formula>
    </cfRule>
  </conditionalFormatting>
  <conditionalFormatting sqref="B6:E21">
    <cfRule type="expression" dxfId="1133" priority="41" stopIfTrue="1">
      <formula>MOD(ROW(),2)=0</formula>
    </cfRule>
    <cfRule type="expression" dxfId="1132" priority="42" stopIfTrue="1">
      <formula>MOD(ROW(),2)&lt;&gt;0</formula>
    </cfRule>
  </conditionalFormatting>
  <conditionalFormatting sqref="B26:E68">
    <cfRule type="expression" dxfId="1131" priority="17" stopIfTrue="1">
      <formula>MOD(ROW(),2)=0</formula>
    </cfRule>
    <cfRule type="expression" dxfId="1130" priority="18" stopIfTrue="1">
      <formula>MOD(ROW(),2)&lt;&gt;0</formula>
    </cfRule>
  </conditionalFormatting>
  <conditionalFormatting sqref="H6:H21">
    <cfRule type="expression" dxfId="1129" priority="25" stopIfTrue="1">
      <formula>MOD(ROW(),2)=0</formula>
    </cfRule>
    <cfRule type="expression" dxfId="1128" priority="26" stopIfTrue="1">
      <formula>MOD(ROW(),2)&lt;&gt;0</formula>
    </cfRule>
  </conditionalFormatting>
  <conditionalFormatting sqref="H26:H31">
    <cfRule type="expression" dxfId="1127" priority="11" stopIfTrue="1">
      <formula>MOD(ROW(),2)=0</formula>
    </cfRule>
    <cfRule type="expression" dxfId="1126" priority="12" stopIfTrue="1">
      <formula>MOD(ROW(),2)&lt;&gt;0</formula>
    </cfRule>
  </conditionalFormatting>
  <conditionalFormatting sqref="I17:I21">
    <cfRule type="expression" dxfId="1125" priority="1" stopIfTrue="1">
      <formula>MOD(ROW(),2)=0</formula>
    </cfRule>
    <cfRule type="expression" dxfId="1124" priority="2" stopIfTrue="1">
      <formula>MOD(ROW(),2)&lt;&gt;0</formula>
    </cfRule>
  </conditionalFormatting>
  <conditionalFormatting sqref="I6:L21">
    <cfRule type="expression" dxfId="1123" priority="49" stopIfTrue="1">
      <formula>MOD(ROW(),2)=0</formula>
    </cfRule>
    <cfRule type="expression" dxfId="1122" priority="50" stopIfTrue="1">
      <formula>MOD(ROW(),2)&lt;&gt;0</formula>
    </cfRule>
  </conditionalFormatting>
  <conditionalFormatting sqref="I26:L31">
    <cfRule type="expression" dxfId="1121" priority="13" stopIfTrue="1">
      <formula>MOD(ROW(),2)=0</formula>
    </cfRule>
    <cfRule type="expression" dxfId="1120" priority="14" stopIfTrue="1">
      <formula>MOD(ROW(),2)&lt;&gt;0</formula>
    </cfRule>
  </conditionalFormatting>
  <hyperlinks>
    <hyperlink ref="B24" location="Assumptions!A1" display="Assumptions" xr:uid="{B7959B7F-5704-4AFF-9F75-C2247606B2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H65"/>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8" ht="20" x14ac:dyDescent="0.4">
      <c r="A1" s="37" t="s">
        <v>0</v>
      </c>
      <c r="B1" s="38"/>
      <c r="C1" s="38"/>
      <c r="D1" s="38"/>
      <c r="E1" s="38"/>
      <c r="F1" s="38"/>
      <c r="G1" s="38"/>
      <c r="H1" s="38"/>
    </row>
    <row r="2" spans="1:8" ht="15.5" x14ac:dyDescent="0.35">
      <c r="A2" s="39" t="str">
        <f>IF(title="&gt; Enter workbook title here","Enter workbook title in Cover sheet",title)</f>
        <v>NHSPS_S - Consolidated Factor Spreadsheet</v>
      </c>
      <c r="B2" s="40"/>
      <c r="C2" s="40"/>
      <c r="D2" s="40"/>
      <c r="E2" s="40"/>
      <c r="F2" s="40"/>
      <c r="G2" s="40"/>
      <c r="H2" s="40"/>
    </row>
    <row r="3" spans="1:8" ht="15.5" x14ac:dyDescent="0.35">
      <c r="A3" s="41" t="str">
        <f>TABLE_FACTOR_TYPE_1&amp;" - x-"&amp;TABLE_SERIES_NUMBER_1</f>
        <v>CETV - x-205</v>
      </c>
      <c r="B3" s="40"/>
      <c r="C3" s="40"/>
      <c r="D3" s="40"/>
      <c r="E3" s="40"/>
      <c r="F3" s="40"/>
      <c r="G3" s="40"/>
      <c r="H3" s="40"/>
    </row>
    <row r="4" spans="1:8" x14ac:dyDescent="0.25">
      <c r="A4" s="42"/>
    </row>
    <row r="6" spans="1:8" ht="13" x14ac:dyDescent="0.3">
      <c r="A6" s="73" t="s">
        <v>274</v>
      </c>
      <c r="B6" s="114" t="s">
        <v>275</v>
      </c>
      <c r="C6" s="114"/>
      <c r="D6" s="114"/>
      <c r="E6" s="114"/>
    </row>
    <row r="7" spans="1:8" x14ac:dyDescent="0.25">
      <c r="A7" s="74" t="s">
        <v>276</v>
      </c>
      <c r="B7" s="114" t="s">
        <v>72</v>
      </c>
      <c r="C7" s="114"/>
      <c r="D7" s="114"/>
      <c r="E7" s="114"/>
    </row>
    <row r="8" spans="1:8" x14ac:dyDescent="0.25">
      <c r="A8" s="74" t="s">
        <v>278</v>
      </c>
      <c r="B8" s="114" t="s">
        <v>74</v>
      </c>
      <c r="C8" s="114"/>
      <c r="D8" s="114"/>
      <c r="E8" s="114"/>
    </row>
    <row r="9" spans="1:8" x14ac:dyDescent="0.25">
      <c r="A9" s="74" t="s">
        <v>280</v>
      </c>
      <c r="B9" s="114" t="s">
        <v>325</v>
      </c>
      <c r="C9" s="114"/>
      <c r="D9" s="114"/>
      <c r="E9" s="114"/>
    </row>
    <row r="10" spans="1:8" x14ac:dyDescent="0.25">
      <c r="A10" s="74" t="s">
        <v>6</v>
      </c>
      <c r="B10" s="114" t="s">
        <v>342</v>
      </c>
      <c r="C10" s="114"/>
      <c r="D10" s="114"/>
      <c r="E10" s="114"/>
    </row>
    <row r="11" spans="1:8" x14ac:dyDescent="0.25">
      <c r="A11" s="74" t="s">
        <v>283</v>
      </c>
      <c r="B11" s="114" t="s">
        <v>327</v>
      </c>
      <c r="C11" s="114"/>
      <c r="D11" s="114"/>
      <c r="E11" s="114"/>
    </row>
    <row r="12" spans="1:8" x14ac:dyDescent="0.25">
      <c r="A12" s="74" t="s">
        <v>285</v>
      </c>
      <c r="B12" s="114" t="s">
        <v>311</v>
      </c>
      <c r="C12" s="114"/>
      <c r="D12" s="114"/>
      <c r="E12" s="114"/>
    </row>
    <row r="13" spans="1:8" x14ac:dyDescent="0.25">
      <c r="A13" s="74" t="s">
        <v>287</v>
      </c>
      <c r="B13" s="114">
        <v>1</v>
      </c>
      <c r="C13" s="114"/>
      <c r="D13" s="114"/>
      <c r="E13" s="114"/>
    </row>
    <row r="14" spans="1:8" x14ac:dyDescent="0.25">
      <c r="A14" s="74" t="s">
        <v>289</v>
      </c>
      <c r="B14" s="114">
        <v>205</v>
      </c>
      <c r="C14" s="114"/>
      <c r="D14" s="114"/>
      <c r="E14" s="114"/>
    </row>
    <row r="15" spans="1:8" x14ac:dyDescent="0.25">
      <c r="A15" s="74" t="s">
        <v>291</v>
      </c>
      <c r="B15" s="114" t="s">
        <v>343</v>
      </c>
      <c r="C15" s="114"/>
      <c r="D15" s="114"/>
      <c r="E15" s="114"/>
    </row>
    <row r="16" spans="1:8" x14ac:dyDescent="0.25">
      <c r="A16" s="74" t="s">
        <v>293</v>
      </c>
      <c r="B16" s="114" t="s">
        <v>344</v>
      </c>
      <c r="C16" s="114"/>
      <c r="D16" s="114"/>
      <c r="E16" s="114"/>
    </row>
    <row r="17" spans="1:5" x14ac:dyDescent="0.25">
      <c r="A17" s="74" t="s">
        <v>760</v>
      </c>
      <c r="B17" s="114"/>
      <c r="C17" s="114"/>
      <c r="D17" s="114"/>
      <c r="E17" s="114"/>
    </row>
    <row r="18" spans="1:5" x14ac:dyDescent="0.25">
      <c r="A18" s="74" t="s">
        <v>297</v>
      </c>
      <c r="B18" s="162" t="s">
        <v>762</v>
      </c>
      <c r="C18" s="114"/>
      <c r="D18" s="114"/>
      <c r="E18" s="114"/>
    </row>
    <row r="19" spans="1:5" x14ac:dyDescent="0.25">
      <c r="A19" s="74" t="s">
        <v>299</v>
      </c>
      <c r="B19" s="162">
        <v>45014</v>
      </c>
      <c r="C19" s="114"/>
      <c r="D19" s="114"/>
      <c r="E19" s="114"/>
    </row>
    <row r="20" spans="1:5" x14ac:dyDescent="0.25">
      <c r="A20" s="74" t="s">
        <v>301</v>
      </c>
      <c r="B20" s="114" t="s">
        <v>314</v>
      </c>
      <c r="C20" s="114"/>
      <c r="D20" s="114"/>
      <c r="E20" s="114"/>
    </row>
    <row r="21" spans="1:5" x14ac:dyDescent="0.25">
      <c r="A21" s="74" t="s">
        <v>307</v>
      </c>
      <c r="B21" s="114" t="s">
        <v>315</v>
      </c>
      <c r="C21" s="114"/>
      <c r="D21" s="114"/>
      <c r="E21" s="114"/>
    </row>
    <row r="23" spans="1:5" x14ac:dyDescent="0.25">
      <c r="B23" s="100" t="str">
        <f>HYPERLINK("#'Factor List'!A1","Back to Factor List")</f>
        <v>Back to Factor List</v>
      </c>
    </row>
    <row r="24" spans="1:5" x14ac:dyDescent="0.25">
      <c r="B24" s="100" t="s">
        <v>13</v>
      </c>
    </row>
    <row r="26" spans="1:5" ht="39" x14ac:dyDescent="0.25">
      <c r="A26" s="97" t="s">
        <v>417</v>
      </c>
      <c r="B26" s="97" t="s">
        <v>763</v>
      </c>
      <c r="C26" s="97" t="s">
        <v>764</v>
      </c>
      <c r="D26" s="97" t="s">
        <v>765</v>
      </c>
      <c r="E26" s="97" t="s">
        <v>766</v>
      </c>
    </row>
    <row r="27" spans="1:5" x14ac:dyDescent="0.25">
      <c r="A27" s="98">
        <v>35</v>
      </c>
      <c r="B27" s="99">
        <v>18.29</v>
      </c>
      <c r="C27" s="99">
        <v>0.72</v>
      </c>
      <c r="D27" s="99">
        <v>1.45</v>
      </c>
      <c r="E27" s="99">
        <v>0</v>
      </c>
    </row>
    <row r="28" spans="1:5" x14ac:dyDescent="0.25">
      <c r="A28" s="98">
        <v>36</v>
      </c>
      <c r="B28" s="99">
        <v>18.57</v>
      </c>
      <c r="C28" s="99">
        <v>0.73</v>
      </c>
      <c r="D28" s="99">
        <v>1.46</v>
      </c>
      <c r="E28" s="99">
        <v>0</v>
      </c>
    </row>
    <row r="29" spans="1:5" x14ac:dyDescent="0.25">
      <c r="A29" s="98">
        <v>37</v>
      </c>
      <c r="B29" s="99">
        <v>18.86</v>
      </c>
      <c r="C29" s="99">
        <v>0.74</v>
      </c>
      <c r="D29" s="99">
        <v>1.48</v>
      </c>
      <c r="E29" s="99">
        <v>0</v>
      </c>
    </row>
    <row r="30" spans="1:5" x14ac:dyDescent="0.25">
      <c r="A30" s="98">
        <v>38</v>
      </c>
      <c r="B30" s="99">
        <v>19.16</v>
      </c>
      <c r="C30" s="99">
        <v>0.76</v>
      </c>
      <c r="D30" s="99">
        <v>1.5</v>
      </c>
      <c r="E30" s="99">
        <v>0</v>
      </c>
    </row>
    <row r="31" spans="1:5" x14ac:dyDescent="0.25">
      <c r="A31" s="98">
        <v>39</v>
      </c>
      <c r="B31" s="99">
        <v>19.45</v>
      </c>
      <c r="C31" s="99">
        <v>0.77</v>
      </c>
      <c r="D31" s="99">
        <v>1.51</v>
      </c>
      <c r="E31" s="99">
        <v>0</v>
      </c>
    </row>
    <row r="32" spans="1:5" x14ac:dyDescent="0.25">
      <c r="A32" s="98">
        <v>40</v>
      </c>
      <c r="B32" s="99">
        <v>19.760000000000002</v>
      </c>
      <c r="C32" s="99">
        <v>0.78</v>
      </c>
      <c r="D32" s="99">
        <v>1.53</v>
      </c>
      <c r="E32" s="99">
        <v>0</v>
      </c>
    </row>
    <row r="33" spans="1:5" x14ac:dyDescent="0.25">
      <c r="A33" s="98">
        <v>41</v>
      </c>
      <c r="B33" s="99">
        <v>20.07</v>
      </c>
      <c r="C33" s="99">
        <v>0.8</v>
      </c>
      <c r="D33" s="99">
        <v>1.54</v>
      </c>
      <c r="E33" s="99">
        <v>0</v>
      </c>
    </row>
    <row r="34" spans="1:5" x14ac:dyDescent="0.25">
      <c r="A34" s="98">
        <v>42</v>
      </c>
      <c r="B34" s="99">
        <v>20.38</v>
      </c>
      <c r="C34" s="99">
        <v>0.81</v>
      </c>
      <c r="D34" s="99">
        <v>1.56</v>
      </c>
      <c r="E34" s="99">
        <v>0</v>
      </c>
    </row>
    <row r="35" spans="1:5" x14ac:dyDescent="0.25">
      <c r="A35" s="98">
        <v>43</v>
      </c>
      <c r="B35" s="99">
        <v>20.7</v>
      </c>
      <c r="C35" s="99">
        <v>0.82</v>
      </c>
      <c r="D35" s="99">
        <v>1.57</v>
      </c>
      <c r="E35" s="99">
        <v>0</v>
      </c>
    </row>
    <row r="36" spans="1:5" x14ac:dyDescent="0.25">
      <c r="A36" s="98">
        <v>44</v>
      </c>
      <c r="B36" s="99">
        <v>21.03</v>
      </c>
      <c r="C36" s="99">
        <v>0.84</v>
      </c>
      <c r="D36" s="99">
        <v>1.59</v>
      </c>
      <c r="E36" s="99">
        <v>0</v>
      </c>
    </row>
    <row r="37" spans="1:5" x14ac:dyDescent="0.25">
      <c r="A37" s="98">
        <v>45</v>
      </c>
      <c r="B37" s="99">
        <v>21.37</v>
      </c>
      <c r="C37" s="99">
        <v>0.85</v>
      </c>
      <c r="D37" s="99">
        <v>1.6</v>
      </c>
      <c r="E37" s="99">
        <v>0</v>
      </c>
    </row>
    <row r="38" spans="1:5" x14ac:dyDescent="0.25">
      <c r="A38" s="98">
        <v>46</v>
      </c>
      <c r="B38" s="99">
        <v>21.71</v>
      </c>
      <c r="C38" s="99">
        <v>0.87</v>
      </c>
      <c r="D38" s="99">
        <v>1.61</v>
      </c>
      <c r="E38" s="99">
        <v>0</v>
      </c>
    </row>
    <row r="39" spans="1:5" x14ac:dyDescent="0.25">
      <c r="A39" s="98">
        <v>47</v>
      </c>
      <c r="B39" s="99">
        <v>22.05</v>
      </c>
      <c r="C39" s="99">
        <v>0.88</v>
      </c>
      <c r="D39" s="99">
        <v>1.62</v>
      </c>
      <c r="E39" s="99">
        <v>0</v>
      </c>
    </row>
    <row r="40" spans="1:5" x14ac:dyDescent="0.25">
      <c r="A40" s="98">
        <v>48</v>
      </c>
      <c r="B40" s="99">
        <v>22.41</v>
      </c>
      <c r="C40" s="99">
        <v>0.9</v>
      </c>
      <c r="D40" s="99">
        <v>1.64</v>
      </c>
      <c r="E40" s="99">
        <v>0</v>
      </c>
    </row>
    <row r="41" spans="1:5" x14ac:dyDescent="0.25">
      <c r="A41" s="98">
        <v>49</v>
      </c>
      <c r="B41" s="99">
        <v>22.77</v>
      </c>
      <c r="C41" s="99">
        <v>0.91</v>
      </c>
      <c r="D41" s="99">
        <v>1.65</v>
      </c>
      <c r="E41" s="99">
        <v>0</v>
      </c>
    </row>
    <row r="42" spans="1:5" x14ac:dyDescent="0.25">
      <c r="A42" s="98">
        <v>50</v>
      </c>
      <c r="B42" s="99">
        <v>23.14</v>
      </c>
      <c r="C42" s="99">
        <v>0.93</v>
      </c>
      <c r="D42" s="99">
        <v>1.66</v>
      </c>
      <c r="E42" s="99">
        <v>0</v>
      </c>
    </row>
    <row r="43" spans="1:5" x14ac:dyDescent="0.25">
      <c r="A43" s="98">
        <v>51</v>
      </c>
      <c r="B43" s="99">
        <v>23.52</v>
      </c>
      <c r="C43" s="99">
        <v>0.94</v>
      </c>
      <c r="D43" s="99">
        <v>1.67</v>
      </c>
      <c r="E43" s="99">
        <v>0</v>
      </c>
    </row>
    <row r="44" spans="1:5" x14ac:dyDescent="0.25">
      <c r="A44" s="98">
        <v>52</v>
      </c>
      <c r="B44" s="99">
        <v>23.91</v>
      </c>
      <c r="C44" s="99">
        <v>0.96</v>
      </c>
      <c r="D44" s="99">
        <v>1.67</v>
      </c>
      <c r="E44" s="99">
        <v>0</v>
      </c>
    </row>
    <row r="45" spans="1:5" x14ac:dyDescent="0.25">
      <c r="A45" s="98">
        <v>53</v>
      </c>
      <c r="B45" s="99">
        <v>24.3</v>
      </c>
      <c r="C45" s="99">
        <v>0.98</v>
      </c>
      <c r="D45" s="99">
        <v>1.68</v>
      </c>
      <c r="E45" s="99">
        <v>0</v>
      </c>
    </row>
    <row r="46" spans="1:5" x14ac:dyDescent="0.25">
      <c r="A46" s="98">
        <v>54</v>
      </c>
      <c r="B46" s="99">
        <v>24.71</v>
      </c>
      <c r="C46" s="99">
        <v>0.99</v>
      </c>
      <c r="D46" s="99">
        <v>1.69</v>
      </c>
      <c r="E46" s="99">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KJMeFXkHVhvfWggn6Oa0aoDS6sBrEz9PDAmDojwfbTDIfxZH+dsynNbJ3mk66wlkyiu3savQAm3q54CNa4Vkg==" saltValue="SpdFa+odTuBqLTTI2XlF/g==" spinCount="100000" sheet="1" objects="1" scenarios="1"/>
  <conditionalFormatting sqref="A6:A21">
    <cfRule type="expression" dxfId="1119" priority="13" stopIfTrue="1">
      <formula>MOD(ROW(),2)=0</formula>
    </cfRule>
    <cfRule type="expression" dxfId="1118" priority="14" stopIfTrue="1">
      <formula>MOD(ROW(),2)&lt;&gt;0</formula>
    </cfRule>
  </conditionalFormatting>
  <conditionalFormatting sqref="A26:A46">
    <cfRule type="expression" dxfId="1117" priority="5" stopIfTrue="1">
      <formula>MOD(ROW(),2)=0</formula>
    </cfRule>
    <cfRule type="expression" dxfId="1116" priority="6" stopIfTrue="1">
      <formula>MOD(ROW(),2)&lt;&gt;0</formula>
    </cfRule>
  </conditionalFormatting>
  <conditionalFormatting sqref="B17:B21">
    <cfRule type="expression" dxfId="1115" priority="1" stopIfTrue="1">
      <formula>MOD(ROW(),2)=0</formula>
    </cfRule>
    <cfRule type="expression" dxfId="1114" priority="2" stopIfTrue="1">
      <formula>MOD(ROW(),2)&lt;&gt;0</formula>
    </cfRule>
  </conditionalFormatting>
  <conditionalFormatting sqref="B6:E21">
    <cfRule type="expression" dxfId="1113" priority="21" stopIfTrue="1">
      <formula>MOD(ROW(),2)=0</formula>
    </cfRule>
    <cfRule type="expression" dxfId="1112" priority="22" stopIfTrue="1">
      <formula>MOD(ROW(),2)&lt;&gt;0</formula>
    </cfRule>
  </conditionalFormatting>
  <conditionalFormatting sqref="B26:E46">
    <cfRule type="expression" dxfId="1111" priority="7" stopIfTrue="1">
      <formula>MOD(ROW(),2)=0</formula>
    </cfRule>
    <cfRule type="expression" dxfId="1110" priority="8" stopIfTrue="1">
      <formula>MOD(ROW(),2)&lt;&gt;0</formula>
    </cfRule>
  </conditionalFormatting>
  <hyperlinks>
    <hyperlink ref="B24" location="Assumptions!A1" display="Assumptions" xr:uid="{F1B06572-58B3-48AE-B6E6-E6A708B82CF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H65"/>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8" ht="20" x14ac:dyDescent="0.4">
      <c r="A1" s="37" t="s">
        <v>0</v>
      </c>
      <c r="B1" s="38"/>
      <c r="C1" s="38"/>
      <c r="D1" s="38"/>
      <c r="E1" s="38"/>
      <c r="F1" s="38"/>
      <c r="G1" s="38"/>
      <c r="H1" s="38"/>
    </row>
    <row r="2" spans="1:8" ht="15.5" x14ac:dyDescent="0.35">
      <c r="A2" s="39" t="str">
        <f>IF(title="&gt; Enter workbook title here","Enter workbook title in Cover sheet",title)</f>
        <v>NHSPS_S - Consolidated Factor Spreadsheet</v>
      </c>
      <c r="B2" s="40"/>
      <c r="C2" s="40"/>
      <c r="D2" s="40"/>
      <c r="E2" s="40"/>
      <c r="F2" s="40"/>
      <c r="G2" s="40"/>
      <c r="H2" s="40"/>
    </row>
    <row r="3" spans="1:8" ht="15.5" x14ac:dyDescent="0.35">
      <c r="A3" s="41" t="str">
        <f>TABLE_FACTOR_TYPE_1&amp;" - x-"&amp;TABLE_SERIES_NUMBER_1</f>
        <v>CETV - x-206</v>
      </c>
      <c r="B3" s="40"/>
      <c r="C3" s="40"/>
      <c r="D3" s="40"/>
      <c r="E3" s="40"/>
      <c r="F3" s="40"/>
      <c r="G3" s="40"/>
      <c r="H3" s="40"/>
    </row>
    <row r="4" spans="1:8" x14ac:dyDescent="0.25">
      <c r="A4" s="42"/>
    </row>
    <row r="6" spans="1:8" ht="13" x14ac:dyDescent="0.3">
      <c r="A6" s="73" t="s">
        <v>274</v>
      </c>
      <c r="B6" s="114" t="s">
        <v>275</v>
      </c>
      <c r="C6" s="114"/>
      <c r="D6" s="114"/>
      <c r="E6" s="114"/>
    </row>
    <row r="7" spans="1:8" x14ac:dyDescent="0.25">
      <c r="A7" s="74" t="s">
        <v>276</v>
      </c>
      <c r="B7" s="114" t="s">
        <v>72</v>
      </c>
      <c r="C7" s="114"/>
      <c r="D7" s="114"/>
      <c r="E7" s="114"/>
    </row>
    <row r="8" spans="1:8" x14ac:dyDescent="0.25">
      <c r="A8" s="74" t="s">
        <v>278</v>
      </c>
      <c r="B8" s="114" t="s">
        <v>74</v>
      </c>
      <c r="C8" s="114"/>
      <c r="D8" s="114"/>
      <c r="E8" s="114"/>
    </row>
    <row r="9" spans="1:8" x14ac:dyDescent="0.25">
      <c r="A9" s="74" t="s">
        <v>280</v>
      </c>
      <c r="B9" s="114" t="s">
        <v>325</v>
      </c>
      <c r="C9" s="114"/>
      <c r="D9" s="114"/>
      <c r="E9" s="114"/>
    </row>
    <row r="10" spans="1:8" x14ac:dyDescent="0.25">
      <c r="A10" s="74" t="s">
        <v>6</v>
      </c>
      <c r="B10" s="114" t="s">
        <v>345</v>
      </c>
      <c r="C10" s="114"/>
      <c r="D10" s="114"/>
      <c r="E10" s="114"/>
    </row>
    <row r="11" spans="1:8" x14ac:dyDescent="0.25">
      <c r="A11" s="74" t="s">
        <v>283</v>
      </c>
      <c r="B11" s="114" t="s">
        <v>331</v>
      </c>
      <c r="C11" s="114"/>
      <c r="D11" s="114"/>
      <c r="E11" s="114"/>
    </row>
    <row r="12" spans="1:8" x14ac:dyDescent="0.25">
      <c r="A12" s="74" t="s">
        <v>285</v>
      </c>
      <c r="B12" s="114" t="s">
        <v>311</v>
      </c>
      <c r="C12" s="114"/>
      <c r="D12" s="114"/>
      <c r="E12" s="114"/>
    </row>
    <row r="13" spans="1:8" x14ac:dyDescent="0.25">
      <c r="A13" s="74" t="s">
        <v>287</v>
      </c>
      <c r="B13" s="114">
        <v>1</v>
      </c>
      <c r="C13" s="114"/>
      <c r="D13" s="114"/>
      <c r="E13" s="114"/>
    </row>
    <row r="14" spans="1:8" x14ac:dyDescent="0.25">
      <c r="A14" s="74" t="s">
        <v>289</v>
      </c>
      <c r="B14" s="114">
        <v>206</v>
      </c>
      <c r="C14" s="114"/>
      <c r="D14" s="114"/>
      <c r="E14" s="114"/>
    </row>
    <row r="15" spans="1:8" x14ac:dyDescent="0.25">
      <c r="A15" s="74" t="s">
        <v>291</v>
      </c>
      <c r="B15" s="114" t="s">
        <v>346</v>
      </c>
      <c r="C15" s="114"/>
      <c r="D15" s="114"/>
      <c r="E15" s="114"/>
    </row>
    <row r="16" spans="1:8" x14ac:dyDescent="0.25">
      <c r="A16" s="74" t="s">
        <v>293</v>
      </c>
      <c r="B16" s="114" t="s">
        <v>347</v>
      </c>
      <c r="C16" s="114"/>
      <c r="D16" s="114"/>
      <c r="E16" s="114"/>
    </row>
    <row r="17" spans="1:5" x14ac:dyDescent="0.25">
      <c r="A17" s="74" t="s">
        <v>760</v>
      </c>
      <c r="B17" s="114"/>
      <c r="C17" s="114"/>
      <c r="D17" s="114"/>
      <c r="E17" s="114"/>
    </row>
    <row r="18" spans="1:5" x14ac:dyDescent="0.25">
      <c r="A18" s="74" t="s">
        <v>297</v>
      </c>
      <c r="B18" s="162" t="s">
        <v>762</v>
      </c>
      <c r="C18" s="114"/>
      <c r="D18" s="114"/>
      <c r="E18" s="114"/>
    </row>
    <row r="19" spans="1:5" x14ac:dyDescent="0.25">
      <c r="A19" s="74" t="s">
        <v>299</v>
      </c>
      <c r="B19" s="162">
        <v>45014</v>
      </c>
      <c r="C19" s="114"/>
      <c r="D19" s="114"/>
      <c r="E19" s="114"/>
    </row>
    <row r="20" spans="1:5" x14ac:dyDescent="0.25">
      <c r="A20" s="74" t="s">
        <v>301</v>
      </c>
      <c r="B20" s="114" t="s">
        <v>314</v>
      </c>
      <c r="C20" s="114"/>
      <c r="D20" s="114"/>
      <c r="E20" s="114"/>
    </row>
    <row r="21" spans="1:5" x14ac:dyDescent="0.25">
      <c r="A21" s="74" t="s">
        <v>307</v>
      </c>
      <c r="B21" s="114" t="s">
        <v>315</v>
      </c>
      <c r="C21" s="114"/>
      <c r="D21" s="114"/>
      <c r="E21" s="114"/>
    </row>
    <row r="23" spans="1:5" x14ac:dyDescent="0.25">
      <c r="B23" s="100" t="str">
        <f>HYPERLINK("#'Factor List'!A1","Back to Factor List")</f>
        <v>Back to Factor List</v>
      </c>
    </row>
    <row r="24" spans="1:5" x14ac:dyDescent="0.25">
      <c r="B24" s="100" t="s">
        <v>13</v>
      </c>
    </row>
    <row r="26" spans="1:5" ht="39" x14ac:dyDescent="0.25">
      <c r="A26" s="97" t="s">
        <v>417</v>
      </c>
      <c r="B26" s="97" t="s">
        <v>763</v>
      </c>
      <c r="C26" s="97" t="s">
        <v>764</v>
      </c>
      <c r="D26" s="97" t="s">
        <v>765</v>
      </c>
      <c r="E26" s="97" t="s">
        <v>766</v>
      </c>
    </row>
    <row r="27" spans="1:5" x14ac:dyDescent="0.25">
      <c r="A27" s="98">
        <v>35</v>
      </c>
      <c r="B27" s="99">
        <v>18.29</v>
      </c>
      <c r="C27" s="99">
        <v>0.72</v>
      </c>
      <c r="D27" s="99">
        <v>1.45</v>
      </c>
      <c r="E27" s="99">
        <v>0</v>
      </c>
    </row>
    <row r="28" spans="1:5" x14ac:dyDescent="0.25">
      <c r="A28" s="98">
        <v>36</v>
      </c>
      <c r="B28" s="99">
        <v>18.57</v>
      </c>
      <c r="C28" s="99">
        <v>0.73</v>
      </c>
      <c r="D28" s="99">
        <v>1.46</v>
      </c>
      <c r="E28" s="99">
        <v>0</v>
      </c>
    </row>
    <row r="29" spans="1:5" x14ac:dyDescent="0.25">
      <c r="A29" s="98">
        <v>37</v>
      </c>
      <c r="B29" s="99">
        <v>18.86</v>
      </c>
      <c r="C29" s="99">
        <v>0.74</v>
      </c>
      <c r="D29" s="99">
        <v>1.48</v>
      </c>
      <c r="E29" s="99">
        <v>0</v>
      </c>
    </row>
    <row r="30" spans="1:5" x14ac:dyDescent="0.25">
      <c r="A30" s="98">
        <v>38</v>
      </c>
      <c r="B30" s="99">
        <v>19.16</v>
      </c>
      <c r="C30" s="99">
        <v>0.76</v>
      </c>
      <c r="D30" s="99">
        <v>1.5</v>
      </c>
      <c r="E30" s="99">
        <v>0</v>
      </c>
    </row>
    <row r="31" spans="1:5" x14ac:dyDescent="0.25">
      <c r="A31" s="98">
        <v>39</v>
      </c>
      <c r="B31" s="99">
        <v>19.45</v>
      </c>
      <c r="C31" s="99">
        <v>0.77</v>
      </c>
      <c r="D31" s="99">
        <v>1.51</v>
      </c>
      <c r="E31" s="99">
        <v>0</v>
      </c>
    </row>
    <row r="32" spans="1:5" x14ac:dyDescent="0.25">
      <c r="A32" s="98">
        <v>40</v>
      </c>
      <c r="B32" s="99">
        <v>19.760000000000002</v>
      </c>
      <c r="C32" s="99">
        <v>0.78</v>
      </c>
      <c r="D32" s="99">
        <v>1.53</v>
      </c>
      <c r="E32" s="99">
        <v>0</v>
      </c>
    </row>
    <row r="33" spans="1:5" x14ac:dyDescent="0.25">
      <c r="A33" s="98">
        <v>41</v>
      </c>
      <c r="B33" s="99">
        <v>20.07</v>
      </c>
      <c r="C33" s="99">
        <v>0.8</v>
      </c>
      <c r="D33" s="99">
        <v>1.54</v>
      </c>
      <c r="E33" s="99">
        <v>0</v>
      </c>
    </row>
    <row r="34" spans="1:5" x14ac:dyDescent="0.25">
      <c r="A34" s="98">
        <v>42</v>
      </c>
      <c r="B34" s="99">
        <v>20.38</v>
      </c>
      <c r="C34" s="99">
        <v>0.81</v>
      </c>
      <c r="D34" s="99">
        <v>1.56</v>
      </c>
      <c r="E34" s="99">
        <v>0</v>
      </c>
    </row>
    <row r="35" spans="1:5" x14ac:dyDescent="0.25">
      <c r="A35" s="98">
        <v>43</v>
      </c>
      <c r="B35" s="99">
        <v>20.7</v>
      </c>
      <c r="C35" s="99">
        <v>0.82</v>
      </c>
      <c r="D35" s="99">
        <v>1.57</v>
      </c>
      <c r="E35" s="99">
        <v>0</v>
      </c>
    </row>
    <row r="36" spans="1:5" x14ac:dyDescent="0.25">
      <c r="A36" s="98">
        <v>44</v>
      </c>
      <c r="B36" s="99">
        <v>21.03</v>
      </c>
      <c r="C36" s="99">
        <v>0.84</v>
      </c>
      <c r="D36" s="99">
        <v>1.59</v>
      </c>
      <c r="E36" s="99">
        <v>0</v>
      </c>
    </row>
    <row r="37" spans="1:5" x14ac:dyDescent="0.25">
      <c r="A37" s="98">
        <v>45</v>
      </c>
      <c r="B37" s="99">
        <v>21.37</v>
      </c>
      <c r="C37" s="99">
        <v>0.85</v>
      </c>
      <c r="D37" s="99">
        <v>1.6</v>
      </c>
      <c r="E37" s="99">
        <v>0</v>
      </c>
    </row>
    <row r="38" spans="1:5" x14ac:dyDescent="0.25">
      <c r="A38" s="98">
        <v>46</v>
      </c>
      <c r="B38" s="99">
        <v>21.71</v>
      </c>
      <c r="C38" s="99">
        <v>0.87</v>
      </c>
      <c r="D38" s="99">
        <v>1.61</v>
      </c>
      <c r="E38" s="99">
        <v>0</v>
      </c>
    </row>
    <row r="39" spans="1:5" x14ac:dyDescent="0.25">
      <c r="A39" s="98">
        <v>47</v>
      </c>
      <c r="B39" s="99">
        <v>22.05</v>
      </c>
      <c r="C39" s="99">
        <v>0.88</v>
      </c>
      <c r="D39" s="99">
        <v>1.62</v>
      </c>
      <c r="E39" s="99">
        <v>0</v>
      </c>
    </row>
    <row r="40" spans="1:5" x14ac:dyDescent="0.25">
      <c r="A40" s="98">
        <v>48</v>
      </c>
      <c r="B40" s="99">
        <v>22.41</v>
      </c>
      <c r="C40" s="99">
        <v>0.9</v>
      </c>
      <c r="D40" s="99">
        <v>1.64</v>
      </c>
      <c r="E40" s="99">
        <v>0</v>
      </c>
    </row>
    <row r="41" spans="1:5" x14ac:dyDescent="0.25">
      <c r="A41" s="98">
        <v>49</v>
      </c>
      <c r="B41" s="99">
        <v>22.77</v>
      </c>
      <c r="C41" s="99">
        <v>0.91</v>
      </c>
      <c r="D41" s="99">
        <v>1.65</v>
      </c>
      <c r="E41" s="99">
        <v>0</v>
      </c>
    </row>
    <row r="42" spans="1:5" x14ac:dyDescent="0.25">
      <c r="A42" s="98">
        <v>50</v>
      </c>
      <c r="B42" s="99">
        <v>23.14</v>
      </c>
      <c r="C42" s="99">
        <v>0.93</v>
      </c>
      <c r="D42" s="99">
        <v>1.66</v>
      </c>
      <c r="E42" s="99">
        <v>0</v>
      </c>
    </row>
    <row r="43" spans="1:5" x14ac:dyDescent="0.25">
      <c r="A43" s="98">
        <v>51</v>
      </c>
      <c r="B43" s="99">
        <v>23.52</v>
      </c>
      <c r="C43" s="99">
        <v>0.94</v>
      </c>
      <c r="D43" s="99">
        <v>1.67</v>
      </c>
      <c r="E43" s="99">
        <v>0</v>
      </c>
    </row>
    <row r="44" spans="1:5" x14ac:dyDescent="0.25">
      <c r="A44" s="98">
        <v>52</v>
      </c>
      <c r="B44" s="99">
        <v>23.91</v>
      </c>
      <c r="C44" s="99">
        <v>0.96</v>
      </c>
      <c r="D44" s="99">
        <v>1.67</v>
      </c>
      <c r="E44" s="99">
        <v>0</v>
      </c>
    </row>
    <row r="45" spans="1:5" x14ac:dyDescent="0.25">
      <c r="A45" s="98">
        <v>53</v>
      </c>
      <c r="B45" s="99">
        <v>24.3</v>
      </c>
      <c r="C45" s="99">
        <v>0.98</v>
      </c>
      <c r="D45" s="99">
        <v>1.68</v>
      </c>
      <c r="E45" s="99">
        <v>0</v>
      </c>
    </row>
    <row r="46" spans="1:5" x14ac:dyDescent="0.25">
      <c r="A46" s="98">
        <v>54</v>
      </c>
      <c r="B46" s="99">
        <v>24.71</v>
      </c>
      <c r="C46" s="99">
        <v>0.99</v>
      </c>
      <c r="D46" s="99">
        <v>1.69</v>
      </c>
      <c r="E46" s="99">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fKEZPMo/hwx8jHmXJZ40iByQIGuKL8ATNChqo9utKfjLgHwSC7sTJvwQe4EhZrfuiOouCC/BdKZYiPrkNtBkw==" saltValue="Ofeb8aNAQr9Uh2ghj0/61Q==" spinCount="100000" sheet="1" objects="1" scenarios="1"/>
  <conditionalFormatting sqref="A6:A21">
    <cfRule type="expression" dxfId="1109" priority="13" stopIfTrue="1">
      <formula>MOD(ROW(),2)=0</formula>
    </cfRule>
    <cfRule type="expression" dxfId="1108" priority="14" stopIfTrue="1">
      <formula>MOD(ROW(),2)&lt;&gt;0</formula>
    </cfRule>
  </conditionalFormatting>
  <conditionalFormatting sqref="A26:A46">
    <cfRule type="expression" dxfId="1107" priority="5" stopIfTrue="1">
      <formula>MOD(ROW(),2)=0</formula>
    </cfRule>
    <cfRule type="expression" dxfId="1106" priority="6" stopIfTrue="1">
      <formula>MOD(ROW(),2)&lt;&gt;0</formula>
    </cfRule>
  </conditionalFormatting>
  <conditionalFormatting sqref="B17:B21">
    <cfRule type="expression" dxfId="1105" priority="1" stopIfTrue="1">
      <formula>MOD(ROW(),2)=0</formula>
    </cfRule>
    <cfRule type="expression" dxfId="1104" priority="2" stopIfTrue="1">
      <formula>MOD(ROW(),2)&lt;&gt;0</formula>
    </cfRule>
  </conditionalFormatting>
  <conditionalFormatting sqref="B6:E21">
    <cfRule type="expression" dxfId="1103" priority="21" stopIfTrue="1">
      <formula>MOD(ROW(),2)=0</formula>
    </cfRule>
    <cfRule type="expression" dxfId="1102" priority="22" stopIfTrue="1">
      <formula>MOD(ROW(),2)&lt;&gt;0</formula>
    </cfRule>
  </conditionalFormatting>
  <conditionalFormatting sqref="B26:E46">
    <cfRule type="expression" dxfId="1101" priority="7" stopIfTrue="1">
      <formula>MOD(ROW(),2)=0</formula>
    </cfRule>
    <cfRule type="expression" dxfId="1100" priority="8" stopIfTrue="1">
      <formula>MOD(ROW(),2)&lt;&gt;0</formula>
    </cfRule>
  </conditionalFormatting>
  <hyperlinks>
    <hyperlink ref="B24" location="Assumptions!A1" display="Assumptions" xr:uid="{5B486AEF-6BD1-47F0-AE35-56F884DAF09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H67"/>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8" ht="20" x14ac:dyDescent="0.4">
      <c r="A1" s="37" t="s">
        <v>0</v>
      </c>
      <c r="B1" s="38"/>
      <c r="C1" s="38"/>
      <c r="D1" s="38"/>
      <c r="E1" s="38"/>
      <c r="F1" s="38"/>
      <c r="G1" s="38"/>
      <c r="H1" s="38"/>
    </row>
    <row r="2" spans="1:8" ht="15.5" x14ac:dyDescent="0.35">
      <c r="A2" s="39" t="str">
        <f>IF(title="&gt; Enter workbook title here","Enter workbook title in Cover sheet",title)</f>
        <v>NHSPS_S - Consolidated Factor Spreadsheet</v>
      </c>
      <c r="B2" s="40"/>
      <c r="C2" s="40"/>
      <c r="D2" s="40"/>
      <c r="E2" s="40"/>
      <c r="F2" s="40"/>
      <c r="G2" s="40"/>
      <c r="H2" s="40"/>
    </row>
    <row r="3" spans="1:8" ht="15.5" x14ac:dyDescent="0.35">
      <c r="A3" s="41" t="str">
        <f>TABLE_FACTOR_TYPE_1&amp;" - x-"&amp;TABLE_SERIES_NUMBER_1</f>
        <v>CETV - x-207</v>
      </c>
      <c r="B3" s="40"/>
      <c r="C3" s="40"/>
      <c r="D3" s="40"/>
      <c r="E3" s="40"/>
      <c r="F3" s="40"/>
      <c r="G3" s="40"/>
      <c r="H3" s="40"/>
    </row>
    <row r="4" spans="1:8" x14ac:dyDescent="0.25">
      <c r="A4" s="42"/>
    </row>
    <row r="6" spans="1:8" ht="13" x14ac:dyDescent="0.3">
      <c r="A6" s="73" t="s">
        <v>274</v>
      </c>
      <c r="B6" s="114" t="s">
        <v>275</v>
      </c>
      <c r="C6" s="114"/>
      <c r="D6" s="114"/>
      <c r="E6" s="114"/>
    </row>
    <row r="7" spans="1:8" x14ac:dyDescent="0.25">
      <c r="A7" s="74" t="s">
        <v>276</v>
      </c>
      <c r="B7" s="114" t="s">
        <v>72</v>
      </c>
      <c r="C7" s="114"/>
      <c r="D7" s="114"/>
      <c r="E7" s="114"/>
    </row>
    <row r="8" spans="1:8" x14ac:dyDescent="0.25">
      <c r="A8" s="74" t="s">
        <v>278</v>
      </c>
      <c r="B8" s="114" t="s">
        <v>74</v>
      </c>
      <c r="C8" s="114"/>
      <c r="D8" s="114"/>
      <c r="E8" s="114"/>
    </row>
    <row r="9" spans="1:8" x14ac:dyDescent="0.25">
      <c r="A9" s="74" t="s">
        <v>280</v>
      </c>
      <c r="B9" s="114" t="s">
        <v>325</v>
      </c>
      <c r="C9" s="114"/>
      <c r="D9" s="114"/>
      <c r="E9" s="114"/>
    </row>
    <row r="10" spans="1:8" x14ac:dyDescent="0.25">
      <c r="A10" s="74" t="s">
        <v>6</v>
      </c>
      <c r="B10" s="114" t="s">
        <v>348</v>
      </c>
      <c r="C10" s="114"/>
      <c r="D10" s="114"/>
      <c r="E10" s="114"/>
    </row>
    <row r="11" spans="1:8" x14ac:dyDescent="0.25">
      <c r="A11" s="74" t="s">
        <v>283</v>
      </c>
      <c r="B11" s="114" t="s">
        <v>327</v>
      </c>
      <c r="C11" s="114"/>
      <c r="D11" s="114"/>
      <c r="E11" s="114"/>
    </row>
    <row r="12" spans="1:8" x14ac:dyDescent="0.25">
      <c r="A12" s="74" t="s">
        <v>285</v>
      </c>
      <c r="B12" s="114" t="s">
        <v>311</v>
      </c>
      <c r="C12" s="114"/>
      <c r="D12" s="114"/>
      <c r="E12" s="114"/>
    </row>
    <row r="13" spans="1:8" x14ac:dyDescent="0.25">
      <c r="A13" s="74" t="s">
        <v>287</v>
      </c>
      <c r="B13" s="114">
        <v>1</v>
      </c>
      <c r="C13" s="114"/>
      <c r="D13" s="114"/>
      <c r="E13" s="114"/>
    </row>
    <row r="14" spans="1:8" x14ac:dyDescent="0.25">
      <c r="A14" s="74" t="s">
        <v>289</v>
      </c>
      <c r="B14" s="114">
        <v>207</v>
      </c>
      <c r="C14" s="114"/>
      <c r="D14" s="114"/>
      <c r="E14" s="114"/>
    </row>
    <row r="15" spans="1:8" x14ac:dyDescent="0.25">
      <c r="A15" s="74" t="s">
        <v>291</v>
      </c>
      <c r="B15" s="114" t="s">
        <v>349</v>
      </c>
      <c r="C15" s="114"/>
      <c r="D15" s="114"/>
      <c r="E15" s="114"/>
    </row>
    <row r="16" spans="1:8" x14ac:dyDescent="0.25">
      <c r="A16" s="74" t="s">
        <v>293</v>
      </c>
      <c r="B16" s="114" t="s">
        <v>350</v>
      </c>
      <c r="C16" s="114"/>
      <c r="D16" s="114"/>
      <c r="E16" s="114"/>
    </row>
    <row r="17" spans="1:5" x14ac:dyDescent="0.25">
      <c r="A17" s="74" t="s">
        <v>760</v>
      </c>
      <c r="B17" s="114"/>
      <c r="C17" s="114"/>
      <c r="D17" s="114"/>
      <c r="E17" s="114"/>
    </row>
    <row r="18" spans="1:5" x14ac:dyDescent="0.25">
      <c r="A18" s="74" t="s">
        <v>297</v>
      </c>
      <c r="B18" s="162" t="s">
        <v>762</v>
      </c>
      <c r="C18" s="114"/>
      <c r="D18" s="114"/>
      <c r="E18" s="114"/>
    </row>
    <row r="19" spans="1:5" x14ac:dyDescent="0.25">
      <c r="A19" s="74" t="s">
        <v>299</v>
      </c>
      <c r="B19" s="162">
        <v>45014</v>
      </c>
      <c r="C19" s="114"/>
      <c r="D19" s="114"/>
      <c r="E19" s="114"/>
    </row>
    <row r="20" spans="1:5" x14ac:dyDescent="0.25">
      <c r="A20" s="74" t="s">
        <v>301</v>
      </c>
      <c r="B20" s="114" t="s">
        <v>314</v>
      </c>
      <c r="C20" s="114"/>
      <c r="D20" s="114"/>
      <c r="E20" s="114"/>
    </row>
    <row r="21" spans="1:5" x14ac:dyDescent="0.25">
      <c r="A21" s="74" t="s">
        <v>307</v>
      </c>
      <c r="B21" s="114" t="s">
        <v>315</v>
      </c>
      <c r="C21" s="114"/>
      <c r="D21" s="114"/>
      <c r="E21" s="114"/>
    </row>
    <row r="23" spans="1:5" x14ac:dyDescent="0.25">
      <c r="B23" s="100" t="str">
        <f>HYPERLINK("#'Factor List'!A1","Back to Factor List")</f>
        <v>Back to Factor List</v>
      </c>
    </row>
    <row r="24" spans="1:5" x14ac:dyDescent="0.25">
      <c r="B24" s="100" t="s">
        <v>13</v>
      </c>
    </row>
    <row r="26" spans="1:5" ht="26" x14ac:dyDescent="0.25">
      <c r="A26" s="97" t="s">
        <v>417</v>
      </c>
      <c r="B26" s="97" t="s">
        <v>763</v>
      </c>
      <c r="C26" s="97" t="s">
        <v>772</v>
      </c>
      <c r="D26" s="97" t="s">
        <v>773</v>
      </c>
      <c r="E26" s="97" t="s">
        <v>774</v>
      </c>
    </row>
    <row r="27" spans="1:5" x14ac:dyDescent="0.25">
      <c r="A27" s="98" t="s">
        <v>775</v>
      </c>
      <c r="B27" s="99">
        <v>5</v>
      </c>
      <c r="C27" s="99">
        <v>0</v>
      </c>
      <c r="D27" s="99">
        <v>0.6</v>
      </c>
      <c r="E27" s="99">
        <v>4</v>
      </c>
    </row>
    <row r="28" spans="1:5" x14ac:dyDescent="0.25">
      <c r="A28" s="98">
        <v>20</v>
      </c>
      <c r="B28" s="99">
        <v>5.05</v>
      </c>
      <c r="C28" s="99">
        <v>0</v>
      </c>
      <c r="D28" s="99">
        <v>0.6</v>
      </c>
      <c r="E28" s="99">
        <v>4</v>
      </c>
    </row>
    <row r="29" spans="1:5" x14ac:dyDescent="0.25">
      <c r="A29" s="98">
        <v>21</v>
      </c>
      <c r="B29" s="99">
        <v>5.0999999999999996</v>
      </c>
      <c r="C29" s="99">
        <v>0</v>
      </c>
      <c r="D29" s="99">
        <v>0.61</v>
      </c>
      <c r="E29" s="99">
        <v>4</v>
      </c>
    </row>
    <row r="30" spans="1:5" x14ac:dyDescent="0.25">
      <c r="A30" s="98">
        <v>22</v>
      </c>
      <c r="B30" s="99">
        <v>5.15</v>
      </c>
      <c r="C30" s="99">
        <v>0</v>
      </c>
      <c r="D30" s="99">
        <v>0.61</v>
      </c>
      <c r="E30" s="99">
        <v>4</v>
      </c>
    </row>
    <row r="31" spans="1:5" x14ac:dyDescent="0.25">
      <c r="A31" s="98">
        <v>23</v>
      </c>
      <c r="B31" s="99">
        <v>5.2</v>
      </c>
      <c r="C31" s="99">
        <v>0</v>
      </c>
      <c r="D31" s="99">
        <v>0.61</v>
      </c>
      <c r="E31" s="99">
        <v>4</v>
      </c>
    </row>
    <row r="32" spans="1:5" x14ac:dyDescent="0.25">
      <c r="A32" s="98">
        <v>24</v>
      </c>
      <c r="B32" s="99">
        <v>5.25</v>
      </c>
      <c r="C32" s="99">
        <v>0</v>
      </c>
      <c r="D32" s="99">
        <v>0.62</v>
      </c>
      <c r="E32" s="99">
        <v>4</v>
      </c>
    </row>
    <row r="33" spans="1:5" x14ac:dyDescent="0.25">
      <c r="A33" s="98">
        <v>25</v>
      </c>
      <c r="B33" s="99">
        <v>5.3</v>
      </c>
      <c r="C33" s="99">
        <v>0</v>
      </c>
      <c r="D33" s="99">
        <v>0.62</v>
      </c>
      <c r="E33" s="99">
        <v>4</v>
      </c>
    </row>
    <row r="34" spans="1:5" x14ac:dyDescent="0.25">
      <c r="A34" s="98">
        <v>26</v>
      </c>
      <c r="B34" s="99">
        <v>5.35</v>
      </c>
      <c r="C34" s="99">
        <v>0</v>
      </c>
      <c r="D34" s="99">
        <v>0.63</v>
      </c>
      <c r="E34" s="99">
        <v>4</v>
      </c>
    </row>
    <row r="35" spans="1:5" x14ac:dyDescent="0.25">
      <c r="A35" s="98">
        <v>27</v>
      </c>
      <c r="B35" s="99">
        <v>5.4</v>
      </c>
      <c r="C35" s="99">
        <v>0</v>
      </c>
      <c r="D35" s="99">
        <v>0.63</v>
      </c>
      <c r="E35" s="99">
        <v>4</v>
      </c>
    </row>
    <row r="36" spans="1:5" x14ac:dyDescent="0.25">
      <c r="A36" s="98">
        <v>28</v>
      </c>
      <c r="B36" s="99">
        <v>5.45</v>
      </c>
      <c r="C36" s="99">
        <v>0</v>
      </c>
      <c r="D36" s="99">
        <v>0.63</v>
      </c>
      <c r="E36" s="99">
        <v>4</v>
      </c>
    </row>
    <row r="37" spans="1:5" x14ac:dyDescent="0.25">
      <c r="A37" s="98">
        <v>29</v>
      </c>
      <c r="B37" s="99">
        <v>5.5</v>
      </c>
      <c r="C37" s="99">
        <v>0</v>
      </c>
      <c r="D37" s="99">
        <v>0.64</v>
      </c>
      <c r="E37" s="99">
        <v>4</v>
      </c>
    </row>
    <row r="38" spans="1:5" x14ac:dyDescent="0.25">
      <c r="A38" s="98">
        <v>30</v>
      </c>
      <c r="B38" s="99">
        <v>5.55</v>
      </c>
      <c r="C38" s="99">
        <v>0</v>
      </c>
      <c r="D38" s="99">
        <v>0.64</v>
      </c>
      <c r="E38" s="99">
        <v>4</v>
      </c>
    </row>
    <row r="39" spans="1:5" x14ac:dyDescent="0.25">
      <c r="A39" s="98">
        <v>31</v>
      </c>
      <c r="B39" s="99">
        <v>5.6</v>
      </c>
      <c r="C39" s="99">
        <v>0</v>
      </c>
      <c r="D39" s="99">
        <v>0.65</v>
      </c>
      <c r="E39" s="99">
        <v>4</v>
      </c>
    </row>
    <row r="40" spans="1:5" x14ac:dyDescent="0.25">
      <c r="A40" s="98">
        <v>32</v>
      </c>
      <c r="B40" s="99">
        <v>5.65</v>
      </c>
      <c r="C40" s="99">
        <v>0</v>
      </c>
      <c r="D40" s="99">
        <v>0.66</v>
      </c>
      <c r="E40" s="99">
        <v>4</v>
      </c>
    </row>
    <row r="41" spans="1:5" x14ac:dyDescent="0.25">
      <c r="A41" s="98">
        <v>33</v>
      </c>
      <c r="B41" s="99">
        <v>5.7</v>
      </c>
      <c r="C41" s="99">
        <v>0</v>
      </c>
      <c r="D41" s="99">
        <v>0.66</v>
      </c>
      <c r="E41" s="99">
        <v>4</v>
      </c>
    </row>
    <row r="42" spans="1:5" x14ac:dyDescent="0.25">
      <c r="A42" s="98">
        <v>34</v>
      </c>
      <c r="B42" s="99">
        <v>5.75</v>
      </c>
      <c r="C42" s="99">
        <v>0</v>
      </c>
      <c r="D42" s="99">
        <v>0.67</v>
      </c>
      <c r="E42" s="99">
        <v>4</v>
      </c>
    </row>
    <row r="43" spans="1:5" x14ac:dyDescent="0.25">
      <c r="A43" s="98">
        <v>35</v>
      </c>
      <c r="B43" s="99">
        <v>5.8</v>
      </c>
      <c r="C43" s="99">
        <v>0</v>
      </c>
      <c r="D43" s="99">
        <v>0.67</v>
      </c>
      <c r="E43" s="99">
        <v>4</v>
      </c>
    </row>
    <row r="44" spans="1:5" x14ac:dyDescent="0.25">
      <c r="A44" s="98">
        <v>36</v>
      </c>
      <c r="B44" s="99">
        <v>5.85</v>
      </c>
      <c r="C44" s="99">
        <v>0</v>
      </c>
      <c r="D44" s="99">
        <v>0.68</v>
      </c>
      <c r="E44" s="99">
        <v>4</v>
      </c>
    </row>
    <row r="45" spans="1:5" x14ac:dyDescent="0.25">
      <c r="A45" s="98">
        <v>37</v>
      </c>
      <c r="B45" s="99">
        <v>5.9</v>
      </c>
      <c r="C45" s="99">
        <v>0</v>
      </c>
      <c r="D45" s="99">
        <v>0.68</v>
      </c>
      <c r="E45" s="99">
        <v>4</v>
      </c>
    </row>
    <row r="46" spans="1:5" x14ac:dyDescent="0.25">
      <c r="A46" s="98">
        <v>38</v>
      </c>
      <c r="B46" s="99">
        <v>5.95</v>
      </c>
      <c r="C46" s="99">
        <v>0</v>
      </c>
      <c r="D46" s="99">
        <v>0.68</v>
      </c>
      <c r="E46" s="99">
        <v>4</v>
      </c>
    </row>
    <row r="47" spans="1:5" x14ac:dyDescent="0.25">
      <c r="A47" s="98">
        <v>39</v>
      </c>
      <c r="B47" s="99">
        <v>6</v>
      </c>
      <c r="C47" s="99">
        <v>0</v>
      </c>
      <c r="D47" s="99">
        <v>0.69</v>
      </c>
      <c r="E47" s="99">
        <v>4</v>
      </c>
    </row>
    <row r="48" spans="1:5" x14ac:dyDescent="0.25">
      <c r="A48" s="98">
        <v>40</v>
      </c>
      <c r="B48" s="99">
        <v>6.05</v>
      </c>
      <c r="C48" s="99">
        <v>0</v>
      </c>
      <c r="D48" s="99">
        <v>0.69</v>
      </c>
      <c r="E48" s="99">
        <v>4</v>
      </c>
    </row>
    <row r="49" spans="1:5" x14ac:dyDescent="0.25">
      <c r="A49" s="98">
        <v>41</v>
      </c>
      <c r="B49" s="99">
        <v>6.1</v>
      </c>
      <c r="C49" s="99">
        <v>0</v>
      </c>
      <c r="D49" s="99">
        <v>0.7</v>
      </c>
      <c r="E49" s="99">
        <v>4</v>
      </c>
    </row>
    <row r="50" spans="1:5" x14ac:dyDescent="0.25">
      <c r="A50" s="98">
        <v>42</v>
      </c>
      <c r="B50" s="99">
        <v>6.15</v>
      </c>
      <c r="C50" s="99">
        <v>0</v>
      </c>
      <c r="D50" s="99">
        <v>0.7</v>
      </c>
      <c r="E50" s="99">
        <v>4</v>
      </c>
    </row>
    <row r="51" spans="1:5" x14ac:dyDescent="0.25">
      <c r="A51" s="98">
        <v>43</v>
      </c>
      <c r="B51" s="99">
        <v>6.2</v>
      </c>
      <c r="C51" s="99">
        <v>0</v>
      </c>
      <c r="D51" s="99">
        <v>0.71</v>
      </c>
      <c r="E51" s="99">
        <v>4</v>
      </c>
    </row>
    <row r="52" spans="1:5" x14ac:dyDescent="0.25">
      <c r="A52" s="98">
        <v>44</v>
      </c>
      <c r="B52" s="99">
        <v>6.25</v>
      </c>
      <c r="C52" s="99">
        <v>0</v>
      </c>
      <c r="D52" s="99">
        <v>0.72</v>
      </c>
      <c r="E52" s="99">
        <v>4</v>
      </c>
    </row>
    <row r="53" spans="1:5" x14ac:dyDescent="0.25">
      <c r="A53" s="98">
        <v>45</v>
      </c>
      <c r="B53" s="99">
        <v>6.3</v>
      </c>
      <c r="C53" s="99">
        <v>0</v>
      </c>
      <c r="D53" s="99">
        <v>0.72</v>
      </c>
      <c r="E53" s="99">
        <v>4</v>
      </c>
    </row>
    <row r="54" spans="1:5" x14ac:dyDescent="0.25">
      <c r="A54" s="98">
        <v>46</v>
      </c>
      <c r="B54" s="99">
        <v>6.4</v>
      </c>
      <c r="C54" s="99">
        <v>0</v>
      </c>
      <c r="D54" s="99">
        <v>0.73</v>
      </c>
      <c r="E54" s="99">
        <v>4</v>
      </c>
    </row>
    <row r="55" spans="1:5" x14ac:dyDescent="0.25">
      <c r="A55" s="98">
        <v>47</v>
      </c>
      <c r="B55" s="99">
        <v>6.5</v>
      </c>
      <c r="C55" s="99">
        <v>0</v>
      </c>
      <c r="D55" s="99">
        <v>0.74</v>
      </c>
      <c r="E55" s="99">
        <v>4</v>
      </c>
    </row>
    <row r="56" spans="1:5" x14ac:dyDescent="0.25">
      <c r="A56" s="98">
        <v>48</v>
      </c>
      <c r="B56" s="99">
        <v>6.6</v>
      </c>
      <c r="C56" s="99">
        <v>0</v>
      </c>
      <c r="D56" s="99">
        <v>0.74</v>
      </c>
      <c r="E56" s="99">
        <v>4</v>
      </c>
    </row>
    <row r="57" spans="1:5" x14ac:dyDescent="0.25">
      <c r="A57" s="98">
        <v>49</v>
      </c>
      <c r="B57" s="99">
        <v>6.7</v>
      </c>
      <c r="C57" s="99">
        <v>0</v>
      </c>
      <c r="D57" s="99">
        <v>0.75</v>
      </c>
      <c r="E57" s="99">
        <v>4</v>
      </c>
    </row>
    <row r="58" spans="1:5" x14ac:dyDescent="0.25">
      <c r="A58" s="98">
        <v>50</v>
      </c>
      <c r="B58" s="99">
        <v>6.8</v>
      </c>
      <c r="C58" s="99">
        <v>0</v>
      </c>
      <c r="D58" s="99">
        <v>0.75</v>
      </c>
      <c r="E58" s="99">
        <v>4</v>
      </c>
    </row>
    <row r="59" spans="1:5" x14ac:dyDescent="0.25">
      <c r="A59" s="98">
        <v>51</v>
      </c>
      <c r="B59" s="99">
        <v>6.9</v>
      </c>
      <c r="C59" s="99">
        <v>0</v>
      </c>
      <c r="D59" s="99">
        <v>0.76</v>
      </c>
      <c r="E59" s="99">
        <v>4</v>
      </c>
    </row>
    <row r="60" spans="1:5" x14ac:dyDescent="0.25">
      <c r="A60" s="98">
        <v>52</v>
      </c>
      <c r="B60" s="99">
        <v>7.1</v>
      </c>
      <c r="C60" s="99">
        <v>0</v>
      </c>
      <c r="D60" s="99">
        <v>0.76</v>
      </c>
      <c r="E60" s="99">
        <v>4</v>
      </c>
    </row>
    <row r="61" spans="1:5" x14ac:dyDescent="0.25">
      <c r="A61" s="98">
        <v>53</v>
      </c>
      <c r="B61" s="99">
        <v>7.3</v>
      </c>
      <c r="C61" s="99">
        <v>0</v>
      </c>
      <c r="D61" s="99">
        <v>0.77</v>
      </c>
      <c r="E61" s="99">
        <v>4</v>
      </c>
    </row>
    <row r="62" spans="1:5" x14ac:dyDescent="0.25">
      <c r="A62" s="98">
        <v>54</v>
      </c>
      <c r="B62" s="99">
        <v>7.5</v>
      </c>
      <c r="C62" s="99">
        <v>0</v>
      </c>
      <c r="D62" s="99">
        <v>0.78</v>
      </c>
      <c r="E62" s="99">
        <v>4</v>
      </c>
    </row>
    <row r="63" spans="1:5" x14ac:dyDescent="0.25">
      <c r="A63" s="98">
        <v>55</v>
      </c>
      <c r="B63" s="99">
        <v>7.7</v>
      </c>
      <c r="C63" s="99">
        <v>0</v>
      </c>
      <c r="D63" s="99">
        <v>0.79</v>
      </c>
      <c r="E63" s="99">
        <v>4</v>
      </c>
    </row>
    <row r="64" spans="1:5" x14ac:dyDescent="0.25">
      <c r="A64" s="98">
        <v>56</v>
      </c>
      <c r="B64" s="99">
        <v>8</v>
      </c>
      <c r="C64" s="99">
        <v>0</v>
      </c>
      <c r="D64" s="99">
        <v>0.8</v>
      </c>
      <c r="E64" s="99">
        <v>4</v>
      </c>
    </row>
    <row r="65" spans="1:5" x14ac:dyDescent="0.25">
      <c r="A65" s="98">
        <v>57</v>
      </c>
      <c r="B65" s="99">
        <v>8.3000000000000007</v>
      </c>
      <c r="C65" s="99">
        <v>0</v>
      </c>
      <c r="D65" s="99">
        <v>0.81</v>
      </c>
      <c r="E65" s="99">
        <v>4</v>
      </c>
    </row>
    <row r="66" spans="1:5" x14ac:dyDescent="0.25">
      <c r="A66" s="98">
        <v>58</v>
      </c>
      <c r="B66" s="99">
        <v>8.6</v>
      </c>
      <c r="C66" s="99">
        <v>0</v>
      </c>
      <c r="D66" s="99">
        <v>0.82</v>
      </c>
      <c r="E66" s="99">
        <v>4</v>
      </c>
    </row>
    <row r="67" spans="1:5" x14ac:dyDescent="0.25">
      <c r="A67" s="98">
        <v>59</v>
      </c>
      <c r="B67" s="99">
        <v>9</v>
      </c>
      <c r="C67" s="99">
        <v>0</v>
      </c>
      <c r="D67" s="99">
        <v>0.84</v>
      </c>
      <c r="E67" s="99">
        <v>4</v>
      </c>
    </row>
  </sheetData>
  <sheetProtection algorithmName="SHA-512" hashValue="240vqgpo0uZYE9xZz7AeUwke4p7lsAZ4691ysKyP02ktqMcwqIKWPSGO81Ain2RpKsVN6bA31lOe8Bx8vSSUUQ==" saltValue="jocR9y2DnHkcicghFUCFeQ==" spinCount="100000" sheet="1" objects="1" scenarios="1"/>
  <conditionalFormatting sqref="A6:A21">
    <cfRule type="expression" dxfId="1099" priority="13" stopIfTrue="1">
      <formula>MOD(ROW(),2)=0</formula>
    </cfRule>
    <cfRule type="expression" dxfId="1098" priority="14" stopIfTrue="1">
      <formula>MOD(ROW(),2)&lt;&gt;0</formula>
    </cfRule>
  </conditionalFormatting>
  <conditionalFormatting sqref="A26:A67">
    <cfRule type="expression" dxfId="1097" priority="5" stopIfTrue="1">
      <formula>MOD(ROW(),2)=0</formula>
    </cfRule>
    <cfRule type="expression" dxfId="1096" priority="6" stopIfTrue="1">
      <formula>MOD(ROW(),2)&lt;&gt;0</formula>
    </cfRule>
  </conditionalFormatting>
  <conditionalFormatting sqref="B17:B21">
    <cfRule type="expression" dxfId="1095" priority="1" stopIfTrue="1">
      <formula>MOD(ROW(),2)=0</formula>
    </cfRule>
    <cfRule type="expression" dxfId="1094" priority="2" stopIfTrue="1">
      <formula>MOD(ROW(),2)&lt;&gt;0</formula>
    </cfRule>
  </conditionalFormatting>
  <conditionalFormatting sqref="B6:E21">
    <cfRule type="expression" dxfId="1093" priority="21" stopIfTrue="1">
      <formula>MOD(ROW(),2)=0</formula>
    </cfRule>
    <cfRule type="expression" dxfId="1092" priority="22" stopIfTrue="1">
      <formula>MOD(ROW(),2)&lt;&gt;0</formula>
    </cfRule>
  </conditionalFormatting>
  <conditionalFormatting sqref="B26:E67">
    <cfRule type="expression" dxfId="1091" priority="7" stopIfTrue="1">
      <formula>MOD(ROW(),2)=0</formula>
    </cfRule>
    <cfRule type="expression" dxfId="1090" priority="8" stopIfTrue="1">
      <formula>MOD(ROW(),2)&lt;&gt;0</formula>
    </cfRule>
  </conditionalFormatting>
  <hyperlinks>
    <hyperlink ref="B24" location="Assumptions!A1" display="Assumptions" xr:uid="{825C0499-7722-4208-A69B-1E3256D40A6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A3" sqref="A3"/>
    </sheetView>
  </sheetViews>
  <sheetFormatPr defaultRowHeight="12.5" x14ac:dyDescent="0.25"/>
  <sheetData>
    <row r="1" spans="1:13" ht="20" x14ac:dyDescent="0.4">
      <c r="A1" s="4" t="s">
        <v>0</v>
      </c>
      <c r="B1" s="4"/>
      <c r="C1" s="4"/>
      <c r="D1" s="4"/>
      <c r="E1" s="4"/>
      <c r="F1" s="4"/>
      <c r="G1" s="4"/>
      <c r="H1" s="4"/>
      <c r="I1" s="4"/>
      <c r="J1" s="4"/>
      <c r="K1" s="4"/>
      <c r="L1" s="4"/>
    </row>
    <row r="2" spans="1:13" ht="15.5" x14ac:dyDescent="0.35">
      <c r="A2" s="5" t="str">
        <f>IF(title="&gt; Enter workbook title here","Enter workbook title in Cover sheet",title)</f>
        <v>NHSPS_S - Consolidated Factor Spreadsheet</v>
      </c>
      <c r="B2" s="5"/>
      <c r="C2" s="5"/>
      <c r="D2" s="5"/>
      <c r="E2" s="5"/>
      <c r="F2" s="5"/>
      <c r="G2" s="5"/>
      <c r="H2" s="5"/>
      <c r="I2" s="5"/>
      <c r="J2" s="5"/>
      <c r="K2" s="5"/>
      <c r="L2" s="5"/>
    </row>
    <row r="3" spans="1:13" ht="15.5" x14ac:dyDescent="0.35">
      <c r="A3" s="6" t="s">
        <v>31</v>
      </c>
      <c r="B3" s="6"/>
      <c r="C3" s="6"/>
      <c r="D3" s="6"/>
      <c r="E3" s="6"/>
      <c r="F3" s="6"/>
      <c r="G3" s="6"/>
      <c r="H3" s="6"/>
      <c r="I3" s="6"/>
      <c r="J3" s="6"/>
      <c r="K3" s="6"/>
      <c r="L3" s="6"/>
    </row>
    <row r="4" spans="1:13" x14ac:dyDescent="0.25">
      <c r="A4" s="7" t="str">
        <f ca="1">CELL("filename",A1)</f>
        <v>https://tris42.sharepoint.com/sites/gad_wrkgrp_actuarial/pspsactuarialwork/Central/Factors &amp; Guidance/2024 Guidance Review/4. Online portal/3. Import data/3. Factor tables/0_client_friendly/Ready to be uploaded/2025-03/[NHS S Consolidated Factors 2025-02.xlsx]Purpose of spreadsheet</v>
      </c>
      <c r="B4" s="7"/>
    </row>
    <row r="5" spans="1:13" x14ac:dyDescent="0.25">
      <c r="E5" s="8"/>
      <c r="F5" s="8"/>
      <c r="G5" s="8"/>
    </row>
    <row r="7" spans="1:13" ht="13" x14ac:dyDescent="0.3">
      <c r="A7" s="167" t="s">
        <v>32</v>
      </c>
      <c r="B7" s="168"/>
      <c r="C7" s="168"/>
      <c r="D7" s="168"/>
      <c r="E7" s="168"/>
      <c r="F7" s="168"/>
      <c r="G7" s="168"/>
      <c r="H7" s="168"/>
      <c r="I7" s="168"/>
      <c r="J7" s="168"/>
      <c r="K7" s="168"/>
      <c r="L7" s="168"/>
      <c r="M7" s="169"/>
    </row>
    <row r="8" spans="1:13" x14ac:dyDescent="0.25">
      <c r="A8" s="27"/>
      <c r="M8" s="18"/>
    </row>
    <row r="9" spans="1:13" x14ac:dyDescent="0.25">
      <c r="A9" s="170" t="s">
        <v>33</v>
      </c>
      <c r="B9" s="171"/>
      <c r="C9" s="171"/>
      <c r="D9" s="171"/>
      <c r="E9" s="171"/>
      <c r="F9" s="171"/>
      <c r="G9" s="171"/>
      <c r="H9" s="171"/>
      <c r="I9" s="171"/>
      <c r="J9" s="171"/>
      <c r="K9" s="171"/>
      <c r="L9" s="171"/>
      <c r="M9" s="172"/>
    </row>
    <row r="10" spans="1:13" ht="22.5" customHeight="1" x14ac:dyDescent="0.25">
      <c r="A10" s="173"/>
      <c r="B10" s="171"/>
      <c r="C10" s="171"/>
      <c r="D10" s="171"/>
      <c r="E10" s="171"/>
      <c r="F10" s="171"/>
      <c r="G10" s="171"/>
      <c r="H10" s="171"/>
      <c r="I10" s="171"/>
      <c r="J10" s="171"/>
      <c r="K10" s="171"/>
      <c r="L10" s="171"/>
      <c r="M10" s="172"/>
    </row>
    <row r="11" spans="1:13" ht="31.5" customHeight="1" x14ac:dyDescent="0.25">
      <c r="A11" s="173"/>
      <c r="B11" s="171"/>
      <c r="C11" s="171"/>
      <c r="D11" s="171"/>
      <c r="E11" s="171"/>
      <c r="F11" s="171"/>
      <c r="G11" s="171"/>
      <c r="H11" s="171"/>
      <c r="I11" s="171"/>
      <c r="J11" s="171"/>
      <c r="K11" s="171"/>
      <c r="L11" s="171"/>
      <c r="M11" s="172"/>
    </row>
    <row r="12" spans="1:13" ht="197.25" customHeight="1" x14ac:dyDescent="0.25">
      <c r="A12" s="174"/>
      <c r="B12" s="175"/>
      <c r="C12" s="175"/>
      <c r="D12" s="175"/>
      <c r="E12" s="175"/>
      <c r="F12" s="175"/>
      <c r="G12" s="175"/>
      <c r="H12" s="175"/>
      <c r="I12" s="175"/>
      <c r="J12" s="175"/>
      <c r="K12" s="175"/>
      <c r="L12" s="175"/>
      <c r="M12" s="176"/>
    </row>
  </sheetData>
  <sheetProtection algorithmName="SHA-512" hashValue="kKqCmSbg12tGXTUWTTwpJIBv19hBy0nnt+WSI36PQ4U3an7rrReJEghZCExMgya3tXpN/KMvfST9gDanDZbZrQ==" saltValue="H+/8HgEwxIiHUAY39jU6jw=="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H67"/>
  <sheetViews>
    <sheetView showGridLines="0" zoomScale="85" zoomScaleNormal="85" workbookViewId="0">
      <selection activeCell="A4" sqref="A4"/>
    </sheetView>
  </sheetViews>
  <sheetFormatPr defaultColWidth="10" defaultRowHeight="12.5" x14ac:dyDescent="0.25"/>
  <cols>
    <col min="1" max="1" width="31.54296875" style="26" customWidth="1"/>
    <col min="2" max="4" width="22.54296875" style="26" customWidth="1"/>
    <col min="5" max="16384" width="10" style="26"/>
  </cols>
  <sheetData>
    <row r="1" spans="1:8" ht="20" x14ac:dyDescent="0.4">
      <c r="A1" s="37" t="s">
        <v>0</v>
      </c>
      <c r="B1" s="38"/>
      <c r="C1" s="38"/>
      <c r="D1" s="38"/>
      <c r="E1" s="38"/>
      <c r="F1" s="38"/>
      <c r="G1" s="38"/>
      <c r="H1" s="38"/>
    </row>
    <row r="2" spans="1:8" ht="15.5" x14ac:dyDescent="0.35">
      <c r="A2" s="39" t="str">
        <f>IF(title="&gt; Enter workbook title here","Enter workbook title in Cover sheet",title)</f>
        <v>NHSPS_S - Consolidated Factor Spreadsheet</v>
      </c>
      <c r="B2" s="40"/>
      <c r="C2" s="40"/>
      <c r="D2" s="40"/>
      <c r="E2" s="40"/>
      <c r="F2" s="40"/>
      <c r="G2" s="40"/>
      <c r="H2" s="40"/>
    </row>
    <row r="3" spans="1:8" ht="15.5" x14ac:dyDescent="0.35">
      <c r="A3" s="41" t="str">
        <f>TABLE_FACTOR_TYPE_1&amp;" - x-"&amp;TABLE_SERIES_NUMBER_1</f>
        <v>CETV - x-208</v>
      </c>
      <c r="B3" s="40"/>
      <c r="C3" s="40"/>
      <c r="D3" s="40"/>
      <c r="E3" s="40"/>
      <c r="F3" s="40"/>
      <c r="G3" s="40"/>
      <c r="H3" s="40"/>
    </row>
    <row r="4" spans="1:8" x14ac:dyDescent="0.25">
      <c r="A4" s="42"/>
    </row>
    <row r="6" spans="1:8" ht="13" x14ac:dyDescent="0.3">
      <c r="A6" s="73" t="s">
        <v>274</v>
      </c>
      <c r="B6" s="114" t="s">
        <v>275</v>
      </c>
      <c r="C6" s="114"/>
      <c r="D6" s="114"/>
    </row>
    <row r="7" spans="1:8" x14ac:dyDescent="0.25">
      <c r="A7" s="74" t="s">
        <v>276</v>
      </c>
      <c r="B7" s="114" t="s">
        <v>72</v>
      </c>
      <c r="C7" s="114"/>
      <c r="D7" s="114"/>
    </row>
    <row r="8" spans="1:8" x14ac:dyDescent="0.25">
      <c r="A8" s="74" t="s">
        <v>278</v>
      </c>
      <c r="B8" s="114" t="s">
        <v>74</v>
      </c>
      <c r="C8" s="114"/>
      <c r="D8" s="114"/>
    </row>
    <row r="9" spans="1:8" x14ac:dyDescent="0.25">
      <c r="A9" s="74" t="s">
        <v>280</v>
      </c>
      <c r="B9" s="114" t="s">
        <v>325</v>
      </c>
      <c r="C9" s="114"/>
      <c r="D9" s="114"/>
    </row>
    <row r="10" spans="1:8" x14ac:dyDescent="0.25">
      <c r="A10" s="74" t="s">
        <v>6</v>
      </c>
      <c r="B10" s="114" t="s">
        <v>351</v>
      </c>
      <c r="C10" s="114"/>
      <c r="D10" s="114"/>
    </row>
    <row r="11" spans="1:8" x14ac:dyDescent="0.25">
      <c r="A11" s="74" t="s">
        <v>283</v>
      </c>
      <c r="B11" s="114" t="s">
        <v>331</v>
      </c>
      <c r="C11" s="114"/>
      <c r="D11" s="114"/>
    </row>
    <row r="12" spans="1:8" x14ac:dyDescent="0.25">
      <c r="A12" s="74" t="s">
        <v>285</v>
      </c>
      <c r="B12" s="114" t="s">
        <v>311</v>
      </c>
      <c r="C12" s="114"/>
      <c r="D12" s="114"/>
    </row>
    <row r="13" spans="1:8" x14ac:dyDescent="0.25">
      <c r="A13" s="74" t="s">
        <v>287</v>
      </c>
      <c r="B13" s="114">
        <v>1</v>
      </c>
      <c r="C13" s="114"/>
      <c r="D13" s="114"/>
    </row>
    <row r="14" spans="1:8" x14ac:dyDescent="0.25">
      <c r="A14" s="74" t="s">
        <v>289</v>
      </c>
      <c r="B14" s="114">
        <v>208</v>
      </c>
      <c r="C14" s="114"/>
      <c r="D14" s="114"/>
    </row>
    <row r="15" spans="1:8" x14ac:dyDescent="0.25">
      <c r="A15" s="74" t="s">
        <v>291</v>
      </c>
      <c r="B15" s="114" t="s">
        <v>352</v>
      </c>
      <c r="C15" s="114"/>
      <c r="D15" s="114"/>
    </row>
    <row r="16" spans="1:8" x14ac:dyDescent="0.25">
      <c r="A16" s="74" t="s">
        <v>293</v>
      </c>
      <c r="B16" s="114" t="s">
        <v>353</v>
      </c>
      <c r="C16" s="114"/>
      <c r="D16" s="114"/>
    </row>
    <row r="17" spans="1:4" x14ac:dyDescent="0.25">
      <c r="A17" s="74" t="s">
        <v>760</v>
      </c>
      <c r="B17" s="114"/>
      <c r="C17" s="114"/>
      <c r="D17" s="114"/>
    </row>
    <row r="18" spans="1:4" x14ac:dyDescent="0.25">
      <c r="A18" s="74" t="s">
        <v>297</v>
      </c>
      <c r="B18" s="162" t="s">
        <v>762</v>
      </c>
      <c r="C18" s="114"/>
      <c r="D18" s="114"/>
    </row>
    <row r="19" spans="1:4" x14ac:dyDescent="0.25">
      <c r="A19" s="74" t="s">
        <v>299</v>
      </c>
      <c r="B19" s="162">
        <v>45014</v>
      </c>
      <c r="C19" s="114"/>
      <c r="D19" s="114"/>
    </row>
    <row r="20" spans="1:4" x14ac:dyDescent="0.25">
      <c r="A20" s="74" t="s">
        <v>301</v>
      </c>
      <c r="B20" s="114" t="s">
        <v>314</v>
      </c>
      <c r="C20" s="114"/>
      <c r="D20" s="114"/>
    </row>
    <row r="21" spans="1:4" x14ac:dyDescent="0.25">
      <c r="A21" s="74" t="s">
        <v>307</v>
      </c>
      <c r="B21" s="114" t="s">
        <v>315</v>
      </c>
      <c r="C21" s="114"/>
      <c r="D21" s="114"/>
    </row>
    <row r="23" spans="1:4" x14ac:dyDescent="0.25">
      <c r="B23" s="100" t="str">
        <f>HYPERLINK("#'Factor List'!A1","Back to Factor List")</f>
        <v>Back to Factor List</v>
      </c>
    </row>
    <row r="24" spans="1:4" x14ac:dyDescent="0.25">
      <c r="B24" s="100" t="s">
        <v>13</v>
      </c>
    </row>
    <row r="26" spans="1:4" ht="26" x14ac:dyDescent="0.25">
      <c r="A26" s="97" t="s">
        <v>417</v>
      </c>
      <c r="B26" s="97" t="s">
        <v>763</v>
      </c>
      <c r="C26" s="97" t="s">
        <v>772</v>
      </c>
      <c r="D26" s="97" t="s">
        <v>776</v>
      </c>
    </row>
    <row r="27" spans="1:4" x14ac:dyDescent="0.25">
      <c r="A27" s="98" t="s">
        <v>775</v>
      </c>
      <c r="B27" s="99">
        <v>7</v>
      </c>
      <c r="C27" s="99">
        <v>0</v>
      </c>
      <c r="D27" s="99">
        <v>0.6</v>
      </c>
    </row>
    <row r="28" spans="1:4" x14ac:dyDescent="0.25">
      <c r="A28" s="98">
        <v>20</v>
      </c>
      <c r="B28" s="99">
        <v>7.05</v>
      </c>
      <c r="C28" s="99">
        <v>0</v>
      </c>
      <c r="D28" s="99">
        <v>0.6</v>
      </c>
    </row>
    <row r="29" spans="1:4" x14ac:dyDescent="0.25">
      <c r="A29" s="98">
        <v>21</v>
      </c>
      <c r="B29" s="99">
        <v>7.1</v>
      </c>
      <c r="C29" s="99">
        <v>0</v>
      </c>
      <c r="D29" s="99">
        <v>0.61</v>
      </c>
    </row>
    <row r="30" spans="1:4" x14ac:dyDescent="0.25">
      <c r="A30" s="98">
        <v>22</v>
      </c>
      <c r="B30" s="99">
        <v>7.15</v>
      </c>
      <c r="C30" s="99">
        <v>0</v>
      </c>
      <c r="D30" s="99">
        <v>0.61</v>
      </c>
    </row>
    <row r="31" spans="1:4" x14ac:dyDescent="0.25">
      <c r="A31" s="98">
        <v>23</v>
      </c>
      <c r="B31" s="99">
        <v>7.2</v>
      </c>
      <c r="C31" s="99">
        <v>0</v>
      </c>
      <c r="D31" s="99">
        <v>0.61</v>
      </c>
    </row>
    <row r="32" spans="1:4" x14ac:dyDescent="0.25">
      <c r="A32" s="98">
        <v>24</v>
      </c>
      <c r="B32" s="99">
        <v>7.25</v>
      </c>
      <c r="C32" s="99">
        <v>0</v>
      </c>
      <c r="D32" s="99">
        <v>0.62</v>
      </c>
    </row>
    <row r="33" spans="1:4" x14ac:dyDescent="0.25">
      <c r="A33" s="98">
        <v>25</v>
      </c>
      <c r="B33" s="99">
        <v>7.35</v>
      </c>
      <c r="C33" s="99">
        <v>0</v>
      </c>
      <c r="D33" s="99">
        <v>0.62</v>
      </c>
    </row>
    <row r="34" spans="1:4" x14ac:dyDescent="0.25">
      <c r="A34" s="98">
        <v>26</v>
      </c>
      <c r="B34" s="99">
        <v>7.4</v>
      </c>
      <c r="C34" s="99">
        <v>0</v>
      </c>
      <c r="D34" s="99">
        <v>0.63</v>
      </c>
    </row>
    <row r="35" spans="1:4" x14ac:dyDescent="0.25">
      <c r="A35" s="98">
        <v>27</v>
      </c>
      <c r="B35" s="99">
        <v>7.45</v>
      </c>
      <c r="C35" s="99">
        <v>0</v>
      </c>
      <c r="D35" s="99">
        <v>0.63</v>
      </c>
    </row>
    <row r="36" spans="1:4" x14ac:dyDescent="0.25">
      <c r="A36" s="98">
        <v>28</v>
      </c>
      <c r="B36" s="99">
        <v>7.5</v>
      </c>
      <c r="C36" s="99">
        <v>0</v>
      </c>
      <c r="D36" s="99">
        <v>0.63</v>
      </c>
    </row>
    <row r="37" spans="1:4" x14ac:dyDescent="0.25">
      <c r="A37" s="98">
        <v>29</v>
      </c>
      <c r="B37" s="99">
        <v>7.55</v>
      </c>
      <c r="C37" s="99">
        <v>0</v>
      </c>
      <c r="D37" s="99">
        <v>0.64</v>
      </c>
    </row>
    <row r="38" spans="1:4" x14ac:dyDescent="0.25">
      <c r="A38" s="98">
        <v>30</v>
      </c>
      <c r="B38" s="99">
        <v>7.65</v>
      </c>
      <c r="C38" s="99">
        <v>0</v>
      </c>
      <c r="D38" s="99">
        <v>0.64</v>
      </c>
    </row>
    <row r="39" spans="1:4" x14ac:dyDescent="0.25">
      <c r="A39" s="98">
        <v>31</v>
      </c>
      <c r="B39" s="99">
        <v>7.7</v>
      </c>
      <c r="C39" s="99">
        <v>0</v>
      </c>
      <c r="D39" s="99">
        <v>0.65</v>
      </c>
    </row>
    <row r="40" spans="1:4" x14ac:dyDescent="0.25">
      <c r="A40" s="98">
        <v>32</v>
      </c>
      <c r="B40" s="99">
        <v>7.8</v>
      </c>
      <c r="C40" s="99">
        <v>0</v>
      </c>
      <c r="D40" s="99">
        <v>0.66</v>
      </c>
    </row>
    <row r="41" spans="1:4" x14ac:dyDescent="0.25">
      <c r="A41" s="98">
        <v>33</v>
      </c>
      <c r="B41" s="99">
        <v>7.9</v>
      </c>
      <c r="C41" s="99">
        <v>0</v>
      </c>
      <c r="D41" s="99">
        <v>0.66</v>
      </c>
    </row>
    <row r="42" spans="1:4" x14ac:dyDescent="0.25">
      <c r="A42" s="98">
        <v>34</v>
      </c>
      <c r="B42" s="99">
        <v>7.95</v>
      </c>
      <c r="C42" s="99">
        <v>0</v>
      </c>
      <c r="D42" s="99">
        <v>0.67</v>
      </c>
    </row>
    <row r="43" spans="1:4" x14ac:dyDescent="0.25">
      <c r="A43" s="98">
        <v>35</v>
      </c>
      <c r="B43" s="99">
        <v>8.0500000000000007</v>
      </c>
      <c r="C43" s="99">
        <v>0</v>
      </c>
      <c r="D43" s="99">
        <v>0.67</v>
      </c>
    </row>
    <row r="44" spans="1:4" x14ac:dyDescent="0.25">
      <c r="A44" s="98">
        <v>36</v>
      </c>
      <c r="B44" s="99">
        <v>8.15</v>
      </c>
      <c r="C44" s="99">
        <v>0</v>
      </c>
      <c r="D44" s="99">
        <v>0.68</v>
      </c>
    </row>
    <row r="45" spans="1:4" x14ac:dyDescent="0.25">
      <c r="A45" s="98">
        <v>37</v>
      </c>
      <c r="B45" s="99">
        <v>8.25</v>
      </c>
      <c r="C45" s="99">
        <v>0</v>
      </c>
      <c r="D45" s="99">
        <v>0.68</v>
      </c>
    </row>
    <row r="46" spans="1:4" x14ac:dyDescent="0.25">
      <c r="A46" s="98">
        <v>38</v>
      </c>
      <c r="B46" s="99">
        <v>8.35</v>
      </c>
      <c r="C46" s="99">
        <v>0</v>
      </c>
      <c r="D46" s="99">
        <v>0.68</v>
      </c>
    </row>
    <row r="47" spans="1:4" x14ac:dyDescent="0.25">
      <c r="A47" s="98">
        <v>39</v>
      </c>
      <c r="B47" s="99">
        <v>8.4499999999999993</v>
      </c>
      <c r="C47" s="99">
        <v>0</v>
      </c>
      <c r="D47" s="99">
        <v>0.69</v>
      </c>
    </row>
    <row r="48" spans="1:4" x14ac:dyDescent="0.25">
      <c r="A48" s="98">
        <v>40</v>
      </c>
      <c r="B48" s="99">
        <v>8.5500000000000007</v>
      </c>
      <c r="C48" s="99">
        <v>0</v>
      </c>
      <c r="D48" s="99">
        <v>0.69</v>
      </c>
    </row>
    <row r="49" spans="1:4" x14ac:dyDescent="0.25">
      <c r="A49" s="98">
        <v>41</v>
      </c>
      <c r="B49" s="99">
        <v>8.65</v>
      </c>
      <c r="C49" s="99">
        <v>0</v>
      </c>
      <c r="D49" s="99">
        <v>0.7</v>
      </c>
    </row>
    <row r="50" spans="1:4" x14ac:dyDescent="0.25">
      <c r="A50" s="98">
        <v>42</v>
      </c>
      <c r="B50" s="99">
        <v>8.75</v>
      </c>
      <c r="C50" s="99">
        <v>0</v>
      </c>
      <c r="D50" s="99">
        <v>0.7</v>
      </c>
    </row>
    <row r="51" spans="1:4" x14ac:dyDescent="0.25">
      <c r="A51" s="98">
        <v>43</v>
      </c>
      <c r="B51" s="99">
        <v>8.85</v>
      </c>
      <c r="C51" s="99">
        <v>0</v>
      </c>
      <c r="D51" s="99">
        <v>0.71</v>
      </c>
    </row>
    <row r="52" spans="1:4" x14ac:dyDescent="0.25">
      <c r="A52" s="98">
        <v>44</v>
      </c>
      <c r="B52" s="99">
        <v>8.9499999999999993</v>
      </c>
      <c r="C52" s="99">
        <v>0</v>
      </c>
      <c r="D52" s="99">
        <v>0.72</v>
      </c>
    </row>
    <row r="53" spans="1:4" x14ac:dyDescent="0.25">
      <c r="A53" s="98">
        <v>45</v>
      </c>
      <c r="B53" s="99">
        <v>9.0500000000000007</v>
      </c>
      <c r="C53" s="99">
        <v>0</v>
      </c>
      <c r="D53" s="99">
        <v>0.73</v>
      </c>
    </row>
    <row r="54" spans="1:4" x14ac:dyDescent="0.25">
      <c r="A54" s="98">
        <v>46</v>
      </c>
      <c r="B54" s="99">
        <v>9.15</v>
      </c>
      <c r="C54" s="99">
        <v>0</v>
      </c>
      <c r="D54" s="99">
        <v>0.74</v>
      </c>
    </row>
    <row r="55" spans="1:4" x14ac:dyDescent="0.25">
      <c r="A55" s="98">
        <v>47</v>
      </c>
      <c r="B55" s="99">
        <v>9.25</v>
      </c>
      <c r="C55" s="99">
        <v>0</v>
      </c>
      <c r="D55" s="99">
        <v>0.75</v>
      </c>
    </row>
    <row r="56" spans="1:4" x14ac:dyDescent="0.25">
      <c r="A56" s="98">
        <v>48</v>
      </c>
      <c r="B56" s="99">
        <v>9.35</v>
      </c>
      <c r="C56" s="99">
        <v>0</v>
      </c>
      <c r="D56" s="99">
        <v>0.76</v>
      </c>
    </row>
    <row r="57" spans="1:4" x14ac:dyDescent="0.25">
      <c r="A57" s="98">
        <v>49</v>
      </c>
      <c r="B57" s="99">
        <v>9.4499999999999993</v>
      </c>
      <c r="C57" s="99">
        <v>0</v>
      </c>
      <c r="D57" s="99">
        <v>0.77</v>
      </c>
    </row>
    <row r="58" spans="1:4" x14ac:dyDescent="0.25">
      <c r="A58" s="98">
        <v>50</v>
      </c>
      <c r="B58" s="99">
        <v>9.5500000000000007</v>
      </c>
      <c r="C58" s="99">
        <v>0</v>
      </c>
      <c r="D58" s="99">
        <v>0.78</v>
      </c>
    </row>
    <row r="59" spans="1:4" x14ac:dyDescent="0.25">
      <c r="A59" s="98">
        <v>51</v>
      </c>
      <c r="B59" s="99">
        <v>9.65</v>
      </c>
      <c r="C59" s="99">
        <v>0</v>
      </c>
      <c r="D59" s="99">
        <v>0.79</v>
      </c>
    </row>
    <row r="60" spans="1:4" x14ac:dyDescent="0.25">
      <c r="A60" s="98">
        <v>52</v>
      </c>
      <c r="B60" s="99">
        <v>9.8000000000000007</v>
      </c>
      <c r="C60" s="99">
        <v>0</v>
      </c>
      <c r="D60" s="99">
        <v>0.8</v>
      </c>
    </row>
    <row r="61" spans="1:4" x14ac:dyDescent="0.25">
      <c r="A61" s="98">
        <v>53</v>
      </c>
      <c r="B61" s="99">
        <v>9.9499999999999993</v>
      </c>
      <c r="C61" s="99">
        <v>0</v>
      </c>
      <c r="D61" s="99">
        <v>0.81</v>
      </c>
    </row>
    <row r="62" spans="1:4" x14ac:dyDescent="0.25">
      <c r="A62" s="98">
        <v>54</v>
      </c>
      <c r="B62" s="99">
        <v>10.1</v>
      </c>
      <c r="C62" s="99">
        <v>0</v>
      </c>
      <c r="D62" s="99">
        <v>0.82</v>
      </c>
    </row>
    <row r="63" spans="1:4" x14ac:dyDescent="0.25">
      <c r="A63" s="98">
        <v>55</v>
      </c>
      <c r="B63" s="99">
        <v>10.3</v>
      </c>
      <c r="C63" s="99">
        <v>0</v>
      </c>
      <c r="D63" s="99">
        <v>0.83</v>
      </c>
    </row>
    <row r="64" spans="1:4" x14ac:dyDescent="0.25">
      <c r="A64" s="98">
        <v>56</v>
      </c>
      <c r="B64" s="99">
        <v>10.5</v>
      </c>
      <c r="C64" s="99">
        <v>0</v>
      </c>
      <c r="D64" s="99">
        <v>0.84</v>
      </c>
    </row>
    <row r="65" spans="1:4" x14ac:dyDescent="0.25">
      <c r="A65" s="98">
        <v>57</v>
      </c>
      <c r="B65" s="99">
        <v>10.75</v>
      </c>
      <c r="C65" s="99">
        <v>0</v>
      </c>
      <c r="D65" s="99">
        <v>0.85</v>
      </c>
    </row>
    <row r="66" spans="1:4" x14ac:dyDescent="0.25">
      <c r="A66" s="98">
        <v>58</v>
      </c>
      <c r="B66" s="99">
        <v>11.05</v>
      </c>
      <c r="C66" s="99">
        <v>0</v>
      </c>
      <c r="D66" s="99">
        <v>0.87</v>
      </c>
    </row>
    <row r="67" spans="1:4" x14ac:dyDescent="0.25">
      <c r="A67" s="98">
        <v>59</v>
      </c>
      <c r="B67" s="99">
        <v>11.4</v>
      </c>
      <c r="C67" s="99">
        <v>0</v>
      </c>
      <c r="D67" s="99">
        <v>0.89</v>
      </c>
    </row>
  </sheetData>
  <sheetProtection algorithmName="SHA-512" hashValue="upTh73QUGyCV7h9LWl1N9OfCbuGr/hkHipxwLlv4Up8sSxQ1gr/AcJV/BFvR0ClVTyb0rRqoinPvCSt959fD1A==" saltValue="ndKsU9sNEJn0z6gpm9u24A==" spinCount="100000" sheet="1" objects="1" scenarios="1"/>
  <conditionalFormatting sqref="A6:A21">
    <cfRule type="expression" dxfId="1089" priority="13" stopIfTrue="1">
      <formula>MOD(ROW(),2)=0</formula>
    </cfRule>
    <cfRule type="expression" dxfId="1088" priority="14" stopIfTrue="1">
      <formula>MOD(ROW(),2)&lt;&gt;0</formula>
    </cfRule>
  </conditionalFormatting>
  <conditionalFormatting sqref="A26:A67">
    <cfRule type="expression" dxfId="1087" priority="5" stopIfTrue="1">
      <formula>MOD(ROW(),2)=0</formula>
    </cfRule>
    <cfRule type="expression" dxfId="1086" priority="6" stopIfTrue="1">
      <formula>MOD(ROW(),2)&lt;&gt;0</formula>
    </cfRule>
  </conditionalFormatting>
  <conditionalFormatting sqref="B17:B21">
    <cfRule type="expression" dxfId="1085" priority="1" stopIfTrue="1">
      <formula>MOD(ROW(),2)=0</formula>
    </cfRule>
    <cfRule type="expression" dxfId="1084" priority="2" stopIfTrue="1">
      <formula>MOD(ROW(),2)&lt;&gt;0</formula>
    </cfRule>
  </conditionalFormatting>
  <conditionalFormatting sqref="B6:D21">
    <cfRule type="expression" dxfId="1083" priority="21" stopIfTrue="1">
      <formula>MOD(ROW(),2)=0</formula>
    </cfRule>
    <cfRule type="expression" dxfId="1082" priority="22" stopIfTrue="1">
      <formula>MOD(ROW(),2)&lt;&gt;0</formula>
    </cfRule>
  </conditionalFormatting>
  <conditionalFormatting sqref="B26:D67">
    <cfRule type="expression" dxfId="1081" priority="7" stopIfTrue="1">
      <formula>MOD(ROW(),2)=0</formula>
    </cfRule>
    <cfRule type="expression" dxfId="1080" priority="8" stopIfTrue="1">
      <formula>MOD(ROW(),2)&lt;&gt;0</formula>
    </cfRule>
  </conditionalFormatting>
  <hyperlinks>
    <hyperlink ref="B24" location="Assumptions!A1" display="Assumptions" xr:uid="{9C08A36C-E7F0-4A7C-8780-0A789B621D1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I125"/>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CETV - x-209</v>
      </c>
      <c r="B3" s="40"/>
      <c r="C3" s="40"/>
      <c r="D3" s="40"/>
      <c r="E3" s="40"/>
      <c r="F3" s="40"/>
      <c r="G3" s="40"/>
      <c r="H3" s="40"/>
      <c r="I3" s="40"/>
    </row>
    <row r="4" spans="1:9" x14ac:dyDescent="0.25">
      <c r="A4" s="42"/>
    </row>
    <row r="6" spans="1:9" ht="13" x14ac:dyDescent="0.3">
      <c r="A6" s="73" t="s">
        <v>274</v>
      </c>
      <c r="B6" s="114" t="s">
        <v>275</v>
      </c>
      <c r="C6" s="114"/>
    </row>
    <row r="7" spans="1:9" x14ac:dyDescent="0.25">
      <c r="A7" s="74" t="s">
        <v>276</v>
      </c>
      <c r="B7" s="114" t="s">
        <v>72</v>
      </c>
      <c r="C7" s="114"/>
    </row>
    <row r="8" spans="1:9" x14ac:dyDescent="0.25">
      <c r="A8" s="74" t="s">
        <v>278</v>
      </c>
      <c r="B8" s="114" t="s">
        <v>73</v>
      </c>
      <c r="C8" s="114"/>
    </row>
    <row r="9" spans="1:9" x14ac:dyDescent="0.25">
      <c r="A9" s="74" t="s">
        <v>280</v>
      </c>
      <c r="B9" s="114" t="s">
        <v>325</v>
      </c>
      <c r="C9" s="114"/>
    </row>
    <row r="10" spans="1:9" x14ac:dyDescent="0.25">
      <c r="A10" s="74" t="s">
        <v>6</v>
      </c>
      <c r="B10" s="114" t="s">
        <v>354</v>
      </c>
      <c r="C10" s="114"/>
    </row>
    <row r="11" spans="1:9" x14ac:dyDescent="0.25">
      <c r="A11" s="74" t="s">
        <v>283</v>
      </c>
      <c r="B11" s="114" t="s">
        <v>355</v>
      </c>
      <c r="C11" s="114"/>
    </row>
    <row r="12" spans="1:9" x14ac:dyDescent="0.25">
      <c r="A12" s="74" t="s">
        <v>285</v>
      </c>
      <c r="B12" s="114" t="s">
        <v>356</v>
      </c>
      <c r="C12" s="114"/>
    </row>
    <row r="13" spans="1:9" x14ac:dyDescent="0.25">
      <c r="A13" s="74" t="s">
        <v>287</v>
      </c>
      <c r="B13" s="114">
        <v>0</v>
      </c>
      <c r="C13" s="114"/>
    </row>
    <row r="14" spans="1:9" x14ac:dyDescent="0.25">
      <c r="A14" s="74" t="s">
        <v>289</v>
      </c>
      <c r="B14" s="114">
        <v>209</v>
      </c>
      <c r="C14" s="114"/>
    </row>
    <row r="15" spans="1:9" x14ac:dyDescent="0.25">
      <c r="A15" s="74" t="s">
        <v>291</v>
      </c>
      <c r="B15" s="114" t="s">
        <v>357</v>
      </c>
      <c r="C15" s="114"/>
    </row>
    <row r="16" spans="1:9" x14ac:dyDescent="0.25">
      <c r="A16" s="74" t="s">
        <v>293</v>
      </c>
      <c r="B16" s="114" t="s">
        <v>358</v>
      </c>
      <c r="C16" s="114"/>
    </row>
    <row r="17" spans="1:3" x14ac:dyDescent="0.25">
      <c r="A17" s="74" t="s">
        <v>760</v>
      </c>
      <c r="B17" s="114"/>
      <c r="C17" s="114"/>
    </row>
    <row r="18" spans="1:3" x14ac:dyDescent="0.25">
      <c r="A18" s="74" t="s">
        <v>297</v>
      </c>
      <c r="B18" s="162" t="s">
        <v>762</v>
      </c>
      <c r="C18" s="114"/>
    </row>
    <row r="19" spans="1:3" x14ac:dyDescent="0.25">
      <c r="A19" s="74" t="s">
        <v>299</v>
      </c>
      <c r="B19" s="162">
        <v>45014</v>
      </c>
      <c r="C19" s="114"/>
    </row>
    <row r="20" spans="1:3" x14ac:dyDescent="0.25">
      <c r="A20" s="74" t="s">
        <v>301</v>
      </c>
      <c r="B20" s="114" t="s">
        <v>314</v>
      </c>
      <c r="C20" s="114"/>
    </row>
    <row r="21" spans="1:3" x14ac:dyDescent="0.25">
      <c r="A21" s="74" t="s">
        <v>307</v>
      </c>
      <c r="B21" s="114" t="s">
        <v>315</v>
      </c>
      <c r="C21" s="114"/>
    </row>
    <row r="23" spans="1:3" x14ac:dyDescent="0.25">
      <c r="B23" s="100" t="str">
        <f>HYPERLINK("#'Factor List'!A1","Back to Factor List")</f>
        <v>Back to Factor List</v>
      </c>
    </row>
    <row r="24" spans="1:3" x14ac:dyDescent="0.25">
      <c r="B24" s="100" t="s">
        <v>13</v>
      </c>
    </row>
    <row r="26" spans="1:3" ht="39" x14ac:dyDescent="0.25">
      <c r="A26" s="97" t="s">
        <v>777</v>
      </c>
      <c r="B26" s="97" t="s">
        <v>763</v>
      </c>
      <c r="C26" s="97" t="s">
        <v>778</v>
      </c>
    </row>
    <row r="27" spans="1:3" x14ac:dyDescent="0.25">
      <c r="A27" s="98">
        <v>1</v>
      </c>
      <c r="B27" s="99">
        <v>17.690000000000001</v>
      </c>
      <c r="C27" s="99">
        <v>1.78</v>
      </c>
    </row>
    <row r="28" spans="1:3" x14ac:dyDescent="0.25">
      <c r="A28" s="98">
        <v>2</v>
      </c>
      <c r="B28" s="99">
        <v>17.2</v>
      </c>
      <c r="C28" s="99">
        <v>1.8</v>
      </c>
    </row>
    <row r="29" spans="1:3" x14ac:dyDescent="0.25">
      <c r="A29" s="98">
        <v>3</v>
      </c>
      <c r="B29" s="99">
        <v>16.73</v>
      </c>
      <c r="C29" s="99">
        <v>1.82</v>
      </c>
    </row>
    <row r="30" spans="1:3" x14ac:dyDescent="0.25">
      <c r="A30" s="98">
        <v>4</v>
      </c>
      <c r="B30" s="99">
        <v>16.28</v>
      </c>
      <c r="C30" s="99">
        <v>1.83</v>
      </c>
    </row>
    <row r="31" spans="1:3" x14ac:dyDescent="0.25">
      <c r="A31" s="98">
        <v>5</v>
      </c>
      <c r="B31" s="99">
        <v>16</v>
      </c>
      <c r="C31" s="99">
        <v>1.84</v>
      </c>
    </row>
    <row r="32" spans="1:3" x14ac:dyDescent="0.25">
      <c r="A32" s="98">
        <v>6</v>
      </c>
      <c r="B32" s="99">
        <v>15.72</v>
      </c>
      <c r="C32" s="99">
        <v>1.84</v>
      </c>
    </row>
    <row r="33" spans="1:3" x14ac:dyDescent="0.25">
      <c r="A33" s="98">
        <v>7</v>
      </c>
      <c r="B33" s="99">
        <v>15.46</v>
      </c>
      <c r="C33" s="99">
        <v>1.85</v>
      </c>
    </row>
    <row r="34" spans="1:3" x14ac:dyDescent="0.25">
      <c r="A34" s="98">
        <v>8</v>
      </c>
      <c r="B34" s="99">
        <v>15.21</v>
      </c>
      <c r="C34" s="99">
        <v>1.85</v>
      </c>
    </row>
    <row r="35" spans="1:3" x14ac:dyDescent="0.25">
      <c r="A35" s="98">
        <v>9</v>
      </c>
      <c r="B35" s="99">
        <v>14.96</v>
      </c>
      <c r="C35" s="99">
        <v>1.85</v>
      </c>
    </row>
    <row r="36" spans="1:3" x14ac:dyDescent="0.25">
      <c r="A36" s="98">
        <v>10</v>
      </c>
      <c r="B36" s="99">
        <v>14.73</v>
      </c>
      <c r="C36" s="99">
        <v>1.84</v>
      </c>
    </row>
    <row r="37" spans="1:3" x14ac:dyDescent="0.25">
      <c r="A37" s="98">
        <v>11</v>
      </c>
      <c r="B37" s="99">
        <v>14.5</v>
      </c>
      <c r="C37" s="99">
        <v>1.84</v>
      </c>
    </row>
    <row r="38" spans="1:3" x14ac:dyDescent="0.25">
      <c r="A38" s="98">
        <v>12</v>
      </c>
      <c r="B38" s="99">
        <v>14.27</v>
      </c>
      <c r="C38" s="99">
        <v>1.83</v>
      </c>
    </row>
    <row r="39" spans="1:3" x14ac:dyDescent="0.25">
      <c r="A39" s="98">
        <v>13</v>
      </c>
      <c r="B39" s="99">
        <v>14.05</v>
      </c>
      <c r="C39" s="99">
        <v>1.82</v>
      </c>
    </row>
    <row r="40" spans="1:3" x14ac:dyDescent="0.25">
      <c r="A40" s="98">
        <v>14</v>
      </c>
      <c r="B40" s="99">
        <v>13.84</v>
      </c>
      <c r="C40" s="99">
        <v>1.81</v>
      </c>
    </row>
    <row r="41" spans="1:3" x14ac:dyDescent="0.25">
      <c r="A41" s="98">
        <v>15</v>
      </c>
      <c r="B41" s="99">
        <v>13.63</v>
      </c>
      <c r="C41" s="99">
        <v>1.8</v>
      </c>
    </row>
    <row r="42" spans="1:3" x14ac:dyDescent="0.25">
      <c r="A42" s="98">
        <v>16</v>
      </c>
      <c r="B42" s="99">
        <v>13.43</v>
      </c>
      <c r="C42" s="99">
        <v>1.79</v>
      </c>
    </row>
    <row r="43" spans="1:3" x14ac:dyDescent="0.25">
      <c r="A43" s="98">
        <v>17</v>
      </c>
      <c r="B43" s="99">
        <v>13.23</v>
      </c>
      <c r="C43" s="99">
        <v>1.78</v>
      </c>
    </row>
    <row r="44" spans="1:3" x14ac:dyDescent="0.25">
      <c r="A44" s="98">
        <v>18</v>
      </c>
      <c r="B44" s="99">
        <v>13.04</v>
      </c>
      <c r="C44" s="99">
        <v>1.77</v>
      </c>
    </row>
    <row r="45" spans="1:3" x14ac:dyDescent="0.25">
      <c r="A45" s="98">
        <v>19</v>
      </c>
      <c r="B45" s="99">
        <v>12.72</v>
      </c>
      <c r="C45" s="99">
        <v>1.76</v>
      </c>
    </row>
    <row r="46" spans="1:3" x14ac:dyDescent="0.25">
      <c r="A46" s="98">
        <v>20</v>
      </c>
      <c r="B46" s="99">
        <v>12.41</v>
      </c>
      <c r="C46" s="99">
        <v>1.76</v>
      </c>
    </row>
    <row r="47" spans="1:3" x14ac:dyDescent="0.25">
      <c r="A47" s="98">
        <v>21</v>
      </c>
      <c r="B47" s="99">
        <v>12.11</v>
      </c>
      <c r="C47" s="99">
        <v>1.75</v>
      </c>
    </row>
    <row r="48" spans="1:3" x14ac:dyDescent="0.25">
      <c r="A48" s="98">
        <v>22</v>
      </c>
      <c r="B48" s="99">
        <v>11.82</v>
      </c>
      <c r="C48" s="99">
        <v>1.74</v>
      </c>
    </row>
    <row r="49" spans="1:3" x14ac:dyDescent="0.25">
      <c r="A49" s="98">
        <v>23</v>
      </c>
      <c r="B49" s="99">
        <v>11.65</v>
      </c>
      <c r="C49" s="99">
        <v>1.73</v>
      </c>
    </row>
    <row r="50" spans="1:3" x14ac:dyDescent="0.25">
      <c r="A50" s="98">
        <v>24</v>
      </c>
      <c r="B50" s="99">
        <v>11.48</v>
      </c>
      <c r="C50" s="99">
        <v>1.71</v>
      </c>
    </row>
    <row r="51" spans="1:3" x14ac:dyDescent="0.25">
      <c r="A51" s="98">
        <v>25</v>
      </c>
      <c r="B51" s="99">
        <v>11.32</v>
      </c>
      <c r="C51" s="99">
        <v>1.69</v>
      </c>
    </row>
    <row r="52" spans="1:3" x14ac:dyDescent="0.25">
      <c r="A52" s="98">
        <v>26</v>
      </c>
      <c r="B52" s="99">
        <v>11.16</v>
      </c>
      <c r="C52" s="99">
        <v>1.68</v>
      </c>
    </row>
    <row r="53" spans="1:3" x14ac:dyDescent="0.25">
      <c r="A53" s="98">
        <v>27</v>
      </c>
      <c r="B53" s="99">
        <v>11</v>
      </c>
      <c r="C53" s="99">
        <v>1.66</v>
      </c>
    </row>
    <row r="54" spans="1:3" x14ac:dyDescent="0.25">
      <c r="A54" s="98">
        <v>28</v>
      </c>
      <c r="B54" s="99">
        <v>10.85</v>
      </c>
      <c r="C54" s="99">
        <v>1.64</v>
      </c>
    </row>
    <row r="55" spans="1:3" x14ac:dyDescent="0.25">
      <c r="A55" s="98">
        <v>29</v>
      </c>
      <c r="B55" s="99">
        <v>10.69</v>
      </c>
      <c r="C55" s="99">
        <v>1.62</v>
      </c>
    </row>
    <row r="56" spans="1:3" x14ac:dyDescent="0.25">
      <c r="A56" s="98">
        <v>30</v>
      </c>
      <c r="B56" s="99">
        <v>10.54</v>
      </c>
      <c r="C56" s="99">
        <v>1.6</v>
      </c>
    </row>
    <row r="57" spans="1:3" x14ac:dyDescent="0.25">
      <c r="A57" s="98">
        <v>31</v>
      </c>
      <c r="B57" s="99">
        <v>10.4</v>
      </c>
      <c r="C57" s="99">
        <v>1.58</v>
      </c>
    </row>
    <row r="58" spans="1:3" x14ac:dyDescent="0.25">
      <c r="A58" s="98">
        <v>32</v>
      </c>
      <c r="B58" s="99">
        <v>10.25</v>
      </c>
      <c r="C58" s="99">
        <v>1.56</v>
      </c>
    </row>
    <row r="59" spans="1:3" x14ac:dyDescent="0.25">
      <c r="A59" s="98">
        <v>33</v>
      </c>
      <c r="B59" s="99">
        <v>10.11</v>
      </c>
      <c r="C59" s="99">
        <v>1.54</v>
      </c>
    </row>
    <row r="60" spans="1:3" x14ac:dyDescent="0.25">
      <c r="A60" s="98">
        <v>34</v>
      </c>
      <c r="B60" s="99">
        <v>9.9600000000000009</v>
      </c>
      <c r="C60" s="99">
        <v>1.53</v>
      </c>
    </row>
    <row r="61" spans="1:3" x14ac:dyDescent="0.25">
      <c r="A61" s="98">
        <v>35</v>
      </c>
      <c r="B61" s="99">
        <v>9.83</v>
      </c>
      <c r="C61" s="99">
        <v>1.51</v>
      </c>
    </row>
    <row r="62" spans="1:3" x14ac:dyDescent="0.25">
      <c r="A62" s="98">
        <v>36</v>
      </c>
      <c r="B62" s="99">
        <v>9.69</v>
      </c>
      <c r="C62" s="99">
        <v>1.49</v>
      </c>
    </row>
    <row r="63" spans="1:3" x14ac:dyDescent="0.25">
      <c r="A63" s="98">
        <v>37</v>
      </c>
      <c r="B63" s="99">
        <v>9.5500000000000007</v>
      </c>
      <c r="C63" s="99">
        <v>1.47</v>
      </c>
    </row>
    <row r="64" spans="1:3" x14ac:dyDescent="0.25">
      <c r="A64" s="98">
        <v>38</v>
      </c>
      <c r="B64" s="99">
        <v>9.42</v>
      </c>
      <c r="C64" s="99">
        <v>1.45</v>
      </c>
    </row>
    <row r="65" spans="1:3" x14ac:dyDescent="0.25">
      <c r="A65" s="98">
        <v>39</v>
      </c>
      <c r="B65" s="99">
        <v>9.2899999999999991</v>
      </c>
      <c r="C65" s="99">
        <v>1.43</v>
      </c>
    </row>
    <row r="66" spans="1:3" x14ac:dyDescent="0.25">
      <c r="A66" s="98">
        <v>40</v>
      </c>
      <c r="B66" s="99">
        <v>9.16</v>
      </c>
      <c r="C66" s="99">
        <v>1.4</v>
      </c>
    </row>
    <row r="67" spans="1:3" x14ac:dyDescent="0.25">
      <c r="A67" s="98">
        <v>41</v>
      </c>
      <c r="B67" s="99">
        <v>9.0299999999999994</v>
      </c>
      <c r="C67" s="99">
        <v>1.38</v>
      </c>
    </row>
    <row r="68" spans="1:3" x14ac:dyDescent="0.25">
      <c r="A68" s="98">
        <v>42</v>
      </c>
      <c r="B68" s="99">
        <v>8.91</v>
      </c>
      <c r="C68" s="99">
        <v>1.36</v>
      </c>
    </row>
    <row r="69" spans="1:3" x14ac:dyDescent="0.25">
      <c r="A69" s="98">
        <v>43</v>
      </c>
      <c r="B69" s="99">
        <v>8.7799999999999994</v>
      </c>
      <c r="C69" s="99">
        <v>1.34</v>
      </c>
    </row>
    <row r="70" spans="1:3" x14ac:dyDescent="0.25">
      <c r="A70" s="98">
        <v>44</v>
      </c>
      <c r="B70" s="99">
        <v>8.66</v>
      </c>
      <c r="C70" s="99">
        <v>1.32</v>
      </c>
    </row>
    <row r="71" spans="1:3" x14ac:dyDescent="0.25">
      <c r="A71" s="98">
        <v>45</v>
      </c>
      <c r="B71" s="99">
        <v>8.5399999999999991</v>
      </c>
      <c r="C71" s="99">
        <v>1.3</v>
      </c>
    </row>
    <row r="72" spans="1:3" x14ac:dyDescent="0.25">
      <c r="A72" s="98">
        <v>46</v>
      </c>
      <c r="B72" s="99">
        <v>8.42</v>
      </c>
      <c r="C72" s="99">
        <v>1.28</v>
      </c>
    </row>
    <row r="73" spans="1:3" x14ac:dyDescent="0.25">
      <c r="A73" s="98">
        <v>47</v>
      </c>
      <c r="B73" s="99">
        <v>8.3000000000000007</v>
      </c>
      <c r="C73" s="99">
        <v>1.26</v>
      </c>
    </row>
    <row r="74" spans="1:3" x14ac:dyDescent="0.25">
      <c r="A74" s="98">
        <v>48</v>
      </c>
      <c r="B74" s="99">
        <v>8.19</v>
      </c>
      <c r="C74" s="99">
        <v>1.24</v>
      </c>
    </row>
    <row r="75" spans="1:3" x14ac:dyDescent="0.25">
      <c r="A75" s="98">
        <v>49</v>
      </c>
      <c r="B75" s="99">
        <v>8.07</v>
      </c>
      <c r="C75" s="99">
        <v>1.22</v>
      </c>
    </row>
    <row r="76" spans="1:3" x14ac:dyDescent="0.25">
      <c r="A76" s="98">
        <v>50</v>
      </c>
      <c r="B76" s="99">
        <v>7.96</v>
      </c>
      <c r="C76" s="99">
        <v>1.1599999999999999</v>
      </c>
    </row>
    <row r="77" spans="1:3" x14ac:dyDescent="0.25">
      <c r="A77"/>
      <c r="B77"/>
      <c r="C77"/>
    </row>
    <row r="78" spans="1:3" x14ac:dyDescent="0.25">
      <c r="A78"/>
      <c r="B78"/>
      <c r="C78"/>
    </row>
    <row r="79" spans="1:3" x14ac:dyDescent="0.25">
      <c r="A79"/>
      <c r="B79"/>
      <c r="C79"/>
    </row>
    <row r="80" spans="1:3" x14ac:dyDescent="0.25">
      <c r="A80"/>
      <c r="B80"/>
      <c r="C80"/>
    </row>
    <row r="81" spans="1:3" x14ac:dyDescent="0.25">
      <c r="A81"/>
      <c r="B81"/>
      <c r="C81"/>
    </row>
    <row r="82" spans="1:3" x14ac:dyDescent="0.25">
      <c r="A82"/>
      <c r="B82"/>
      <c r="C82"/>
    </row>
    <row r="83" spans="1:3" x14ac:dyDescent="0.25">
      <c r="A83"/>
      <c r="B83"/>
      <c r="C83"/>
    </row>
    <row r="84" spans="1:3" x14ac:dyDescent="0.25">
      <c r="A84"/>
      <c r="B84"/>
      <c r="C84"/>
    </row>
    <row r="85" spans="1:3" x14ac:dyDescent="0.25">
      <c r="A85"/>
      <c r="B85"/>
      <c r="C85"/>
    </row>
    <row r="86" spans="1:3" x14ac:dyDescent="0.25">
      <c r="A86"/>
      <c r="B86"/>
      <c r="C86"/>
    </row>
    <row r="87" spans="1:3" x14ac:dyDescent="0.25">
      <c r="A87"/>
      <c r="B87"/>
      <c r="C87"/>
    </row>
    <row r="88" spans="1:3" x14ac:dyDescent="0.25">
      <c r="A88"/>
      <c r="B88"/>
      <c r="C88"/>
    </row>
    <row r="89" spans="1:3" x14ac:dyDescent="0.25">
      <c r="A89"/>
      <c r="B89"/>
      <c r="C89"/>
    </row>
    <row r="90" spans="1:3" x14ac:dyDescent="0.25">
      <c r="A90"/>
      <c r="B90"/>
      <c r="C90"/>
    </row>
    <row r="91" spans="1:3" x14ac:dyDescent="0.25">
      <c r="A91"/>
      <c r="B91"/>
      <c r="C91"/>
    </row>
    <row r="92" spans="1:3" x14ac:dyDescent="0.25">
      <c r="A92"/>
      <c r="B92"/>
      <c r="C92"/>
    </row>
    <row r="93" spans="1:3" x14ac:dyDescent="0.25">
      <c r="A93"/>
      <c r="B93"/>
      <c r="C93"/>
    </row>
    <row r="94" spans="1:3" x14ac:dyDescent="0.25">
      <c r="A94"/>
      <c r="B94"/>
      <c r="C94"/>
    </row>
    <row r="95" spans="1:3" x14ac:dyDescent="0.25">
      <c r="A95"/>
      <c r="B95"/>
      <c r="C95"/>
    </row>
    <row r="96" spans="1:3" x14ac:dyDescent="0.25">
      <c r="A96"/>
      <c r="B96"/>
      <c r="C96"/>
    </row>
    <row r="97" spans="1:3" x14ac:dyDescent="0.25">
      <c r="A97"/>
      <c r="B97"/>
      <c r="C97"/>
    </row>
    <row r="98" spans="1:3" x14ac:dyDescent="0.25">
      <c r="A98"/>
      <c r="B98"/>
      <c r="C98"/>
    </row>
    <row r="99" spans="1:3" x14ac:dyDescent="0.25">
      <c r="A99"/>
      <c r="B99"/>
      <c r="C99"/>
    </row>
    <row r="100" spans="1:3" x14ac:dyDescent="0.25">
      <c r="A100"/>
      <c r="B100"/>
      <c r="C100"/>
    </row>
    <row r="101" spans="1:3" x14ac:dyDescent="0.25">
      <c r="A101"/>
      <c r="B101"/>
      <c r="C101"/>
    </row>
    <row r="102" spans="1:3" x14ac:dyDescent="0.25">
      <c r="A102"/>
      <c r="B102"/>
      <c r="C102"/>
    </row>
    <row r="103" spans="1:3" x14ac:dyDescent="0.25">
      <c r="A103"/>
      <c r="B103"/>
      <c r="C103"/>
    </row>
    <row r="104" spans="1:3" x14ac:dyDescent="0.25">
      <c r="A104"/>
      <c r="B104"/>
      <c r="C104"/>
    </row>
    <row r="105" spans="1:3" x14ac:dyDescent="0.25">
      <c r="A105"/>
      <c r="B105"/>
      <c r="C105"/>
    </row>
    <row r="106" spans="1:3" x14ac:dyDescent="0.25">
      <c r="A106"/>
      <c r="B106"/>
      <c r="C106"/>
    </row>
    <row r="107" spans="1:3" x14ac:dyDescent="0.25">
      <c r="A107"/>
      <c r="B107"/>
      <c r="C107"/>
    </row>
    <row r="108" spans="1:3" x14ac:dyDescent="0.25">
      <c r="A108"/>
      <c r="B108"/>
      <c r="C108"/>
    </row>
    <row r="109" spans="1:3" x14ac:dyDescent="0.25">
      <c r="A109"/>
      <c r="B109"/>
      <c r="C109"/>
    </row>
    <row r="110" spans="1:3" x14ac:dyDescent="0.25">
      <c r="A110"/>
      <c r="B110"/>
      <c r="C110"/>
    </row>
    <row r="111" spans="1:3" x14ac:dyDescent="0.25">
      <c r="A111"/>
      <c r="B111"/>
      <c r="C111"/>
    </row>
    <row r="112" spans="1:3" x14ac:dyDescent="0.25">
      <c r="A112"/>
      <c r="B112"/>
      <c r="C112"/>
    </row>
    <row r="113" spans="1:3" x14ac:dyDescent="0.25">
      <c r="A113"/>
      <c r="B113"/>
      <c r="C113"/>
    </row>
    <row r="114" spans="1:3" x14ac:dyDescent="0.25">
      <c r="A114"/>
      <c r="B114"/>
      <c r="C114"/>
    </row>
    <row r="115" spans="1:3" x14ac:dyDescent="0.25">
      <c r="A115"/>
      <c r="B115"/>
      <c r="C115"/>
    </row>
    <row r="116" spans="1:3" x14ac:dyDescent="0.25">
      <c r="A116"/>
      <c r="B116"/>
      <c r="C116"/>
    </row>
    <row r="117" spans="1:3" x14ac:dyDescent="0.25">
      <c r="A117"/>
      <c r="B117"/>
      <c r="C117"/>
    </row>
    <row r="118" spans="1:3" x14ac:dyDescent="0.25">
      <c r="A118"/>
      <c r="B118"/>
      <c r="C118"/>
    </row>
    <row r="119" spans="1:3" x14ac:dyDescent="0.25">
      <c r="A119"/>
      <c r="B119"/>
      <c r="C119"/>
    </row>
    <row r="120" spans="1:3" x14ac:dyDescent="0.25">
      <c r="A120"/>
      <c r="B120"/>
      <c r="C120"/>
    </row>
    <row r="121" spans="1:3" x14ac:dyDescent="0.25">
      <c r="A121"/>
      <c r="B121"/>
      <c r="C121"/>
    </row>
    <row r="122" spans="1:3" x14ac:dyDescent="0.25">
      <c r="A122"/>
      <c r="B122"/>
      <c r="C122"/>
    </row>
    <row r="123" spans="1:3" x14ac:dyDescent="0.25">
      <c r="A123"/>
      <c r="B123"/>
      <c r="C123"/>
    </row>
    <row r="124" spans="1:3" x14ac:dyDescent="0.25">
      <c r="A124"/>
      <c r="B124"/>
      <c r="C124"/>
    </row>
    <row r="125" spans="1:3" x14ac:dyDescent="0.25">
      <c r="A125"/>
      <c r="B125"/>
      <c r="C125"/>
    </row>
  </sheetData>
  <sheetProtection algorithmName="SHA-512" hashValue="agN3KsfXNOUJUGsG84wVmljSWjvb6p7OGWXC9B4rOvegwgB9VKp5bwevP448OAdFjw/fQ9jsRn3JmSNGWS7epQ==" saltValue="rHtoxz4ru1Y3br1JDula7g==" spinCount="100000" sheet="1" objects="1" scenarios="1"/>
  <conditionalFormatting sqref="A6:A21">
    <cfRule type="expression" dxfId="1079" priority="13" stopIfTrue="1">
      <formula>MOD(ROW(),2)=0</formula>
    </cfRule>
    <cfRule type="expression" dxfId="1078" priority="14" stopIfTrue="1">
      <formula>MOD(ROW(),2)&lt;&gt;0</formula>
    </cfRule>
  </conditionalFormatting>
  <conditionalFormatting sqref="A26:A76">
    <cfRule type="expression" dxfId="1077" priority="5" stopIfTrue="1">
      <formula>MOD(ROW(),2)=0</formula>
    </cfRule>
    <cfRule type="expression" dxfId="1076" priority="6" stopIfTrue="1">
      <formula>MOD(ROW(),2)&lt;&gt;0</formula>
    </cfRule>
  </conditionalFormatting>
  <conditionalFormatting sqref="B17:B21">
    <cfRule type="expression" dxfId="1075" priority="1" stopIfTrue="1">
      <formula>MOD(ROW(),2)=0</formula>
    </cfRule>
    <cfRule type="expression" dxfId="1074" priority="2" stopIfTrue="1">
      <formula>MOD(ROW(),2)&lt;&gt;0</formula>
    </cfRule>
  </conditionalFormatting>
  <conditionalFormatting sqref="B6:C21">
    <cfRule type="expression" dxfId="1073" priority="27" stopIfTrue="1">
      <formula>MOD(ROW(),2)=0</formula>
    </cfRule>
    <cfRule type="expression" dxfId="1072" priority="28" stopIfTrue="1">
      <formula>MOD(ROW(),2)&lt;&gt;0</formula>
    </cfRule>
  </conditionalFormatting>
  <conditionalFormatting sqref="B26:C76">
    <cfRule type="expression" dxfId="1071" priority="7" stopIfTrue="1">
      <formula>MOD(ROW(),2)=0</formula>
    </cfRule>
    <cfRule type="expression" dxfId="1070" priority="8" stopIfTrue="1">
      <formula>MOD(ROW(),2)&lt;&gt;0</formula>
    </cfRule>
  </conditionalFormatting>
  <hyperlinks>
    <hyperlink ref="B24" location="Assumptions!A1" display="Assumptions" xr:uid="{D7E8B10C-2795-416D-A08E-55910F95A0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A804-2B5D-498D-8CD4-75D06C26A3CC}">
  <sheetPr codeName="Sheet37"/>
  <dimension ref="A1:I75"/>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TV in (non club) - x-214</v>
      </c>
      <c r="B3" s="40"/>
      <c r="C3" s="40"/>
      <c r="D3" s="40"/>
      <c r="E3" s="40"/>
      <c r="F3" s="40"/>
      <c r="G3" s="40"/>
      <c r="H3" s="40"/>
      <c r="I3" s="40"/>
    </row>
    <row r="4" spans="1:9" x14ac:dyDescent="0.25">
      <c r="A4" s="42"/>
    </row>
    <row r="6" spans="1:9" ht="13" x14ac:dyDescent="0.3">
      <c r="A6" s="73" t="s">
        <v>274</v>
      </c>
      <c r="B6" s="114" t="s">
        <v>275</v>
      </c>
      <c r="C6" s="114"/>
      <c r="D6" s="114"/>
    </row>
    <row r="7" spans="1:9" x14ac:dyDescent="0.25">
      <c r="A7" s="74" t="s">
        <v>276</v>
      </c>
      <c r="B7" s="114" t="s">
        <v>72</v>
      </c>
      <c r="C7" s="114"/>
      <c r="D7" s="114"/>
    </row>
    <row r="8" spans="1:9" x14ac:dyDescent="0.25">
      <c r="A8" s="74" t="s">
        <v>278</v>
      </c>
      <c r="B8" s="114" t="s">
        <v>74</v>
      </c>
      <c r="C8" s="114"/>
      <c r="D8" s="114"/>
    </row>
    <row r="9" spans="1:9" x14ac:dyDescent="0.25">
      <c r="A9" s="74" t="s">
        <v>280</v>
      </c>
      <c r="B9" s="114" t="s">
        <v>359</v>
      </c>
      <c r="C9" s="114"/>
      <c r="D9" s="114"/>
    </row>
    <row r="10" spans="1:9" x14ac:dyDescent="0.25">
      <c r="A10" s="74" t="s">
        <v>6</v>
      </c>
      <c r="B10" s="114" t="s">
        <v>360</v>
      </c>
      <c r="C10" s="114"/>
      <c r="D10" s="114"/>
    </row>
    <row r="11" spans="1:9" x14ac:dyDescent="0.25">
      <c r="A11" s="74" t="s">
        <v>283</v>
      </c>
      <c r="B11" s="114" t="s">
        <v>327</v>
      </c>
      <c r="C11" s="114"/>
      <c r="D11" s="114"/>
    </row>
    <row r="12" spans="1:9" x14ac:dyDescent="0.25">
      <c r="A12" s="74" t="s">
        <v>285</v>
      </c>
      <c r="B12" s="114" t="s">
        <v>361</v>
      </c>
      <c r="C12" s="114"/>
      <c r="D12" s="114"/>
    </row>
    <row r="13" spans="1:9" x14ac:dyDescent="0.25">
      <c r="A13" s="74" t="s">
        <v>287</v>
      </c>
      <c r="B13" s="114">
        <v>2</v>
      </c>
      <c r="C13" s="114"/>
      <c r="D13" s="114"/>
    </row>
    <row r="14" spans="1:9" x14ac:dyDescent="0.25">
      <c r="A14" s="74" t="s">
        <v>289</v>
      </c>
      <c r="B14" s="114">
        <v>214</v>
      </c>
      <c r="C14" s="114"/>
      <c r="D14" s="114"/>
    </row>
    <row r="15" spans="1:9" x14ac:dyDescent="0.25">
      <c r="A15" s="74" t="s">
        <v>291</v>
      </c>
      <c r="B15" s="114" t="s">
        <v>362</v>
      </c>
      <c r="C15" s="114"/>
      <c r="D15" s="114"/>
    </row>
    <row r="16" spans="1:9" x14ac:dyDescent="0.25">
      <c r="A16" s="74" t="s">
        <v>293</v>
      </c>
      <c r="B16" s="114" t="s">
        <v>363</v>
      </c>
      <c r="C16" s="114"/>
      <c r="D16" s="114"/>
    </row>
    <row r="17" spans="1:4" x14ac:dyDescent="0.25">
      <c r="A17" s="74" t="s">
        <v>760</v>
      </c>
      <c r="B17" s="114"/>
      <c r="C17" s="114"/>
      <c r="D17" s="114"/>
    </row>
    <row r="18" spans="1:4" x14ac:dyDescent="0.25">
      <c r="A18" s="74" t="s">
        <v>297</v>
      </c>
      <c r="B18" s="162">
        <v>45138</v>
      </c>
      <c r="C18" s="114"/>
      <c r="D18" s="114"/>
    </row>
    <row r="19" spans="1:4" x14ac:dyDescent="0.25">
      <c r="A19" s="74" t="s">
        <v>299</v>
      </c>
      <c r="B19" s="162">
        <v>45014</v>
      </c>
      <c r="C19" s="114"/>
      <c r="D19" s="114"/>
    </row>
    <row r="20" spans="1:4" x14ac:dyDescent="0.25">
      <c r="A20" s="74" t="s">
        <v>301</v>
      </c>
      <c r="B20" s="114" t="s">
        <v>314</v>
      </c>
      <c r="C20" s="114"/>
      <c r="D20" s="114"/>
    </row>
    <row r="21" spans="1:4" x14ac:dyDescent="0.25">
      <c r="A21" s="74" t="s">
        <v>307</v>
      </c>
      <c r="B21" s="114" t="s">
        <v>315</v>
      </c>
      <c r="C21" s="114"/>
      <c r="D21" s="114"/>
    </row>
    <row r="23" spans="1:4" x14ac:dyDescent="0.25">
      <c r="B23" s="100" t="str">
        <f>HYPERLINK("#'Factor List'!A1","Back to Factor List")</f>
        <v>Back to Factor List</v>
      </c>
    </row>
    <row r="24" spans="1:4" x14ac:dyDescent="0.25">
      <c r="B24" s="100" t="s">
        <v>13</v>
      </c>
    </row>
    <row r="26" spans="1:4" ht="26" x14ac:dyDescent="0.25">
      <c r="A26" s="70" t="s">
        <v>417</v>
      </c>
      <c r="B26" s="70" t="s">
        <v>779</v>
      </c>
      <c r="C26" s="70" t="s">
        <v>780</v>
      </c>
      <c r="D26" s="70" t="s">
        <v>781</v>
      </c>
    </row>
    <row r="27" spans="1:4" x14ac:dyDescent="0.25">
      <c r="A27" s="71">
        <v>16</v>
      </c>
      <c r="B27" s="72">
        <v>52.17</v>
      </c>
      <c r="C27" s="72">
        <v>5.91</v>
      </c>
      <c r="D27" s="72">
        <v>0.91</v>
      </c>
    </row>
    <row r="28" spans="1:4" x14ac:dyDescent="0.25">
      <c r="A28" s="71">
        <v>17</v>
      </c>
      <c r="B28" s="72">
        <v>52.03</v>
      </c>
      <c r="C28" s="72">
        <v>6.13</v>
      </c>
      <c r="D28" s="72">
        <v>0.91</v>
      </c>
    </row>
    <row r="29" spans="1:4" x14ac:dyDescent="0.25">
      <c r="A29" s="71">
        <v>18</v>
      </c>
      <c r="B29" s="72">
        <v>51.89</v>
      </c>
      <c r="C29" s="72">
        <v>6.42</v>
      </c>
      <c r="D29" s="72">
        <v>0.9</v>
      </c>
    </row>
    <row r="30" spans="1:4" x14ac:dyDescent="0.25">
      <c r="A30" s="71">
        <v>19</v>
      </c>
      <c r="B30" s="72">
        <v>51.75</v>
      </c>
      <c r="C30" s="72">
        <v>6.59</v>
      </c>
      <c r="D30" s="72">
        <v>0.9</v>
      </c>
    </row>
    <row r="31" spans="1:4" x14ac:dyDescent="0.25">
      <c r="A31" s="71">
        <v>20</v>
      </c>
      <c r="B31" s="72">
        <v>50.06</v>
      </c>
      <c r="C31" s="72">
        <v>6.38</v>
      </c>
      <c r="D31" s="72">
        <v>0.87</v>
      </c>
    </row>
    <row r="32" spans="1:4" x14ac:dyDescent="0.25">
      <c r="A32" s="71">
        <v>21</v>
      </c>
      <c r="B32" s="72">
        <v>47.02</v>
      </c>
      <c r="C32" s="72">
        <v>5.99</v>
      </c>
      <c r="D32" s="72">
        <v>0.82</v>
      </c>
    </row>
    <row r="33" spans="1:4" x14ac:dyDescent="0.25">
      <c r="A33" s="71">
        <v>22</v>
      </c>
      <c r="B33" s="72">
        <v>44.32</v>
      </c>
      <c r="C33" s="72">
        <v>5.64</v>
      </c>
      <c r="D33" s="72">
        <v>0.77</v>
      </c>
    </row>
    <row r="34" spans="1:4" x14ac:dyDescent="0.25">
      <c r="A34" s="71">
        <v>23</v>
      </c>
      <c r="B34" s="72">
        <v>41.9</v>
      </c>
      <c r="C34" s="72">
        <v>5.33</v>
      </c>
      <c r="D34" s="72">
        <v>0.73</v>
      </c>
    </row>
    <row r="35" spans="1:4" x14ac:dyDescent="0.25">
      <c r="A35" s="71">
        <v>24</v>
      </c>
      <c r="B35" s="72">
        <v>39.72</v>
      </c>
      <c r="C35" s="72">
        <v>5.05</v>
      </c>
      <c r="D35" s="72">
        <v>0.69</v>
      </c>
    </row>
    <row r="36" spans="1:4" x14ac:dyDescent="0.25">
      <c r="A36" s="71">
        <v>25</v>
      </c>
      <c r="B36" s="72">
        <v>37.64</v>
      </c>
      <c r="C36" s="72">
        <v>4.78</v>
      </c>
      <c r="D36" s="72">
        <v>0.66</v>
      </c>
    </row>
    <row r="37" spans="1:4" x14ac:dyDescent="0.25">
      <c r="A37" s="71">
        <v>26</v>
      </c>
      <c r="B37" s="72">
        <v>35.65</v>
      </c>
      <c r="C37" s="72">
        <v>4.5199999999999996</v>
      </c>
      <c r="D37" s="72">
        <v>0.62</v>
      </c>
    </row>
    <row r="38" spans="1:4" x14ac:dyDescent="0.25">
      <c r="A38" s="71">
        <v>27</v>
      </c>
      <c r="B38" s="72">
        <v>33.86</v>
      </c>
      <c r="C38" s="72">
        <v>4.29</v>
      </c>
      <c r="D38" s="72">
        <v>0.59</v>
      </c>
    </row>
    <row r="39" spans="1:4" x14ac:dyDescent="0.25">
      <c r="A39" s="71">
        <v>28</v>
      </c>
      <c r="B39" s="72">
        <v>32.229999999999997</v>
      </c>
      <c r="C39" s="72">
        <v>4.07</v>
      </c>
      <c r="D39" s="72">
        <v>0.56000000000000005</v>
      </c>
    </row>
    <row r="40" spans="1:4" x14ac:dyDescent="0.25">
      <c r="A40" s="71">
        <v>29</v>
      </c>
      <c r="B40" s="72">
        <v>30.74</v>
      </c>
      <c r="C40" s="72">
        <v>3.88</v>
      </c>
      <c r="D40" s="72">
        <v>0.54</v>
      </c>
    </row>
    <row r="41" spans="1:4" x14ac:dyDescent="0.25">
      <c r="A41" s="71">
        <v>30</v>
      </c>
      <c r="B41" s="72">
        <v>29.52</v>
      </c>
      <c r="C41" s="72">
        <v>3.72</v>
      </c>
      <c r="D41" s="72">
        <v>0.52</v>
      </c>
    </row>
    <row r="42" spans="1:4" x14ac:dyDescent="0.25">
      <c r="A42" s="71">
        <v>31</v>
      </c>
      <c r="B42" s="72">
        <v>28.54</v>
      </c>
      <c r="C42" s="72">
        <v>3.57</v>
      </c>
      <c r="D42" s="72">
        <v>0.5</v>
      </c>
    </row>
    <row r="43" spans="1:4" x14ac:dyDescent="0.25">
      <c r="A43" s="71">
        <v>32</v>
      </c>
      <c r="B43" s="72">
        <v>27.61</v>
      </c>
      <c r="C43" s="72">
        <v>3.44</v>
      </c>
      <c r="D43" s="72">
        <v>0.48</v>
      </c>
    </row>
    <row r="44" spans="1:4" x14ac:dyDescent="0.25">
      <c r="A44" s="71">
        <v>33</v>
      </c>
      <c r="B44" s="72">
        <v>26.75</v>
      </c>
      <c r="C44" s="72">
        <v>3.31</v>
      </c>
      <c r="D44" s="72">
        <v>0.47</v>
      </c>
    </row>
    <row r="45" spans="1:4" x14ac:dyDescent="0.25">
      <c r="A45" s="71">
        <v>34</v>
      </c>
      <c r="B45" s="72">
        <v>25.94</v>
      </c>
      <c r="C45" s="72">
        <v>3.2</v>
      </c>
      <c r="D45" s="72">
        <v>0.45</v>
      </c>
    </row>
    <row r="46" spans="1:4" x14ac:dyDescent="0.25">
      <c r="A46" s="71">
        <v>35</v>
      </c>
      <c r="B46" s="72">
        <v>25.24</v>
      </c>
      <c r="C46" s="72">
        <v>3.09</v>
      </c>
      <c r="D46" s="72">
        <v>0.44</v>
      </c>
    </row>
    <row r="47" spans="1:4" x14ac:dyDescent="0.25">
      <c r="A47" s="71">
        <v>36</v>
      </c>
      <c r="B47" s="72">
        <v>24.64</v>
      </c>
      <c r="C47" s="72">
        <v>3</v>
      </c>
      <c r="D47" s="72">
        <v>0.43</v>
      </c>
    </row>
    <row r="48" spans="1:4" x14ac:dyDescent="0.25">
      <c r="A48" s="71">
        <v>37</v>
      </c>
      <c r="B48" s="72">
        <v>24.07</v>
      </c>
      <c r="C48" s="72">
        <v>2.92</v>
      </c>
      <c r="D48" s="72">
        <v>0.42</v>
      </c>
    </row>
    <row r="49" spans="1:4" x14ac:dyDescent="0.25">
      <c r="A49" s="71">
        <v>38</v>
      </c>
      <c r="B49" s="72">
        <v>23.52</v>
      </c>
      <c r="C49" s="72">
        <v>2.84</v>
      </c>
      <c r="D49" s="72">
        <v>0.41</v>
      </c>
    </row>
    <row r="50" spans="1:4" x14ac:dyDescent="0.25">
      <c r="A50" s="71">
        <v>39</v>
      </c>
      <c r="B50" s="72">
        <v>23</v>
      </c>
      <c r="C50" s="72">
        <v>2.76</v>
      </c>
      <c r="D50" s="72">
        <v>0.4</v>
      </c>
    </row>
    <row r="51" spans="1:4" x14ac:dyDescent="0.25">
      <c r="A51" s="71">
        <v>40</v>
      </c>
      <c r="B51" s="72">
        <v>22.59</v>
      </c>
      <c r="C51" s="72">
        <v>2.7</v>
      </c>
      <c r="D51" s="72">
        <v>0.39</v>
      </c>
    </row>
    <row r="52" spans="1:4" x14ac:dyDescent="0.25">
      <c r="A52" s="71">
        <v>41</v>
      </c>
      <c r="B52" s="72">
        <v>22.27</v>
      </c>
      <c r="C52" s="72">
        <v>2.65</v>
      </c>
      <c r="D52" s="72">
        <v>0.39</v>
      </c>
    </row>
    <row r="53" spans="1:4" x14ac:dyDescent="0.25">
      <c r="A53" s="71">
        <v>42</v>
      </c>
      <c r="B53" s="72">
        <v>21.96</v>
      </c>
      <c r="C53" s="72">
        <v>2.6</v>
      </c>
      <c r="D53" s="72">
        <v>0.38</v>
      </c>
    </row>
    <row r="54" spans="1:4" x14ac:dyDescent="0.25">
      <c r="A54" s="71">
        <v>43</v>
      </c>
      <c r="B54" s="72">
        <v>21.66</v>
      </c>
      <c r="C54" s="72">
        <v>2.5499999999999998</v>
      </c>
      <c r="D54" s="72">
        <v>0.38</v>
      </c>
    </row>
    <row r="55" spans="1:4" x14ac:dyDescent="0.25">
      <c r="A55" s="71">
        <v>44</v>
      </c>
      <c r="B55" s="72">
        <v>21.36</v>
      </c>
      <c r="C55" s="72">
        <v>2.5</v>
      </c>
      <c r="D55" s="72">
        <v>0.37</v>
      </c>
    </row>
    <row r="56" spans="1:4" x14ac:dyDescent="0.25">
      <c r="A56" s="71">
        <v>45</v>
      </c>
      <c r="B56" s="72">
        <v>21.1</v>
      </c>
      <c r="C56" s="72">
        <v>2.46</v>
      </c>
      <c r="D56" s="72">
        <v>0.37</v>
      </c>
    </row>
    <row r="57" spans="1:4" x14ac:dyDescent="0.25">
      <c r="A57" s="71">
        <v>46</v>
      </c>
      <c r="B57" s="72">
        <v>20.88</v>
      </c>
      <c r="C57" s="72">
        <v>2.42</v>
      </c>
      <c r="D57" s="72">
        <v>0.36</v>
      </c>
    </row>
    <row r="58" spans="1:4" x14ac:dyDescent="0.25">
      <c r="A58" s="71">
        <v>47</v>
      </c>
      <c r="B58" s="72">
        <v>20.65</v>
      </c>
      <c r="C58" s="72">
        <v>2.38</v>
      </c>
      <c r="D58" s="72">
        <v>0.36</v>
      </c>
    </row>
    <row r="59" spans="1:4" x14ac:dyDescent="0.25">
      <c r="A59" s="71">
        <v>48</v>
      </c>
      <c r="B59" s="72">
        <v>20.440000000000001</v>
      </c>
      <c r="C59" s="72">
        <v>2.34</v>
      </c>
      <c r="D59" s="72">
        <v>0.36</v>
      </c>
    </row>
    <row r="60" spans="1:4" x14ac:dyDescent="0.25">
      <c r="A60" s="71">
        <v>49</v>
      </c>
      <c r="B60" s="72">
        <v>20.22</v>
      </c>
      <c r="C60" s="72">
        <v>2.2999999999999998</v>
      </c>
      <c r="D60" s="72">
        <v>0.35</v>
      </c>
    </row>
    <row r="61" spans="1:4" x14ac:dyDescent="0.25">
      <c r="A61" s="71">
        <v>50</v>
      </c>
      <c r="B61" s="72">
        <v>20.04</v>
      </c>
      <c r="C61" s="72">
        <v>2.27</v>
      </c>
      <c r="D61" s="72">
        <v>0.35</v>
      </c>
    </row>
    <row r="62" spans="1:4" x14ac:dyDescent="0.25">
      <c r="A62" s="71">
        <v>51</v>
      </c>
      <c r="B62" s="72">
        <v>19.89</v>
      </c>
      <c r="C62" s="72">
        <v>2.2400000000000002</v>
      </c>
      <c r="D62" s="72">
        <v>0.35</v>
      </c>
    </row>
    <row r="63" spans="1:4" x14ac:dyDescent="0.25">
      <c r="A63" s="71">
        <v>52</v>
      </c>
      <c r="B63" s="72">
        <v>19.739999999999998</v>
      </c>
      <c r="C63" s="72">
        <v>2.21</v>
      </c>
      <c r="D63" s="72">
        <v>0.34</v>
      </c>
    </row>
    <row r="64" spans="1:4" x14ac:dyDescent="0.25">
      <c r="A64" s="71">
        <v>53</v>
      </c>
      <c r="B64" s="72">
        <v>19.59</v>
      </c>
      <c r="C64" s="72">
        <v>2.1800000000000002</v>
      </c>
      <c r="D64" s="72">
        <v>0.34</v>
      </c>
    </row>
    <row r="65" spans="1:4" x14ac:dyDescent="0.25">
      <c r="A65" s="71">
        <v>54</v>
      </c>
      <c r="B65" s="72">
        <v>19.45</v>
      </c>
      <c r="C65" s="72">
        <v>2.14</v>
      </c>
      <c r="D65" s="72">
        <v>0.34</v>
      </c>
    </row>
    <row r="66" spans="1:4" x14ac:dyDescent="0.25">
      <c r="A66" s="71">
        <v>55</v>
      </c>
      <c r="B66" s="72">
        <v>19.32</v>
      </c>
      <c r="C66" s="72">
        <v>2.11</v>
      </c>
      <c r="D66" s="72">
        <v>0.34</v>
      </c>
    </row>
    <row r="67" spans="1:4" x14ac:dyDescent="0.25">
      <c r="A67" s="71">
        <v>56</v>
      </c>
      <c r="B67" s="72">
        <v>19.21</v>
      </c>
      <c r="C67" s="72">
        <v>2.08</v>
      </c>
      <c r="D67" s="72">
        <v>0.33</v>
      </c>
    </row>
    <row r="68" spans="1:4" x14ac:dyDescent="0.25">
      <c r="A68" s="71">
        <v>57</v>
      </c>
      <c r="B68" s="72">
        <v>19.100000000000001</v>
      </c>
      <c r="C68" s="72">
        <v>2.04</v>
      </c>
      <c r="D68" s="72">
        <v>0.33</v>
      </c>
    </row>
    <row r="69" spans="1:4" x14ac:dyDescent="0.25">
      <c r="A69" s="71">
        <v>58</v>
      </c>
      <c r="B69" s="72">
        <v>18.989999999999998</v>
      </c>
      <c r="C69" s="72">
        <v>2</v>
      </c>
      <c r="D69" s="72">
        <v>0.33</v>
      </c>
    </row>
    <row r="70" spans="1:4" x14ac:dyDescent="0.25">
      <c r="A70" s="71">
        <v>59</v>
      </c>
      <c r="B70" s="72">
        <v>18.89</v>
      </c>
      <c r="C70" s="72">
        <v>1.97</v>
      </c>
      <c r="D70" s="72">
        <v>0.33</v>
      </c>
    </row>
    <row r="71" spans="1:4" x14ac:dyDescent="0.25">
      <c r="A71" s="71">
        <v>60</v>
      </c>
      <c r="B71" s="72">
        <v>18.84</v>
      </c>
      <c r="C71" s="72">
        <v>1.93</v>
      </c>
      <c r="D71" s="72">
        <v>0.33</v>
      </c>
    </row>
    <row r="72" spans="1:4" x14ac:dyDescent="0.25">
      <c r="A72" s="71">
        <v>61</v>
      </c>
      <c r="B72" s="72">
        <v>18.82</v>
      </c>
      <c r="C72" s="72">
        <v>1.9</v>
      </c>
      <c r="D72" s="72">
        <v>0.33</v>
      </c>
    </row>
    <row r="73" spans="1:4" x14ac:dyDescent="0.25">
      <c r="A73" s="71">
        <v>62</v>
      </c>
      <c r="B73" s="72">
        <v>18.82</v>
      </c>
      <c r="C73" s="72">
        <v>1.86</v>
      </c>
      <c r="D73" s="72">
        <v>0.33</v>
      </c>
    </row>
    <row r="74" spans="1:4" x14ac:dyDescent="0.25">
      <c r="A74" s="71">
        <v>63</v>
      </c>
      <c r="B74" s="72">
        <v>18.82</v>
      </c>
      <c r="C74" s="72">
        <v>1.83</v>
      </c>
      <c r="D74" s="72">
        <v>0.33</v>
      </c>
    </row>
    <row r="75" spans="1:4" x14ac:dyDescent="0.25">
      <c r="A75" s="71">
        <v>64</v>
      </c>
      <c r="B75" s="72">
        <v>18.829999999999998</v>
      </c>
      <c r="C75" s="72">
        <v>1.79</v>
      </c>
      <c r="D75" s="72">
        <v>0.32</v>
      </c>
    </row>
  </sheetData>
  <sheetProtection algorithmName="SHA-512" hashValue="j324KB2bMNWeJygU+6KRRkGPH8UEkIfdYefimRZ5qrX9QO71kUTQjcA8TE99FJvT91i04nB3q3iz78P1HBA3qQ==" saltValue="ug/+n2qREAz7mwtrLKT/AQ==" spinCount="100000" sheet="1" objects="1" scenarios="1"/>
  <conditionalFormatting sqref="A6:A21">
    <cfRule type="expression" dxfId="1069" priority="5" stopIfTrue="1">
      <formula>MOD(ROW(),2)=0</formula>
    </cfRule>
    <cfRule type="expression" dxfId="1068" priority="6" stopIfTrue="1">
      <formula>MOD(ROW(),2)&lt;&gt;0</formula>
    </cfRule>
  </conditionalFormatting>
  <conditionalFormatting sqref="A26:A75">
    <cfRule type="expression" dxfId="1067" priority="7" stopIfTrue="1">
      <formula>MOD(ROW(),2)=0</formula>
    </cfRule>
    <cfRule type="expression" dxfId="1066" priority="8" stopIfTrue="1">
      <formula>MOD(ROW(),2)&lt;&gt;0</formula>
    </cfRule>
  </conditionalFormatting>
  <conditionalFormatting sqref="B17:B21">
    <cfRule type="expression" dxfId="1065" priority="1" stopIfTrue="1">
      <formula>MOD(ROW(),2)=0</formula>
    </cfRule>
    <cfRule type="expression" dxfId="1064" priority="2" stopIfTrue="1">
      <formula>MOD(ROW(),2)&lt;&gt;0</formula>
    </cfRule>
  </conditionalFormatting>
  <conditionalFormatting sqref="B6:D21">
    <cfRule type="expression" dxfId="1063" priority="13" stopIfTrue="1">
      <formula>MOD(ROW(),2)=0</formula>
    </cfRule>
    <cfRule type="expression" dxfId="1062" priority="14" stopIfTrue="1">
      <formula>MOD(ROW(),2)&lt;&gt;0</formula>
    </cfRule>
  </conditionalFormatting>
  <conditionalFormatting sqref="B26:D75">
    <cfRule type="expression" dxfId="1061" priority="9" stopIfTrue="1">
      <formula>MOD(ROW(),2)=0</formula>
    </cfRule>
    <cfRule type="expression" dxfId="1060" priority="10" stopIfTrue="1">
      <formula>MOD(ROW(),2)&lt;&gt;0</formula>
    </cfRule>
  </conditionalFormatting>
  <hyperlinks>
    <hyperlink ref="B24" location="Assumptions!A1" display="Assumptions" xr:uid="{EEC97D1A-2E44-4B81-A82A-AACD6B5BB60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6685D-F280-4142-B767-A60E7D54864A}">
  <sheetPr codeName="Sheet38"/>
  <dimension ref="A1:I70"/>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TV in (non club) - x-215</v>
      </c>
      <c r="B3" s="40"/>
      <c r="C3" s="40"/>
      <c r="D3" s="40"/>
      <c r="E3" s="40"/>
      <c r="F3" s="40"/>
      <c r="G3" s="40"/>
      <c r="H3" s="40"/>
      <c r="I3" s="40"/>
    </row>
    <row r="4" spans="1:9" x14ac:dyDescent="0.25">
      <c r="A4" s="42"/>
    </row>
    <row r="6" spans="1:9" ht="13" x14ac:dyDescent="0.3">
      <c r="A6" s="73" t="s">
        <v>274</v>
      </c>
      <c r="B6" s="114" t="s">
        <v>275</v>
      </c>
      <c r="C6" s="114"/>
      <c r="D6" s="114"/>
    </row>
    <row r="7" spans="1:9" x14ac:dyDescent="0.25">
      <c r="A7" s="74" t="s">
        <v>276</v>
      </c>
      <c r="B7" s="114" t="s">
        <v>72</v>
      </c>
      <c r="C7" s="114"/>
      <c r="D7" s="114"/>
    </row>
    <row r="8" spans="1:9" x14ac:dyDescent="0.25">
      <c r="A8" s="74" t="s">
        <v>278</v>
      </c>
      <c r="B8" s="114" t="s">
        <v>74</v>
      </c>
      <c r="C8" s="114"/>
      <c r="D8" s="114"/>
    </row>
    <row r="9" spans="1:9" x14ac:dyDescent="0.25">
      <c r="A9" s="74" t="s">
        <v>280</v>
      </c>
      <c r="B9" s="114" t="s">
        <v>359</v>
      </c>
      <c r="C9" s="114"/>
      <c r="D9" s="114"/>
    </row>
    <row r="10" spans="1:9" x14ac:dyDescent="0.25">
      <c r="A10" s="74" t="s">
        <v>6</v>
      </c>
      <c r="B10" s="114" t="s">
        <v>364</v>
      </c>
      <c r="C10" s="114"/>
      <c r="D10" s="114"/>
    </row>
    <row r="11" spans="1:9" x14ac:dyDescent="0.25">
      <c r="A11" s="74" t="s">
        <v>283</v>
      </c>
      <c r="B11" s="114" t="s">
        <v>331</v>
      </c>
      <c r="C11" s="114"/>
      <c r="D11" s="114"/>
    </row>
    <row r="12" spans="1:9" x14ac:dyDescent="0.25">
      <c r="A12" s="74" t="s">
        <v>285</v>
      </c>
      <c r="B12" s="114" t="s">
        <v>361</v>
      </c>
      <c r="C12" s="114"/>
      <c r="D12" s="114"/>
    </row>
    <row r="13" spans="1:9" x14ac:dyDescent="0.25">
      <c r="A13" s="74" t="s">
        <v>287</v>
      </c>
      <c r="B13" s="114">
        <v>2</v>
      </c>
      <c r="C13" s="114"/>
      <c r="D13" s="114"/>
    </row>
    <row r="14" spans="1:9" x14ac:dyDescent="0.25">
      <c r="A14" s="74" t="s">
        <v>289</v>
      </c>
      <c r="B14" s="114">
        <v>215</v>
      </c>
      <c r="C14" s="114"/>
      <c r="D14" s="114"/>
    </row>
    <row r="15" spans="1:9" x14ac:dyDescent="0.25">
      <c r="A15" s="74" t="s">
        <v>291</v>
      </c>
      <c r="B15" s="114" t="s">
        <v>365</v>
      </c>
      <c r="C15" s="114"/>
      <c r="D15" s="114"/>
    </row>
    <row r="16" spans="1:9" x14ac:dyDescent="0.25">
      <c r="A16" s="74" t="s">
        <v>293</v>
      </c>
      <c r="B16" s="114" t="s">
        <v>366</v>
      </c>
      <c r="C16" s="114"/>
      <c r="D16" s="114"/>
    </row>
    <row r="17" spans="1:4" x14ac:dyDescent="0.25">
      <c r="A17" s="74" t="s">
        <v>760</v>
      </c>
      <c r="B17" s="114"/>
      <c r="C17" s="114"/>
      <c r="D17" s="114"/>
    </row>
    <row r="18" spans="1:4" x14ac:dyDescent="0.25">
      <c r="A18" s="74" t="s">
        <v>297</v>
      </c>
      <c r="B18" s="162">
        <v>45138</v>
      </c>
      <c r="C18" s="114"/>
      <c r="D18" s="114"/>
    </row>
    <row r="19" spans="1:4" x14ac:dyDescent="0.25">
      <c r="A19" s="74" t="s">
        <v>299</v>
      </c>
      <c r="B19" s="162">
        <v>45014</v>
      </c>
      <c r="C19" s="114"/>
      <c r="D19" s="114"/>
    </row>
    <row r="20" spans="1:4" x14ac:dyDescent="0.25">
      <c r="A20" s="74" t="s">
        <v>301</v>
      </c>
      <c r="B20" s="114" t="s">
        <v>314</v>
      </c>
      <c r="C20" s="114"/>
      <c r="D20" s="114"/>
    </row>
    <row r="21" spans="1:4" x14ac:dyDescent="0.25">
      <c r="A21" s="74" t="s">
        <v>307</v>
      </c>
      <c r="B21" s="114" t="s">
        <v>315</v>
      </c>
      <c r="C21" s="114"/>
      <c r="D21" s="114"/>
    </row>
    <row r="23" spans="1:4" x14ac:dyDescent="0.25">
      <c r="B23" s="100" t="str">
        <f>HYPERLINK("#'Factor List'!A1","Back to Factor List")</f>
        <v>Back to Factor List</v>
      </c>
    </row>
    <row r="24" spans="1:4" x14ac:dyDescent="0.25">
      <c r="B24" s="100" t="s">
        <v>13</v>
      </c>
    </row>
    <row r="26" spans="1:4" ht="26" x14ac:dyDescent="0.25">
      <c r="A26" s="70" t="s">
        <v>417</v>
      </c>
      <c r="B26" s="70" t="s">
        <v>779</v>
      </c>
      <c r="C26" s="70" t="s">
        <v>780</v>
      </c>
      <c r="D26" s="70" t="s">
        <v>781</v>
      </c>
    </row>
    <row r="27" spans="1:4" x14ac:dyDescent="0.25">
      <c r="A27" s="71">
        <v>16</v>
      </c>
      <c r="B27" s="72">
        <v>52.17</v>
      </c>
      <c r="C27" s="72">
        <v>5.91</v>
      </c>
      <c r="D27" s="72">
        <v>0.91</v>
      </c>
    </row>
    <row r="28" spans="1:4" x14ac:dyDescent="0.25">
      <c r="A28" s="71">
        <v>17</v>
      </c>
      <c r="B28" s="72">
        <v>52.03</v>
      </c>
      <c r="C28" s="72">
        <v>6.13</v>
      </c>
      <c r="D28" s="72">
        <v>0.91</v>
      </c>
    </row>
    <row r="29" spans="1:4" x14ac:dyDescent="0.25">
      <c r="A29" s="71">
        <v>18</v>
      </c>
      <c r="B29" s="72">
        <v>51.89</v>
      </c>
      <c r="C29" s="72">
        <v>6.42</v>
      </c>
      <c r="D29" s="72">
        <v>0.9</v>
      </c>
    </row>
    <row r="30" spans="1:4" x14ac:dyDescent="0.25">
      <c r="A30" s="71">
        <v>19</v>
      </c>
      <c r="B30" s="72">
        <v>51.75</v>
      </c>
      <c r="C30" s="72">
        <v>6.59</v>
      </c>
      <c r="D30" s="72">
        <v>0.9</v>
      </c>
    </row>
    <row r="31" spans="1:4" x14ac:dyDescent="0.25">
      <c r="A31" s="71">
        <v>20</v>
      </c>
      <c r="B31" s="72">
        <v>50.06</v>
      </c>
      <c r="C31" s="72">
        <v>6.38</v>
      </c>
      <c r="D31" s="72">
        <v>0.87</v>
      </c>
    </row>
    <row r="32" spans="1:4" x14ac:dyDescent="0.25">
      <c r="A32" s="71">
        <v>21</v>
      </c>
      <c r="B32" s="72">
        <v>47.02</v>
      </c>
      <c r="C32" s="72">
        <v>5.99</v>
      </c>
      <c r="D32" s="72">
        <v>0.82</v>
      </c>
    </row>
    <row r="33" spans="1:4" x14ac:dyDescent="0.25">
      <c r="A33" s="71">
        <v>22</v>
      </c>
      <c r="B33" s="72">
        <v>44.32</v>
      </c>
      <c r="C33" s="72">
        <v>5.64</v>
      </c>
      <c r="D33" s="72">
        <v>0.77</v>
      </c>
    </row>
    <row r="34" spans="1:4" x14ac:dyDescent="0.25">
      <c r="A34" s="71">
        <v>23</v>
      </c>
      <c r="B34" s="72">
        <v>41.9</v>
      </c>
      <c r="C34" s="72">
        <v>5.33</v>
      </c>
      <c r="D34" s="72">
        <v>0.73</v>
      </c>
    </row>
    <row r="35" spans="1:4" x14ac:dyDescent="0.25">
      <c r="A35" s="71">
        <v>24</v>
      </c>
      <c r="B35" s="72">
        <v>39.72</v>
      </c>
      <c r="C35" s="72">
        <v>5.05</v>
      </c>
      <c r="D35" s="72">
        <v>0.69</v>
      </c>
    </row>
    <row r="36" spans="1:4" x14ac:dyDescent="0.25">
      <c r="A36" s="71">
        <v>25</v>
      </c>
      <c r="B36" s="72">
        <v>37.64</v>
      </c>
      <c r="C36" s="72">
        <v>4.78</v>
      </c>
      <c r="D36" s="72">
        <v>0.66</v>
      </c>
    </row>
    <row r="37" spans="1:4" x14ac:dyDescent="0.25">
      <c r="A37" s="71">
        <v>26</v>
      </c>
      <c r="B37" s="72">
        <v>35.65</v>
      </c>
      <c r="C37" s="72">
        <v>4.5199999999999996</v>
      </c>
      <c r="D37" s="72">
        <v>0.62</v>
      </c>
    </row>
    <row r="38" spans="1:4" x14ac:dyDescent="0.25">
      <c r="A38" s="71">
        <v>27</v>
      </c>
      <c r="B38" s="72">
        <v>33.86</v>
      </c>
      <c r="C38" s="72">
        <v>4.29</v>
      </c>
      <c r="D38" s="72">
        <v>0.59</v>
      </c>
    </row>
    <row r="39" spans="1:4" x14ac:dyDescent="0.25">
      <c r="A39" s="71">
        <v>28</v>
      </c>
      <c r="B39" s="72">
        <v>32.229999999999997</v>
      </c>
      <c r="C39" s="72">
        <v>4.07</v>
      </c>
      <c r="D39" s="72">
        <v>0.56000000000000005</v>
      </c>
    </row>
    <row r="40" spans="1:4" x14ac:dyDescent="0.25">
      <c r="A40" s="71">
        <v>29</v>
      </c>
      <c r="B40" s="72">
        <v>30.74</v>
      </c>
      <c r="C40" s="72">
        <v>3.88</v>
      </c>
      <c r="D40" s="72">
        <v>0.54</v>
      </c>
    </row>
    <row r="41" spans="1:4" x14ac:dyDescent="0.25">
      <c r="A41" s="71">
        <v>30</v>
      </c>
      <c r="B41" s="72">
        <v>29.52</v>
      </c>
      <c r="C41" s="72">
        <v>3.72</v>
      </c>
      <c r="D41" s="72">
        <v>0.52</v>
      </c>
    </row>
    <row r="42" spans="1:4" x14ac:dyDescent="0.25">
      <c r="A42" s="71">
        <v>31</v>
      </c>
      <c r="B42" s="72">
        <v>28.54</v>
      </c>
      <c r="C42" s="72">
        <v>3.57</v>
      </c>
      <c r="D42" s="72">
        <v>0.5</v>
      </c>
    </row>
    <row r="43" spans="1:4" x14ac:dyDescent="0.25">
      <c r="A43" s="71">
        <v>32</v>
      </c>
      <c r="B43" s="72">
        <v>27.61</v>
      </c>
      <c r="C43" s="72">
        <v>3.44</v>
      </c>
      <c r="D43" s="72">
        <v>0.48</v>
      </c>
    </row>
    <row r="44" spans="1:4" x14ac:dyDescent="0.25">
      <c r="A44" s="71">
        <v>33</v>
      </c>
      <c r="B44" s="72">
        <v>26.75</v>
      </c>
      <c r="C44" s="72">
        <v>3.31</v>
      </c>
      <c r="D44" s="72">
        <v>0.47</v>
      </c>
    </row>
    <row r="45" spans="1:4" x14ac:dyDescent="0.25">
      <c r="A45" s="71">
        <v>34</v>
      </c>
      <c r="B45" s="72">
        <v>25.94</v>
      </c>
      <c r="C45" s="72">
        <v>3.2</v>
      </c>
      <c r="D45" s="72">
        <v>0.45</v>
      </c>
    </row>
    <row r="46" spans="1:4" x14ac:dyDescent="0.25">
      <c r="A46" s="71">
        <v>35</v>
      </c>
      <c r="B46" s="72">
        <v>25.24</v>
      </c>
      <c r="C46" s="72">
        <v>3.09</v>
      </c>
      <c r="D46" s="72">
        <v>0.44</v>
      </c>
    </row>
    <row r="47" spans="1:4" x14ac:dyDescent="0.25">
      <c r="A47" s="71">
        <v>36</v>
      </c>
      <c r="B47" s="72">
        <v>24.64</v>
      </c>
      <c r="C47" s="72">
        <v>3</v>
      </c>
      <c r="D47" s="72">
        <v>0.43</v>
      </c>
    </row>
    <row r="48" spans="1:4" x14ac:dyDescent="0.25">
      <c r="A48" s="71">
        <v>37</v>
      </c>
      <c r="B48" s="72">
        <v>24.07</v>
      </c>
      <c r="C48" s="72">
        <v>2.92</v>
      </c>
      <c r="D48" s="72">
        <v>0.42</v>
      </c>
    </row>
    <row r="49" spans="1:4" x14ac:dyDescent="0.25">
      <c r="A49" s="71">
        <v>38</v>
      </c>
      <c r="B49" s="72">
        <v>23.52</v>
      </c>
      <c r="C49" s="72">
        <v>2.84</v>
      </c>
      <c r="D49" s="72">
        <v>0.41</v>
      </c>
    </row>
    <row r="50" spans="1:4" x14ac:dyDescent="0.25">
      <c r="A50" s="71">
        <v>39</v>
      </c>
      <c r="B50" s="72">
        <v>23</v>
      </c>
      <c r="C50" s="72">
        <v>2.76</v>
      </c>
      <c r="D50" s="72">
        <v>0.4</v>
      </c>
    </row>
    <row r="51" spans="1:4" x14ac:dyDescent="0.25">
      <c r="A51" s="71">
        <v>40</v>
      </c>
      <c r="B51" s="72">
        <v>22.59</v>
      </c>
      <c r="C51" s="72">
        <v>2.7</v>
      </c>
      <c r="D51" s="72">
        <v>0.39</v>
      </c>
    </row>
    <row r="52" spans="1:4" x14ac:dyDescent="0.25">
      <c r="A52" s="71">
        <v>41</v>
      </c>
      <c r="B52" s="72">
        <v>22.27</v>
      </c>
      <c r="C52" s="72">
        <v>2.65</v>
      </c>
      <c r="D52" s="72">
        <v>0.39</v>
      </c>
    </row>
    <row r="53" spans="1:4" x14ac:dyDescent="0.25">
      <c r="A53" s="71">
        <v>42</v>
      </c>
      <c r="B53" s="72">
        <v>21.96</v>
      </c>
      <c r="C53" s="72">
        <v>2.6</v>
      </c>
      <c r="D53" s="72">
        <v>0.38</v>
      </c>
    </row>
    <row r="54" spans="1:4" x14ac:dyDescent="0.25">
      <c r="A54" s="71">
        <v>43</v>
      </c>
      <c r="B54" s="72">
        <v>21.66</v>
      </c>
      <c r="C54" s="72">
        <v>2.5499999999999998</v>
      </c>
      <c r="D54" s="72">
        <v>0.38</v>
      </c>
    </row>
    <row r="55" spans="1:4" x14ac:dyDescent="0.25">
      <c r="A55" s="71">
        <v>44</v>
      </c>
      <c r="B55" s="72">
        <v>21.36</v>
      </c>
      <c r="C55" s="72">
        <v>2.5</v>
      </c>
      <c r="D55" s="72">
        <v>0.37</v>
      </c>
    </row>
    <row r="56" spans="1:4" x14ac:dyDescent="0.25">
      <c r="A56" s="71">
        <v>45</v>
      </c>
      <c r="B56" s="72">
        <v>21.1</v>
      </c>
      <c r="C56" s="72">
        <v>2.46</v>
      </c>
      <c r="D56" s="72">
        <v>0.37</v>
      </c>
    </row>
    <row r="57" spans="1:4" x14ac:dyDescent="0.25">
      <c r="A57" s="71">
        <v>46</v>
      </c>
      <c r="B57" s="72">
        <v>20.88</v>
      </c>
      <c r="C57" s="72">
        <v>2.42</v>
      </c>
      <c r="D57" s="72">
        <v>0.36</v>
      </c>
    </row>
    <row r="58" spans="1:4" x14ac:dyDescent="0.25">
      <c r="A58" s="71">
        <v>47</v>
      </c>
      <c r="B58" s="72">
        <v>20.65</v>
      </c>
      <c r="C58" s="72">
        <v>2.38</v>
      </c>
      <c r="D58" s="72">
        <v>0.36</v>
      </c>
    </row>
    <row r="59" spans="1:4" x14ac:dyDescent="0.25">
      <c r="A59" s="71">
        <v>48</v>
      </c>
      <c r="B59" s="72">
        <v>20.440000000000001</v>
      </c>
      <c r="C59" s="72">
        <v>2.34</v>
      </c>
      <c r="D59" s="72">
        <v>0.36</v>
      </c>
    </row>
    <row r="60" spans="1:4" x14ac:dyDescent="0.25">
      <c r="A60" s="71">
        <v>49</v>
      </c>
      <c r="B60" s="72">
        <v>20.22</v>
      </c>
      <c r="C60" s="72">
        <v>2.2999999999999998</v>
      </c>
      <c r="D60" s="72">
        <v>0.35</v>
      </c>
    </row>
    <row r="61" spans="1:4" x14ac:dyDescent="0.25">
      <c r="A61" s="71">
        <v>50</v>
      </c>
      <c r="B61" s="72">
        <v>20.04</v>
      </c>
      <c r="C61" s="72">
        <v>2.27</v>
      </c>
      <c r="D61" s="72">
        <v>0.35</v>
      </c>
    </row>
    <row r="62" spans="1:4" x14ac:dyDescent="0.25">
      <c r="A62" s="71">
        <v>51</v>
      </c>
      <c r="B62" s="72">
        <v>19.89</v>
      </c>
      <c r="C62" s="72">
        <v>2.2400000000000002</v>
      </c>
      <c r="D62" s="72">
        <v>0.35</v>
      </c>
    </row>
    <row r="63" spans="1:4" x14ac:dyDescent="0.25">
      <c r="A63" s="71">
        <v>52</v>
      </c>
      <c r="B63" s="72">
        <v>19.739999999999998</v>
      </c>
      <c r="C63" s="72">
        <v>2.21</v>
      </c>
      <c r="D63" s="72">
        <v>0.34</v>
      </c>
    </row>
    <row r="64" spans="1:4" x14ac:dyDescent="0.25">
      <c r="A64" s="71">
        <v>53</v>
      </c>
      <c r="B64" s="72">
        <v>19.59</v>
      </c>
      <c r="C64" s="72">
        <v>2.1800000000000002</v>
      </c>
      <c r="D64" s="72">
        <v>0.34</v>
      </c>
    </row>
    <row r="65" spans="1:4" x14ac:dyDescent="0.25">
      <c r="A65" s="71">
        <v>54</v>
      </c>
      <c r="B65" s="72">
        <v>19.45</v>
      </c>
      <c r="C65" s="72">
        <v>2.14</v>
      </c>
      <c r="D65" s="72">
        <v>0.34</v>
      </c>
    </row>
    <row r="66" spans="1:4" x14ac:dyDescent="0.25">
      <c r="A66" s="71">
        <v>55</v>
      </c>
      <c r="B66" s="72">
        <v>19.32</v>
      </c>
      <c r="C66" s="72">
        <v>2.11</v>
      </c>
      <c r="D66" s="72">
        <v>0.34</v>
      </c>
    </row>
    <row r="67" spans="1:4" x14ac:dyDescent="0.25">
      <c r="A67" s="71">
        <v>56</v>
      </c>
      <c r="B67" s="72">
        <v>19.21</v>
      </c>
      <c r="C67" s="72">
        <v>2.08</v>
      </c>
      <c r="D67" s="72">
        <v>0.33</v>
      </c>
    </row>
    <row r="68" spans="1:4" x14ac:dyDescent="0.25">
      <c r="A68" s="71">
        <v>57</v>
      </c>
      <c r="B68" s="72">
        <v>19.100000000000001</v>
      </c>
      <c r="C68" s="72">
        <v>2.04</v>
      </c>
      <c r="D68" s="72">
        <v>0.33</v>
      </c>
    </row>
    <row r="69" spans="1:4" x14ac:dyDescent="0.25">
      <c r="A69" s="71">
        <v>58</v>
      </c>
      <c r="B69" s="72">
        <v>18.989999999999998</v>
      </c>
      <c r="C69" s="72">
        <v>2</v>
      </c>
      <c r="D69" s="72">
        <v>0.33</v>
      </c>
    </row>
    <row r="70" spans="1:4" x14ac:dyDescent="0.25">
      <c r="A70" s="71">
        <v>59</v>
      </c>
      <c r="B70" s="72">
        <v>18.89</v>
      </c>
      <c r="C70" s="72">
        <v>1.97</v>
      </c>
      <c r="D70" s="72">
        <v>0.33</v>
      </c>
    </row>
  </sheetData>
  <sheetProtection algorithmName="SHA-512" hashValue="dPIpaRf5yf2Wteac8YeF4iJdY3xqTJK29oq+/v4GCMNZNQfb7RZ4hlpsDd65ASqiXjFw+iacNJY4+YJeVUr+7g==" saltValue="ZIw4FHXyK8ohM5oMoIqqUw==" spinCount="100000" sheet="1" objects="1" scenarios="1"/>
  <conditionalFormatting sqref="A6:A21">
    <cfRule type="expression" dxfId="1059" priority="5" stopIfTrue="1">
      <formula>MOD(ROW(),2)=0</formula>
    </cfRule>
    <cfRule type="expression" dxfId="1058" priority="6" stopIfTrue="1">
      <formula>MOD(ROW(),2)&lt;&gt;0</formula>
    </cfRule>
  </conditionalFormatting>
  <conditionalFormatting sqref="A26:A70">
    <cfRule type="expression" dxfId="1057" priority="7" stopIfTrue="1">
      <formula>MOD(ROW(),2)=0</formula>
    </cfRule>
    <cfRule type="expression" dxfId="1056" priority="8" stopIfTrue="1">
      <formula>MOD(ROW(),2)&lt;&gt;0</formula>
    </cfRule>
  </conditionalFormatting>
  <conditionalFormatting sqref="B17:B21">
    <cfRule type="expression" dxfId="1055" priority="1" stopIfTrue="1">
      <formula>MOD(ROW(),2)=0</formula>
    </cfRule>
    <cfRule type="expression" dxfId="1054" priority="2" stopIfTrue="1">
      <formula>MOD(ROW(),2)&lt;&gt;0</formula>
    </cfRule>
  </conditionalFormatting>
  <conditionalFormatting sqref="B6:D21">
    <cfRule type="expression" dxfId="1053" priority="13" stopIfTrue="1">
      <formula>MOD(ROW(),2)=0</formula>
    </cfRule>
    <cfRule type="expression" dxfId="1052" priority="14" stopIfTrue="1">
      <formula>MOD(ROW(),2)&lt;&gt;0</formula>
    </cfRule>
  </conditionalFormatting>
  <conditionalFormatting sqref="B26:D70">
    <cfRule type="expression" dxfId="1051" priority="9" stopIfTrue="1">
      <formula>MOD(ROW(),2)=0</formula>
    </cfRule>
    <cfRule type="expression" dxfId="1050" priority="10" stopIfTrue="1">
      <formula>MOD(ROW(),2)&lt;&gt;0</formula>
    </cfRule>
  </conditionalFormatting>
  <hyperlinks>
    <hyperlink ref="B24" location="Assumptions!A1" display="Assumptions" xr:uid="{B22A7208-B3F7-4243-BC19-AEADF1DA4D8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D8D7-B801-4D1C-B6A4-499C08455E8F}">
  <sheetPr codeName="Sheet120"/>
  <dimension ref="A1:I65"/>
  <sheetViews>
    <sheetView showGridLines="0" zoomScale="85" zoomScaleNormal="85" workbookViewId="0">
      <selection activeCell="A4" sqref="A4"/>
    </sheetView>
  </sheetViews>
  <sheetFormatPr defaultColWidth="10" defaultRowHeight="12.5" x14ac:dyDescent="0.25"/>
  <cols>
    <col min="1" max="1" width="31.54296875" style="26" customWidth="1"/>
    <col min="2" max="4" width="22.54296875"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TV in (non club) - x-216</v>
      </c>
      <c r="B3" s="40"/>
      <c r="C3" s="40"/>
      <c r="D3" s="40"/>
      <c r="E3" s="40"/>
      <c r="F3" s="40"/>
      <c r="G3" s="40"/>
      <c r="H3" s="40"/>
      <c r="I3" s="40"/>
    </row>
    <row r="4" spans="1:9" x14ac:dyDescent="0.25">
      <c r="A4" s="42"/>
    </row>
    <row r="6" spans="1:9" ht="13" x14ac:dyDescent="0.3">
      <c r="A6" s="73" t="s">
        <v>274</v>
      </c>
      <c r="B6" s="114" t="s">
        <v>275</v>
      </c>
      <c r="C6" s="114"/>
      <c r="D6" s="114"/>
    </row>
    <row r="7" spans="1:9" x14ac:dyDescent="0.25">
      <c r="A7" s="74" t="s">
        <v>276</v>
      </c>
      <c r="B7" s="114" t="s">
        <v>72</v>
      </c>
      <c r="C7" s="114"/>
      <c r="D7" s="114"/>
    </row>
    <row r="8" spans="1:9" x14ac:dyDescent="0.25">
      <c r="A8" s="74" t="s">
        <v>278</v>
      </c>
      <c r="B8" s="114" t="s">
        <v>74</v>
      </c>
      <c r="C8" s="114"/>
      <c r="D8" s="114"/>
    </row>
    <row r="9" spans="1:9" x14ac:dyDescent="0.25">
      <c r="A9" s="74" t="s">
        <v>280</v>
      </c>
      <c r="B9" s="114" t="s">
        <v>359</v>
      </c>
      <c r="C9" s="114"/>
      <c r="D9" s="114"/>
    </row>
    <row r="10" spans="1:9" x14ac:dyDescent="0.25">
      <c r="A10" s="74" t="s">
        <v>6</v>
      </c>
      <c r="B10" s="114" t="s">
        <v>367</v>
      </c>
      <c r="C10" s="114"/>
      <c r="D10" s="114"/>
    </row>
    <row r="11" spans="1:9" x14ac:dyDescent="0.25">
      <c r="A11" s="74" t="s">
        <v>283</v>
      </c>
      <c r="B11" s="114" t="s">
        <v>331</v>
      </c>
      <c r="C11" s="114"/>
      <c r="D11" s="114"/>
    </row>
    <row r="12" spans="1:9" x14ac:dyDescent="0.25">
      <c r="A12" s="74" t="s">
        <v>285</v>
      </c>
      <c r="B12" s="114" t="s">
        <v>361</v>
      </c>
      <c r="C12" s="114"/>
      <c r="D12" s="114"/>
    </row>
    <row r="13" spans="1:9" x14ac:dyDescent="0.25">
      <c r="A13" s="74" t="s">
        <v>287</v>
      </c>
      <c r="B13" s="114">
        <v>2</v>
      </c>
      <c r="C13" s="114"/>
      <c r="D13" s="114"/>
    </row>
    <row r="14" spans="1:9" x14ac:dyDescent="0.25">
      <c r="A14" s="74" t="s">
        <v>289</v>
      </c>
      <c r="B14" s="114">
        <v>216</v>
      </c>
      <c r="C14" s="114"/>
      <c r="D14" s="114"/>
    </row>
    <row r="15" spans="1:9" x14ac:dyDescent="0.25">
      <c r="A15" s="74" t="s">
        <v>291</v>
      </c>
      <c r="B15" s="114" t="s">
        <v>368</v>
      </c>
      <c r="C15" s="114"/>
      <c r="D15" s="114"/>
    </row>
    <row r="16" spans="1:9" x14ac:dyDescent="0.25">
      <c r="A16" s="74" t="s">
        <v>293</v>
      </c>
      <c r="B16" s="114" t="s">
        <v>369</v>
      </c>
      <c r="C16" s="114"/>
      <c r="D16" s="114"/>
    </row>
    <row r="17" spans="1:4" x14ac:dyDescent="0.25">
      <c r="A17" s="74" t="s">
        <v>760</v>
      </c>
      <c r="B17" s="114"/>
      <c r="C17" s="114"/>
      <c r="D17" s="114"/>
    </row>
    <row r="18" spans="1:4" x14ac:dyDescent="0.25">
      <c r="A18" s="74" t="s">
        <v>297</v>
      </c>
      <c r="B18" s="162">
        <v>45138</v>
      </c>
      <c r="C18" s="114"/>
      <c r="D18" s="114"/>
    </row>
    <row r="19" spans="1:4" x14ac:dyDescent="0.25">
      <c r="A19" s="74" t="s">
        <v>299</v>
      </c>
      <c r="B19" s="162">
        <v>45014</v>
      </c>
      <c r="C19" s="114"/>
      <c r="D19" s="114"/>
    </row>
    <row r="20" spans="1:4" x14ac:dyDescent="0.25">
      <c r="A20" s="74" t="s">
        <v>301</v>
      </c>
      <c r="B20" s="114" t="s">
        <v>314</v>
      </c>
      <c r="C20" s="114"/>
      <c r="D20" s="114"/>
    </row>
    <row r="21" spans="1:4" x14ac:dyDescent="0.25">
      <c r="A21" s="74" t="s">
        <v>307</v>
      </c>
      <c r="B21" s="114" t="s">
        <v>315</v>
      </c>
      <c r="C21" s="114"/>
      <c r="D21" s="114"/>
    </row>
    <row r="23" spans="1:4" x14ac:dyDescent="0.25">
      <c r="B23" s="100" t="str">
        <f>HYPERLINK("#'Factor List'!A1","Back to Factor List")</f>
        <v>Back to Factor List</v>
      </c>
    </row>
    <row r="24" spans="1:4" x14ac:dyDescent="0.25">
      <c r="B24" s="100" t="s">
        <v>13</v>
      </c>
    </row>
    <row r="26" spans="1:4" ht="26" x14ac:dyDescent="0.25">
      <c r="A26" s="70" t="s">
        <v>417</v>
      </c>
      <c r="B26" s="70" t="s">
        <v>779</v>
      </c>
      <c r="C26" s="70" t="s">
        <v>780</v>
      </c>
      <c r="D26" s="70" t="s">
        <v>781</v>
      </c>
    </row>
    <row r="27" spans="1:4" x14ac:dyDescent="0.25">
      <c r="A27" s="71">
        <v>60</v>
      </c>
      <c r="B27" s="72">
        <v>18.84</v>
      </c>
      <c r="C27" s="72">
        <v>1.93</v>
      </c>
      <c r="D27" s="72">
        <v>0.33</v>
      </c>
    </row>
    <row r="28" spans="1:4" x14ac:dyDescent="0.25">
      <c r="A28" s="71">
        <v>61</v>
      </c>
      <c r="B28" s="72">
        <v>18.82</v>
      </c>
      <c r="C28" s="72">
        <v>1.9</v>
      </c>
      <c r="D28" s="72">
        <v>0.33</v>
      </c>
    </row>
    <row r="29" spans="1:4" x14ac:dyDescent="0.25">
      <c r="A29" s="71">
        <v>62</v>
      </c>
      <c r="B29" s="72">
        <v>18.82</v>
      </c>
      <c r="C29" s="72">
        <v>1.86</v>
      </c>
      <c r="D29" s="72">
        <v>0.33</v>
      </c>
    </row>
    <row r="30" spans="1:4" x14ac:dyDescent="0.25">
      <c r="A30" s="71">
        <v>63</v>
      </c>
      <c r="B30" s="72">
        <v>18.82</v>
      </c>
      <c r="C30" s="72">
        <v>1.83</v>
      </c>
      <c r="D30" s="72">
        <v>0.33</v>
      </c>
    </row>
    <row r="31" spans="1:4" x14ac:dyDescent="0.25">
      <c r="A31" s="71">
        <v>64</v>
      </c>
      <c r="B31" s="72">
        <v>18.829999999999998</v>
      </c>
      <c r="C31" s="72">
        <v>1.79</v>
      </c>
      <c r="D31" s="72">
        <v>0.32</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Uz6kDIJhUUMWn4/KZqrA6Uv1vi5TM7N5N1GItKEAesr+rkUgWDbxJyVknnBig9p82rMexlNJ+PHxLZI0G1bPmw==" saltValue="jwb32L4CW1zz5WwmBCcwuA==" spinCount="100000" sheet="1" objects="1" scenarios="1"/>
  <conditionalFormatting sqref="A6:A21">
    <cfRule type="expression" dxfId="1049" priority="3" stopIfTrue="1">
      <formula>MOD(ROW(),2)=0</formula>
    </cfRule>
    <cfRule type="expression" dxfId="1048" priority="4" stopIfTrue="1">
      <formula>MOD(ROW(),2)&lt;&gt;0</formula>
    </cfRule>
  </conditionalFormatting>
  <conditionalFormatting sqref="A26:A31">
    <cfRule type="expression" dxfId="1047" priority="5" stopIfTrue="1">
      <formula>MOD(ROW(),2)=0</formula>
    </cfRule>
    <cfRule type="expression" dxfId="1046" priority="6" stopIfTrue="1">
      <formula>MOD(ROW(),2)&lt;&gt;0</formula>
    </cfRule>
  </conditionalFormatting>
  <conditionalFormatting sqref="B17">
    <cfRule type="expression" dxfId="1045" priority="1" stopIfTrue="1">
      <formula>MOD(ROW(),2)=0</formula>
    </cfRule>
    <cfRule type="expression" dxfId="1044" priority="2" stopIfTrue="1">
      <formula>MOD(ROW(),2)&lt;&gt;0</formula>
    </cfRule>
  </conditionalFormatting>
  <conditionalFormatting sqref="B6:D21">
    <cfRule type="expression" dxfId="1043" priority="11" stopIfTrue="1">
      <formula>MOD(ROW(),2)=0</formula>
    </cfRule>
    <cfRule type="expression" dxfId="1042" priority="12" stopIfTrue="1">
      <formula>MOD(ROW(),2)&lt;&gt;0</formula>
    </cfRule>
  </conditionalFormatting>
  <conditionalFormatting sqref="B26:D31">
    <cfRule type="expression" dxfId="1041" priority="7" stopIfTrue="1">
      <formula>MOD(ROW(),2)=0</formula>
    </cfRule>
    <cfRule type="expression" dxfId="1040" priority="8" stopIfTrue="1">
      <formula>MOD(ROW(),2)&lt;&gt;0</formula>
    </cfRule>
  </conditionalFormatting>
  <hyperlinks>
    <hyperlink ref="B24" location="Assumptions!A1" display="Assumptions" xr:uid="{6D9B6C53-6CD1-42A4-9C47-9DDB733F549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5"/>
  <dimension ref="A1:I78"/>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TV in (non club) - x-217</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73</v>
      </c>
    </row>
    <row r="9" spans="1:9" x14ac:dyDescent="0.25">
      <c r="A9" s="77" t="s">
        <v>280</v>
      </c>
      <c r="B9" s="161" t="s">
        <v>359</v>
      </c>
    </row>
    <row r="10" spans="1:9" x14ac:dyDescent="0.25">
      <c r="A10" s="77" t="s">
        <v>6</v>
      </c>
      <c r="B10" s="161" t="s">
        <v>370</v>
      </c>
    </row>
    <row r="11" spans="1:9" x14ac:dyDescent="0.25">
      <c r="A11" s="77" t="s">
        <v>283</v>
      </c>
      <c r="B11" s="161" t="s">
        <v>355</v>
      </c>
    </row>
    <row r="12" spans="1:9" x14ac:dyDescent="0.25">
      <c r="A12" s="77" t="s">
        <v>285</v>
      </c>
      <c r="B12" s="161" t="s">
        <v>371</v>
      </c>
    </row>
    <row r="13" spans="1:9" x14ac:dyDescent="0.25">
      <c r="A13" s="77" t="s">
        <v>287</v>
      </c>
      <c r="B13" s="161">
        <v>0</v>
      </c>
    </row>
    <row r="14" spans="1:9" x14ac:dyDescent="0.25">
      <c r="A14" s="77" t="s">
        <v>289</v>
      </c>
      <c r="B14" s="161">
        <v>217</v>
      </c>
    </row>
    <row r="15" spans="1:9" x14ac:dyDescent="0.25">
      <c r="A15" s="77" t="s">
        <v>291</v>
      </c>
      <c r="B15" s="161" t="s">
        <v>372</v>
      </c>
    </row>
    <row r="16" spans="1:9" x14ac:dyDescent="0.25">
      <c r="A16" s="77" t="s">
        <v>293</v>
      </c>
      <c r="B16" s="161" t="s">
        <v>373</v>
      </c>
    </row>
    <row r="17" spans="1:2" x14ac:dyDescent="0.25">
      <c r="A17" s="74" t="s">
        <v>760</v>
      </c>
      <c r="B17" s="161"/>
    </row>
    <row r="18" spans="1:2" x14ac:dyDescent="0.25">
      <c r="A18" s="77" t="s">
        <v>297</v>
      </c>
      <c r="B18" s="163" t="s">
        <v>374</v>
      </c>
    </row>
    <row r="19" spans="1:2" x14ac:dyDescent="0.25">
      <c r="A19" s="77" t="s">
        <v>299</v>
      </c>
      <c r="B19" s="163">
        <v>45014</v>
      </c>
    </row>
    <row r="20" spans="1:2" x14ac:dyDescent="0.25">
      <c r="A20" s="77" t="s">
        <v>301</v>
      </c>
      <c r="B20" s="161" t="s">
        <v>314</v>
      </c>
    </row>
    <row r="21" spans="1:2" x14ac:dyDescent="0.25">
      <c r="A21" s="77" t="s">
        <v>307</v>
      </c>
      <c r="B21" s="161" t="s">
        <v>315</v>
      </c>
    </row>
    <row r="23" spans="1:2" x14ac:dyDescent="0.25">
      <c r="B23" s="100" t="str">
        <f>HYPERLINK("#'Factor List'!A1","Back to Factor List")</f>
        <v>Back to Factor List</v>
      </c>
    </row>
    <row r="24" spans="1:2" x14ac:dyDescent="0.25">
      <c r="B24" s="100" t="s">
        <v>13</v>
      </c>
    </row>
    <row r="26" spans="1:2" ht="13" x14ac:dyDescent="0.25">
      <c r="A26" s="97" t="s">
        <v>417</v>
      </c>
      <c r="B26" s="97" t="s">
        <v>782</v>
      </c>
    </row>
    <row r="27" spans="1:2" x14ac:dyDescent="0.25">
      <c r="A27" s="98">
        <v>17</v>
      </c>
      <c r="B27" s="99">
        <v>17.440000000000001</v>
      </c>
    </row>
    <row r="28" spans="1:2" x14ac:dyDescent="0.25">
      <c r="A28" s="98">
        <v>18</v>
      </c>
      <c r="B28" s="99">
        <v>17.47</v>
      </c>
    </row>
    <row r="29" spans="1:2" x14ac:dyDescent="0.25">
      <c r="A29" s="98">
        <v>19</v>
      </c>
      <c r="B29" s="99">
        <v>17.489999999999998</v>
      </c>
    </row>
    <row r="30" spans="1:2" x14ac:dyDescent="0.25">
      <c r="A30" s="98">
        <v>20</v>
      </c>
      <c r="B30" s="99">
        <v>17.48</v>
      </c>
    </row>
    <row r="31" spans="1:2" x14ac:dyDescent="0.25">
      <c r="A31" s="98">
        <v>21</v>
      </c>
      <c r="B31" s="99">
        <v>17.48</v>
      </c>
    </row>
    <row r="32" spans="1:2" x14ac:dyDescent="0.25">
      <c r="A32" s="98">
        <v>22</v>
      </c>
      <c r="B32" s="99">
        <v>17.48</v>
      </c>
    </row>
    <row r="33" spans="1:2" x14ac:dyDescent="0.25">
      <c r="A33" s="98">
        <v>23</v>
      </c>
      <c r="B33" s="99">
        <v>17.47</v>
      </c>
    </row>
    <row r="34" spans="1:2" x14ac:dyDescent="0.25">
      <c r="A34" s="98">
        <v>24</v>
      </c>
      <c r="B34" s="99">
        <v>17.47</v>
      </c>
    </row>
    <row r="35" spans="1:2" x14ac:dyDescent="0.25">
      <c r="A35" s="98">
        <v>25</v>
      </c>
      <c r="B35" s="99">
        <v>17.46</v>
      </c>
    </row>
    <row r="36" spans="1:2" x14ac:dyDescent="0.25">
      <c r="A36" s="98">
        <v>26</v>
      </c>
      <c r="B36" s="99">
        <v>17.46</v>
      </c>
    </row>
    <row r="37" spans="1:2" x14ac:dyDescent="0.25">
      <c r="A37" s="98">
        <v>27</v>
      </c>
      <c r="B37" s="99">
        <v>17.45</v>
      </c>
    </row>
    <row r="38" spans="1:2" x14ac:dyDescent="0.25">
      <c r="A38" s="98">
        <v>28</v>
      </c>
      <c r="B38" s="99">
        <v>17.45</v>
      </c>
    </row>
    <row r="39" spans="1:2" x14ac:dyDescent="0.25">
      <c r="A39" s="98">
        <v>29</v>
      </c>
      <c r="B39" s="99">
        <v>17.440000000000001</v>
      </c>
    </row>
    <row r="40" spans="1:2" x14ac:dyDescent="0.25">
      <c r="A40" s="98">
        <v>30</v>
      </c>
      <c r="B40" s="99">
        <v>17.43</v>
      </c>
    </row>
    <row r="41" spans="1:2" x14ac:dyDescent="0.25">
      <c r="A41" s="98">
        <v>31</v>
      </c>
      <c r="B41" s="99">
        <v>17.43</v>
      </c>
    </row>
    <row r="42" spans="1:2" x14ac:dyDescent="0.25">
      <c r="A42" s="98">
        <v>32</v>
      </c>
      <c r="B42" s="99">
        <v>17.420000000000002</v>
      </c>
    </row>
    <row r="43" spans="1:2" x14ac:dyDescent="0.25">
      <c r="A43" s="98">
        <v>33</v>
      </c>
      <c r="B43" s="99">
        <v>17.41</v>
      </c>
    </row>
    <row r="44" spans="1:2" x14ac:dyDescent="0.25">
      <c r="A44" s="98">
        <v>34</v>
      </c>
      <c r="B44" s="99">
        <v>17.399999999999999</v>
      </c>
    </row>
    <row r="45" spans="1:2" x14ac:dyDescent="0.25">
      <c r="A45" s="98">
        <v>35</v>
      </c>
      <c r="B45" s="99">
        <v>17.399999999999999</v>
      </c>
    </row>
    <row r="46" spans="1:2" x14ac:dyDescent="0.25">
      <c r="A46" s="98">
        <v>36</v>
      </c>
      <c r="B46" s="99">
        <v>17.39</v>
      </c>
    </row>
    <row r="47" spans="1:2" x14ac:dyDescent="0.25">
      <c r="A47" s="98">
        <v>37</v>
      </c>
      <c r="B47" s="99">
        <v>17.38</v>
      </c>
    </row>
    <row r="48" spans="1:2" x14ac:dyDescent="0.25">
      <c r="A48" s="98">
        <v>38</v>
      </c>
      <c r="B48" s="99">
        <v>17.37</v>
      </c>
    </row>
    <row r="49" spans="1:2" x14ac:dyDescent="0.25">
      <c r="A49" s="98">
        <v>39</v>
      </c>
      <c r="B49" s="99">
        <v>17.36</v>
      </c>
    </row>
    <row r="50" spans="1:2" x14ac:dyDescent="0.25">
      <c r="A50" s="98">
        <v>40</v>
      </c>
      <c r="B50" s="99">
        <v>17.350000000000001</v>
      </c>
    </row>
    <row r="51" spans="1:2" x14ac:dyDescent="0.25">
      <c r="A51" s="98">
        <v>41</v>
      </c>
      <c r="B51" s="99">
        <v>17.34</v>
      </c>
    </row>
    <row r="52" spans="1:2" x14ac:dyDescent="0.25">
      <c r="A52" s="98">
        <v>42</v>
      </c>
      <c r="B52" s="99">
        <v>17.329999999999998</v>
      </c>
    </row>
    <row r="53" spans="1:2" x14ac:dyDescent="0.25">
      <c r="A53" s="98">
        <v>43</v>
      </c>
      <c r="B53" s="99">
        <v>17.32</v>
      </c>
    </row>
    <row r="54" spans="1:2" x14ac:dyDescent="0.25">
      <c r="A54" s="98">
        <v>44</v>
      </c>
      <c r="B54" s="99">
        <v>17.309999999999999</v>
      </c>
    </row>
    <row r="55" spans="1:2" x14ac:dyDescent="0.25">
      <c r="A55" s="98">
        <v>45</v>
      </c>
      <c r="B55" s="99">
        <v>17.3</v>
      </c>
    </row>
    <row r="56" spans="1:2" x14ac:dyDescent="0.25">
      <c r="A56" s="98">
        <v>46</v>
      </c>
      <c r="B56" s="99">
        <v>17.440000000000001</v>
      </c>
    </row>
    <row r="57" spans="1:2" x14ac:dyDescent="0.25">
      <c r="A57" s="98">
        <v>47</v>
      </c>
      <c r="B57" s="99">
        <v>17.59</v>
      </c>
    </row>
    <row r="58" spans="1:2" x14ac:dyDescent="0.25">
      <c r="A58" s="98">
        <v>48</v>
      </c>
      <c r="B58" s="99">
        <v>17.73</v>
      </c>
    </row>
    <row r="59" spans="1:2" x14ac:dyDescent="0.25">
      <c r="A59" s="98">
        <v>49</v>
      </c>
      <c r="B59" s="99">
        <v>17.87</v>
      </c>
    </row>
    <row r="60" spans="1:2" x14ac:dyDescent="0.25">
      <c r="A60" s="98">
        <v>50</v>
      </c>
      <c r="B60" s="99">
        <v>17.87</v>
      </c>
    </row>
    <row r="61" spans="1:2" x14ac:dyDescent="0.25">
      <c r="A61" s="98">
        <v>51</v>
      </c>
      <c r="B61" s="99">
        <v>17.86</v>
      </c>
    </row>
    <row r="62" spans="1:2" x14ac:dyDescent="0.25">
      <c r="A62" s="98">
        <v>52</v>
      </c>
      <c r="B62" s="99">
        <v>17.850000000000001</v>
      </c>
    </row>
    <row r="63" spans="1:2" x14ac:dyDescent="0.25">
      <c r="A63" s="98">
        <v>53</v>
      </c>
      <c r="B63" s="99">
        <v>17.850000000000001</v>
      </c>
    </row>
    <row r="64" spans="1:2" x14ac:dyDescent="0.25">
      <c r="A64" s="98">
        <v>54</v>
      </c>
      <c r="B64" s="99">
        <v>17.84</v>
      </c>
    </row>
    <row r="65" spans="1:2" x14ac:dyDescent="0.25">
      <c r="A65" s="98">
        <v>55</v>
      </c>
      <c r="B65" s="99">
        <v>17.84</v>
      </c>
    </row>
    <row r="66" spans="1:2" x14ac:dyDescent="0.25">
      <c r="A66" s="98">
        <v>56</v>
      </c>
      <c r="B66" s="99">
        <v>17.829999999999998</v>
      </c>
    </row>
    <row r="67" spans="1:2" x14ac:dyDescent="0.25">
      <c r="A67" s="98">
        <v>57</v>
      </c>
      <c r="B67" s="99">
        <v>17.829999999999998</v>
      </c>
    </row>
    <row r="68" spans="1:2" x14ac:dyDescent="0.25">
      <c r="A68" s="98">
        <v>58</v>
      </c>
      <c r="B68" s="99">
        <v>17.829999999999998</v>
      </c>
    </row>
    <row r="69" spans="1:2" x14ac:dyDescent="0.25">
      <c r="A69" s="98">
        <v>59</v>
      </c>
      <c r="B69" s="99">
        <v>17.84</v>
      </c>
    </row>
    <row r="70" spans="1:2" x14ac:dyDescent="0.25">
      <c r="A70" s="98">
        <v>60</v>
      </c>
      <c r="B70" s="99">
        <v>17.850000000000001</v>
      </c>
    </row>
    <row r="71" spans="1:2" x14ac:dyDescent="0.25">
      <c r="A71" s="98">
        <v>61</v>
      </c>
      <c r="B71" s="99">
        <v>17.86</v>
      </c>
    </row>
    <row r="72" spans="1:2" x14ac:dyDescent="0.25">
      <c r="A72" s="98">
        <v>62</v>
      </c>
      <c r="B72" s="99">
        <v>17.88</v>
      </c>
    </row>
    <row r="73" spans="1:2" x14ac:dyDescent="0.25">
      <c r="A73" s="98">
        <v>63</v>
      </c>
      <c r="B73" s="99">
        <v>18.079999999999998</v>
      </c>
    </row>
    <row r="74" spans="1:2" x14ac:dyDescent="0.25">
      <c r="A74" s="98">
        <v>64</v>
      </c>
      <c r="B74" s="99">
        <v>18.29</v>
      </c>
    </row>
    <row r="75" spans="1:2" x14ac:dyDescent="0.25">
      <c r="A75" s="98">
        <v>65</v>
      </c>
      <c r="B75" s="99">
        <v>18.52</v>
      </c>
    </row>
    <row r="76" spans="1:2" x14ac:dyDescent="0.25">
      <c r="A76" s="98">
        <v>66</v>
      </c>
      <c r="B76" s="99">
        <v>18.399999999999999</v>
      </c>
    </row>
    <row r="77" spans="1:2" x14ac:dyDescent="0.25">
      <c r="A77" s="98">
        <v>67</v>
      </c>
      <c r="B77" s="99">
        <v>17.75</v>
      </c>
    </row>
    <row r="78" spans="1:2" x14ac:dyDescent="0.25">
      <c r="A78" s="98">
        <v>68</v>
      </c>
      <c r="B78" s="99">
        <v>17.100000000000001</v>
      </c>
    </row>
  </sheetData>
  <sheetProtection algorithmName="SHA-512" hashValue="34VZJsuoDxBqGOo09ROEA0810C0YZKRVBBbFO3AeUVtOjqTypjQ7cLdIpGKoW12m5EC5hrK7qYhmLmY/xaDTLw==" saltValue="ZDR5CtC/mnE1bba1ky8xCQ==" spinCount="100000" sheet="1" objects="1" scenarios="1"/>
  <conditionalFormatting sqref="A6:A21">
    <cfRule type="expression" dxfId="1039" priority="9" stopIfTrue="1">
      <formula>MOD(ROW(),2)=0</formula>
    </cfRule>
    <cfRule type="expression" dxfId="1038" priority="10" stopIfTrue="1">
      <formula>MOD(ROW(),2)&lt;&gt;0</formula>
    </cfRule>
  </conditionalFormatting>
  <conditionalFormatting sqref="A26:A78">
    <cfRule type="expression" dxfId="1037" priority="1" stopIfTrue="1">
      <formula>MOD(ROW(),2)=0</formula>
    </cfRule>
    <cfRule type="expression" dxfId="1036" priority="2" stopIfTrue="1">
      <formula>MOD(ROW(),2)&lt;&gt;0</formula>
    </cfRule>
  </conditionalFormatting>
  <conditionalFormatting sqref="B6:B21">
    <cfRule type="expression" dxfId="1035" priority="17" stopIfTrue="1">
      <formula>MOD(ROW(),2)=0</formula>
    </cfRule>
    <cfRule type="expression" dxfId="1034" priority="18" stopIfTrue="1">
      <formula>MOD(ROW(),2)&lt;&gt;0</formula>
    </cfRule>
  </conditionalFormatting>
  <conditionalFormatting sqref="B17:B21">
    <cfRule type="expression" dxfId="1033" priority="5" stopIfTrue="1">
      <formula>MOD(ROW(),2)=0</formula>
    </cfRule>
    <cfRule type="expression" dxfId="1032" priority="6" stopIfTrue="1">
      <formula>MOD(ROW(),2)&lt;&gt;0</formula>
    </cfRule>
  </conditionalFormatting>
  <conditionalFormatting sqref="B26:B78">
    <cfRule type="expression" dxfId="1031" priority="3" stopIfTrue="1">
      <formula>MOD(ROW(),2)=0</formula>
    </cfRule>
    <cfRule type="expression" dxfId="1030" priority="4" stopIfTrue="1">
      <formula>MOD(ROW(),2)&lt;&gt;0</formula>
    </cfRule>
  </conditionalFormatting>
  <hyperlinks>
    <hyperlink ref="B24" location="Assumptions!A1" display="Assumptions" xr:uid="{BCA90390-17D0-4B31-AEE2-A3C57F4A25E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36B2A-F01E-44CD-8455-FF418B7078CD}">
  <sheetPr codeName="Sheet123">
    <pageSetUpPr fitToPage="1"/>
  </sheetPr>
  <dimension ref="A1:I30"/>
  <sheetViews>
    <sheetView showGridLines="0" zoomScale="85" zoomScaleNormal="85" workbookViewId="0">
      <selection activeCell="A4" sqref="A4"/>
    </sheetView>
  </sheetViews>
  <sheetFormatPr defaultColWidth="10" defaultRowHeight="12.5" x14ac:dyDescent="0.25"/>
  <cols>
    <col min="1" max="1" width="31.6328125" style="26" customWidth="1"/>
    <col min="2" max="2" width="36.632812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IF(titl="&gt; Enter workbook title here","Enter workbook title in Cover sheet",titl)</f>
        <v>NHSPS_S - Consolidated Factor Spreadsheet</v>
      </c>
      <c r="B2" s="40"/>
      <c r="C2" s="40"/>
      <c r="D2" s="40"/>
      <c r="E2" s="40"/>
      <c r="F2" s="40"/>
      <c r="G2" s="40"/>
      <c r="H2" s="40"/>
      <c r="I2" s="40"/>
    </row>
    <row r="3" spans="1:9" ht="15.5" x14ac:dyDescent="0.35">
      <c r="A3" s="41" t="str">
        <f>TABLE_FACTOR_TYPE_1&amp;" - x-"&amp;TABLE_SERIES_NUMBER_1</f>
        <v>TV In (non-club) - x-218</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375</v>
      </c>
    </row>
    <row r="9" spans="1:9" x14ac:dyDescent="0.25">
      <c r="A9" s="77" t="s">
        <v>280</v>
      </c>
      <c r="B9" s="161" t="s">
        <v>376</v>
      </c>
    </row>
    <row r="10" spans="1:9" x14ac:dyDescent="0.25">
      <c r="A10" s="77" t="s">
        <v>6</v>
      </c>
      <c r="B10" s="161" t="s">
        <v>377</v>
      </c>
    </row>
    <row r="11" spans="1:9" x14ac:dyDescent="0.25">
      <c r="A11" s="77" t="s">
        <v>283</v>
      </c>
      <c r="B11" s="161" t="s">
        <v>355</v>
      </c>
    </row>
    <row r="12" spans="1:9" x14ac:dyDescent="0.25">
      <c r="A12" s="77" t="s">
        <v>285</v>
      </c>
      <c r="B12" s="161" t="s">
        <v>361</v>
      </c>
    </row>
    <row r="13" spans="1:9" x14ac:dyDescent="0.25">
      <c r="A13" s="77" t="s">
        <v>287</v>
      </c>
      <c r="B13" s="161">
        <v>0</v>
      </c>
    </row>
    <row r="14" spans="1:9" x14ac:dyDescent="0.25">
      <c r="A14" s="77" t="s">
        <v>289</v>
      </c>
      <c r="B14" s="161">
        <v>218</v>
      </c>
    </row>
    <row r="15" spans="1:9" x14ac:dyDescent="0.25">
      <c r="A15" s="77" t="s">
        <v>291</v>
      </c>
      <c r="B15" s="161" t="s">
        <v>378</v>
      </c>
    </row>
    <row r="16" spans="1:9" x14ac:dyDescent="0.25">
      <c r="A16" s="77" t="s">
        <v>293</v>
      </c>
      <c r="B16" s="161" t="s">
        <v>379</v>
      </c>
    </row>
    <row r="17" spans="1:2" x14ac:dyDescent="0.25">
      <c r="A17" s="77" t="s">
        <v>760</v>
      </c>
      <c r="B17" s="161"/>
    </row>
    <row r="18" spans="1:2" x14ac:dyDescent="0.25">
      <c r="A18" s="77" t="s">
        <v>297</v>
      </c>
      <c r="B18" s="163">
        <v>45107</v>
      </c>
    </row>
    <row r="19" spans="1:2" x14ac:dyDescent="0.25">
      <c r="A19" s="77" t="s">
        <v>299</v>
      </c>
      <c r="B19" s="163">
        <v>45015</v>
      </c>
    </row>
    <row r="20" spans="1:2" x14ac:dyDescent="0.25">
      <c r="A20" s="77" t="s">
        <v>301</v>
      </c>
      <c r="B20" s="161" t="s">
        <v>314</v>
      </c>
    </row>
    <row r="21" spans="1:2" x14ac:dyDescent="0.25">
      <c r="A21" s="77" t="s">
        <v>307</v>
      </c>
      <c r="B21" s="161" t="s">
        <v>315</v>
      </c>
    </row>
    <row r="22" spans="1:2" x14ac:dyDescent="0.25">
      <c r="B22" s="100"/>
    </row>
    <row r="23" spans="1:2" x14ac:dyDescent="0.25">
      <c r="B23" s="100" t="str">
        <f>HYPERLINK("#'Factor List'!A1","Back to Factor List")</f>
        <v>Back to Factor List</v>
      </c>
    </row>
    <row r="24" spans="1:2" x14ac:dyDescent="0.25">
      <c r="B24" s="100" t="s">
        <v>13</v>
      </c>
    </row>
    <row r="26" spans="1:2" ht="26" x14ac:dyDescent="0.25">
      <c r="A26" s="150" t="s">
        <v>783</v>
      </c>
      <c r="B26" s="150" t="s">
        <v>784</v>
      </c>
    </row>
    <row r="27" spans="1:2" x14ac:dyDescent="0.25">
      <c r="A27" s="151" t="s">
        <v>785</v>
      </c>
      <c r="B27" s="152">
        <v>18</v>
      </c>
    </row>
    <row r="28" spans="1:2" x14ac:dyDescent="0.25">
      <c r="A28" s="151" t="s">
        <v>786</v>
      </c>
      <c r="B28" s="152">
        <v>18</v>
      </c>
    </row>
    <row r="29" spans="1:2" x14ac:dyDescent="0.25">
      <c r="A29" s="151" t="s">
        <v>787</v>
      </c>
      <c r="B29" s="152">
        <v>18</v>
      </c>
    </row>
    <row r="30" spans="1:2" x14ac:dyDescent="0.25">
      <c r="A30" s="151" t="s">
        <v>788</v>
      </c>
      <c r="B30" s="152">
        <v>19</v>
      </c>
    </row>
  </sheetData>
  <sheetProtection algorithmName="SHA-512" hashValue="i/npdIHv1E0Ssf2c1zo7RtgAaPLqpg2ckrGDPdt9Ey6HvrmYoiMfmkHvGIa81C16K9p0ZNmEXfc21h4VWICOwg==" saltValue="OS4I+iG7BlsI6lzNlbRQRA==" spinCount="100000" sheet="1" objects="1" scenarios="1"/>
  <conditionalFormatting sqref="A6:A21">
    <cfRule type="expression" dxfId="1029" priority="5" stopIfTrue="1">
      <formula>MOD(ROW(),2)=0</formula>
    </cfRule>
    <cfRule type="expression" dxfId="1028" priority="6" stopIfTrue="1">
      <formula>MOD(ROW(),2)&lt;&gt;0</formula>
    </cfRule>
  </conditionalFormatting>
  <conditionalFormatting sqref="A26:A30">
    <cfRule type="expression" dxfId="1027" priority="1" stopIfTrue="1">
      <formula>MOD(ROW(),2)=0</formula>
    </cfRule>
    <cfRule type="expression" dxfId="1026" priority="2" stopIfTrue="1">
      <formula>MOD(ROW(),2)&lt;&gt;0</formula>
    </cfRule>
  </conditionalFormatting>
  <conditionalFormatting sqref="B6:B21">
    <cfRule type="expression" dxfId="1025" priority="13" stopIfTrue="1">
      <formula>MOD(ROW(),2)=0</formula>
    </cfRule>
    <cfRule type="expression" dxfId="1024" priority="14" stopIfTrue="1">
      <formula>MOD(ROW(),2)&lt;&gt;0</formula>
    </cfRule>
  </conditionalFormatting>
  <conditionalFormatting sqref="B17:B21">
    <cfRule type="expression" dxfId="1023" priority="7" stopIfTrue="1">
      <formula>MOD(ROW(),2)=0</formula>
    </cfRule>
    <cfRule type="expression" dxfId="1022" priority="8" stopIfTrue="1">
      <formula>MOD(ROW(),2)&lt;&gt;0</formula>
    </cfRule>
  </conditionalFormatting>
  <conditionalFormatting sqref="B26:B30">
    <cfRule type="expression" dxfId="1021" priority="3" stopIfTrue="1">
      <formula>MOD(ROW(),2)=0</formula>
    </cfRule>
    <cfRule type="expression" dxfId="1020" priority="4" stopIfTrue="1">
      <formula>MOD(ROW(),2)&lt;&gt;0</formula>
    </cfRule>
  </conditionalFormatting>
  <hyperlinks>
    <hyperlink ref="B24" location="Assumptions!A1" display="Assumptions" xr:uid="{E32C847F-C34E-475E-A291-1451E59DF760}"/>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B299-3057-495B-9309-62E61F21F613}">
  <sheetPr codeName="Sheet124">
    <pageSetUpPr fitToPage="1"/>
  </sheetPr>
  <dimension ref="A1:I30"/>
  <sheetViews>
    <sheetView showGridLines="0" zoomScale="85" zoomScaleNormal="85" workbookViewId="0">
      <selection activeCell="A4" sqref="A4"/>
    </sheetView>
  </sheetViews>
  <sheetFormatPr defaultColWidth="10" defaultRowHeight="12.5" x14ac:dyDescent="0.25"/>
  <cols>
    <col min="1" max="1" width="31.6328125" style="26" customWidth="1"/>
    <col min="2" max="2" width="36.632812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IF(tit="&gt; Enter workbook title here","Enter workbook title in Cover sheet",tit)</f>
        <v>NHSPS_S - Consolidated Factor Spreadsheet</v>
      </c>
      <c r="B2" s="40"/>
      <c r="C2" s="40"/>
      <c r="D2" s="40"/>
      <c r="E2" s="40"/>
      <c r="F2" s="40"/>
      <c r="G2" s="40"/>
      <c r="H2" s="40"/>
      <c r="I2" s="40"/>
    </row>
    <row r="3" spans="1:9" ht="15.5" x14ac:dyDescent="0.35">
      <c r="A3" s="41" t="str">
        <f>TABLE_FACTOR_TYPE_1&amp;" - x-"&amp;TABLE_SERIES_NUMBER_1</f>
        <v>TV In (non-club) - x-219</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380</v>
      </c>
    </row>
    <row r="9" spans="1:9" x14ac:dyDescent="0.25">
      <c r="A9" s="77" t="s">
        <v>280</v>
      </c>
      <c r="B9" s="161" t="s">
        <v>376</v>
      </c>
    </row>
    <row r="10" spans="1:9" x14ac:dyDescent="0.25">
      <c r="A10" s="77" t="s">
        <v>6</v>
      </c>
      <c r="B10" s="161" t="s">
        <v>381</v>
      </c>
    </row>
    <row r="11" spans="1:9" x14ac:dyDescent="0.25">
      <c r="A11" s="77" t="s">
        <v>283</v>
      </c>
      <c r="B11" s="161" t="s">
        <v>355</v>
      </c>
    </row>
    <row r="12" spans="1:9" x14ac:dyDescent="0.25">
      <c r="A12" s="77" t="s">
        <v>285</v>
      </c>
      <c r="B12" s="161" t="s">
        <v>361</v>
      </c>
    </row>
    <row r="13" spans="1:9" x14ac:dyDescent="0.25">
      <c r="A13" s="77" t="s">
        <v>287</v>
      </c>
      <c r="B13" s="161">
        <v>0</v>
      </c>
    </row>
    <row r="14" spans="1:9" x14ac:dyDescent="0.25">
      <c r="A14" s="77" t="s">
        <v>289</v>
      </c>
      <c r="B14" s="161">
        <v>219</v>
      </c>
    </row>
    <row r="15" spans="1:9" x14ac:dyDescent="0.25">
      <c r="A15" s="77" t="s">
        <v>291</v>
      </c>
      <c r="B15" s="161">
        <v>219</v>
      </c>
    </row>
    <row r="16" spans="1:9" x14ac:dyDescent="0.25">
      <c r="A16" s="77" t="s">
        <v>293</v>
      </c>
      <c r="B16" s="161" t="s">
        <v>382</v>
      </c>
    </row>
    <row r="17" spans="1:2" x14ac:dyDescent="0.25">
      <c r="A17" s="77" t="s">
        <v>760</v>
      </c>
      <c r="B17" s="161"/>
    </row>
    <row r="18" spans="1:2" x14ac:dyDescent="0.25">
      <c r="A18" s="77" t="s">
        <v>297</v>
      </c>
      <c r="B18" s="163">
        <v>45107</v>
      </c>
    </row>
    <row r="19" spans="1:2" x14ac:dyDescent="0.25">
      <c r="A19" s="77" t="s">
        <v>299</v>
      </c>
      <c r="B19" s="163">
        <v>45015</v>
      </c>
    </row>
    <row r="20" spans="1:2" x14ac:dyDescent="0.25">
      <c r="A20" s="77" t="s">
        <v>301</v>
      </c>
      <c r="B20" s="161" t="s">
        <v>314</v>
      </c>
    </row>
    <row r="21" spans="1:2" x14ac:dyDescent="0.25">
      <c r="A21" s="77" t="s">
        <v>307</v>
      </c>
      <c r="B21" s="161" t="s">
        <v>315</v>
      </c>
    </row>
    <row r="22" spans="1:2" x14ac:dyDescent="0.25">
      <c r="B22" s="100"/>
    </row>
    <row r="23" spans="1:2" x14ac:dyDescent="0.25">
      <c r="B23" s="100" t="str">
        <f>HYPERLINK("#'Factor List'!A1","Back to Factor List")</f>
        <v>Back to Factor List</v>
      </c>
    </row>
    <row r="24" spans="1:2" x14ac:dyDescent="0.25">
      <c r="B24" s="100" t="s">
        <v>13</v>
      </c>
    </row>
    <row r="26" spans="1:2" ht="26" x14ac:dyDescent="0.25">
      <c r="A26" s="150" t="s">
        <v>783</v>
      </c>
      <c r="B26" s="150" t="s">
        <v>784</v>
      </c>
    </row>
    <row r="27" spans="1:2" x14ac:dyDescent="0.25">
      <c r="A27" s="151" t="s">
        <v>785</v>
      </c>
      <c r="B27" s="152">
        <v>8</v>
      </c>
    </row>
    <row r="28" spans="1:2" x14ac:dyDescent="0.25">
      <c r="A28" s="151" t="s">
        <v>786</v>
      </c>
      <c r="B28" s="152">
        <v>9</v>
      </c>
    </row>
    <row r="29" spans="1:2" x14ac:dyDescent="0.25">
      <c r="A29" s="151" t="s">
        <v>787</v>
      </c>
      <c r="B29" s="152">
        <v>10</v>
      </c>
    </row>
    <row r="30" spans="1:2" x14ac:dyDescent="0.25">
      <c r="A30" s="151" t="s">
        <v>788</v>
      </c>
      <c r="B30" s="152">
        <v>12</v>
      </c>
    </row>
  </sheetData>
  <sheetProtection algorithmName="SHA-512" hashValue="j1W1eEFrACAiQIqpCv5TsmYHJhdZB/RntAIAoSfop7vru41z+B6VYpDDJw/nNzhJSuz6QEEi8PxWbd25RBjhQQ==" saltValue="HxXky4mjXAnZrgYYkBp4zQ==" spinCount="100000" sheet="1" objects="1" scenarios="1"/>
  <conditionalFormatting sqref="A6:A21">
    <cfRule type="expression" dxfId="1019" priority="5" stopIfTrue="1">
      <formula>MOD(ROW(),2)=0</formula>
    </cfRule>
    <cfRule type="expression" dxfId="1018" priority="6" stopIfTrue="1">
      <formula>MOD(ROW(),2)&lt;&gt;0</formula>
    </cfRule>
  </conditionalFormatting>
  <conditionalFormatting sqref="A26:A30">
    <cfRule type="expression" dxfId="1017" priority="1" stopIfTrue="1">
      <formula>MOD(ROW(),2)=0</formula>
    </cfRule>
    <cfRule type="expression" dxfId="1016" priority="2" stopIfTrue="1">
      <formula>MOD(ROW(),2)&lt;&gt;0</formula>
    </cfRule>
  </conditionalFormatting>
  <conditionalFormatting sqref="B6:B21">
    <cfRule type="expression" dxfId="1015" priority="13" stopIfTrue="1">
      <formula>MOD(ROW(),2)=0</formula>
    </cfRule>
    <cfRule type="expression" dxfId="1014" priority="14" stopIfTrue="1">
      <formula>MOD(ROW(),2)&lt;&gt;0</formula>
    </cfRule>
  </conditionalFormatting>
  <conditionalFormatting sqref="B17:B21">
    <cfRule type="expression" dxfId="1013" priority="7" stopIfTrue="1">
      <formula>MOD(ROW(),2)=0</formula>
    </cfRule>
    <cfRule type="expression" dxfId="1012" priority="8" stopIfTrue="1">
      <formula>MOD(ROW(),2)&lt;&gt;0</formula>
    </cfRule>
  </conditionalFormatting>
  <conditionalFormatting sqref="B26:B30">
    <cfRule type="expression" dxfId="1011" priority="3" stopIfTrue="1">
      <formula>MOD(ROW(),2)=0</formula>
    </cfRule>
    <cfRule type="expression" dxfId="1010" priority="4" stopIfTrue="1">
      <formula>MOD(ROW(),2)&lt;&gt;0</formula>
    </cfRule>
  </conditionalFormatting>
  <hyperlinks>
    <hyperlink ref="B24" location="Assumptions!A1" display="Assumptions" xr:uid="{4DC6EF8A-04D3-41DF-8945-BDC8B405F4C2}"/>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0"/>
  <dimension ref="A1:I77"/>
  <sheetViews>
    <sheetView showGridLines="0" zoomScale="85" zoomScaleNormal="85" workbookViewId="0">
      <selection activeCell="A4" sqref="A4"/>
    </sheetView>
  </sheetViews>
  <sheetFormatPr defaultColWidth="10" defaultRowHeight="12.5" x14ac:dyDescent="0.25"/>
  <cols>
    <col min="1" max="1" width="31.54296875" style="26" customWidth="1"/>
    <col min="2" max="7" width="22.54296875" style="26" customWidth="1"/>
    <col min="8"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PenCE - x-301</v>
      </c>
      <c r="B3" s="40"/>
      <c r="C3" s="40"/>
      <c r="D3" s="40"/>
      <c r="E3" s="40"/>
      <c r="F3" s="40"/>
      <c r="G3" s="40"/>
      <c r="H3" s="40"/>
      <c r="I3" s="40"/>
    </row>
    <row r="4" spans="1:9" x14ac:dyDescent="0.25">
      <c r="A4" s="42"/>
    </row>
    <row r="6" spans="1:9" ht="13" x14ac:dyDescent="0.3">
      <c r="A6" s="73" t="s">
        <v>274</v>
      </c>
      <c r="B6" s="114" t="s">
        <v>275</v>
      </c>
      <c r="C6" s="114"/>
      <c r="D6" s="114"/>
      <c r="E6" s="114"/>
      <c r="F6" s="114"/>
      <c r="G6" s="114"/>
    </row>
    <row r="7" spans="1:9" x14ac:dyDescent="0.25">
      <c r="A7" s="74" t="s">
        <v>276</v>
      </c>
      <c r="B7" s="114" t="s">
        <v>72</v>
      </c>
      <c r="C7" s="114"/>
      <c r="D7" s="114"/>
      <c r="E7" s="114"/>
      <c r="F7" s="114"/>
      <c r="G7" s="114"/>
    </row>
    <row r="8" spans="1:9" x14ac:dyDescent="0.25">
      <c r="A8" s="74" t="s">
        <v>278</v>
      </c>
      <c r="B8" s="114" t="s">
        <v>74</v>
      </c>
      <c r="C8" s="114"/>
      <c r="D8" s="114"/>
      <c r="E8" s="114"/>
      <c r="F8" s="114"/>
      <c r="G8" s="114"/>
    </row>
    <row r="9" spans="1:9" x14ac:dyDescent="0.25">
      <c r="A9" s="74" t="s">
        <v>280</v>
      </c>
      <c r="B9" s="114" t="s">
        <v>383</v>
      </c>
      <c r="C9" s="114"/>
      <c r="D9" s="114"/>
      <c r="E9" s="114"/>
      <c r="F9" s="114"/>
      <c r="G9" s="114"/>
    </row>
    <row r="10" spans="1:9" x14ac:dyDescent="0.25">
      <c r="A10" s="74" t="s">
        <v>6</v>
      </c>
      <c r="B10" s="114" t="s">
        <v>384</v>
      </c>
      <c r="C10" s="114"/>
      <c r="D10" s="114"/>
      <c r="E10" s="114"/>
      <c r="F10" s="114"/>
      <c r="G10" s="114"/>
    </row>
    <row r="11" spans="1:9" x14ac:dyDescent="0.25">
      <c r="A11" s="74" t="s">
        <v>283</v>
      </c>
      <c r="B11" s="114" t="s">
        <v>355</v>
      </c>
      <c r="C11" s="114"/>
      <c r="D11" s="114"/>
      <c r="E11" s="114"/>
      <c r="F11" s="114"/>
      <c r="G11" s="114"/>
    </row>
    <row r="12" spans="1:9" x14ac:dyDescent="0.25">
      <c r="A12" s="74" t="s">
        <v>285</v>
      </c>
      <c r="B12" s="114" t="s">
        <v>385</v>
      </c>
      <c r="C12" s="114"/>
      <c r="D12" s="114"/>
      <c r="E12" s="114"/>
      <c r="F12" s="114"/>
      <c r="G12" s="114"/>
    </row>
    <row r="13" spans="1:9" x14ac:dyDescent="0.25">
      <c r="A13" s="74" t="s">
        <v>287</v>
      </c>
      <c r="B13" s="114">
        <v>1</v>
      </c>
      <c r="C13" s="114"/>
      <c r="D13" s="114"/>
      <c r="E13" s="114"/>
      <c r="F13" s="114"/>
      <c r="G13" s="114"/>
    </row>
    <row r="14" spans="1:9" x14ac:dyDescent="0.25">
      <c r="A14" s="74" t="s">
        <v>289</v>
      </c>
      <c r="B14" s="114">
        <v>301</v>
      </c>
      <c r="C14" s="114"/>
      <c r="D14" s="114"/>
      <c r="E14" s="114"/>
      <c r="F14" s="114"/>
      <c r="G14" s="114"/>
    </row>
    <row r="15" spans="1:9" x14ac:dyDescent="0.25">
      <c r="A15" s="74" t="s">
        <v>291</v>
      </c>
      <c r="B15" s="114" t="s">
        <v>386</v>
      </c>
      <c r="C15" s="114"/>
      <c r="D15" s="114"/>
      <c r="E15" s="114"/>
      <c r="F15" s="114"/>
      <c r="G15" s="114"/>
    </row>
    <row r="16" spans="1:9" x14ac:dyDescent="0.25">
      <c r="A16" s="74" t="s">
        <v>293</v>
      </c>
      <c r="B16" s="114" t="s">
        <v>387</v>
      </c>
      <c r="C16" s="114"/>
      <c r="D16" s="114"/>
      <c r="E16" s="114"/>
      <c r="F16" s="114"/>
      <c r="G16" s="114"/>
    </row>
    <row r="17" spans="1:7" x14ac:dyDescent="0.25">
      <c r="A17" s="74" t="s">
        <v>760</v>
      </c>
      <c r="B17" s="114"/>
      <c r="C17" s="114"/>
      <c r="D17" s="114"/>
      <c r="E17" s="114"/>
      <c r="F17" s="114"/>
      <c r="G17" s="114"/>
    </row>
    <row r="18" spans="1:7" x14ac:dyDescent="0.25">
      <c r="A18" s="74" t="s">
        <v>297</v>
      </c>
      <c r="B18" s="162" t="str">
        <f>"26 May 2023"</f>
        <v>26 May 2023</v>
      </c>
      <c r="C18" s="114"/>
      <c r="D18" s="114"/>
      <c r="E18" s="114"/>
      <c r="F18" s="114"/>
      <c r="G18" s="114"/>
    </row>
    <row r="19" spans="1:7" x14ac:dyDescent="0.25">
      <c r="A19" s="74" t="s">
        <v>299</v>
      </c>
      <c r="B19" s="162">
        <v>45014</v>
      </c>
      <c r="C19" s="114"/>
      <c r="D19" s="114"/>
      <c r="E19" s="114"/>
      <c r="F19" s="114"/>
      <c r="G19" s="114"/>
    </row>
    <row r="20" spans="1:7" x14ac:dyDescent="0.25">
      <c r="A20" s="74" t="s">
        <v>301</v>
      </c>
      <c r="B20" s="114" t="s">
        <v>314</v>
      </c>
      <c r="C20" s="114"/>
      <c r="D20" s="114"/>
      <c r="E20" s="114"/>
      <c r="F20" s="114"/>
      <c r="G20" s="114"/>
    </row>
    <row r="21" spans="1:7" x14ac:dyDescent="0.25">
      <c r="A21" s="74" t="s">
        <v>307</v>
      </c>
      <c r="B21" s="114" t="s">
        <v>315</v>
      </c>
      <c r="C21" s="114"/>
      <c r="D21" s="114"/>
      <c r="E21" s="114"/>
      <c r="F21" s="114"/>
      <c r="G21" s="114"/>
    </row>
    <row r="23" spans="1:7" x14ac:dyDescent="0.25">
      <c r="B23" s="100" t="str">
        <f>HYPERLINK("#'Factor List'!A1","Back to Factor List")</f>
        <v>Back to Factor List</v>
      </c>
    </row>
    <row r="24" spans="1:7" x14ac:dyDescent="0.25">
      <c r="B24" s="100" t="s">
        <v>13</v>
      </c>
    </row>
    <row r="26" spans="1:7" ht="39" x14ac:dyDescent="0.25">
      <c r="A26" s="97" t="s">
        <v>417</v>
      </c>
      <c r="B26" s="97" t="s">
        <v>789</v>
      </c>
      <c r="C26" s="97" t="s">
        <v>790</v>
      </c>
      <c r="D26" s="97" t="s">
        <v>791</v>
      </c>
      <c r="E26" s="97" t="s">
        <v>792</v>
      </c>
      <c r="F26" s="97" t="s">
        <v>793</v>
      </c>
      <c r="G26" s="97" t="s">
        <v>794</v>
      </c>
    </row>
    <row r="27" spans="1:7" x14ac:dyDescent="0.25">
      <c r="A27" s="98">
        <v>50</v>
      </c>
      <c r="B27" s="99">
        <v>27.46</v>
      </c>
      <c r="C27" s="99">
        <v>1.63</v>
      </c>
      <c r="D27" s="99"/>
      <c r="E27" s="99"/>
      <c r="F27" s="99">
        <v>0</v>
      </c>
      <c r="G27" s="99">
        <v>0</v>
      </c>
    </row>
    <row r="28" spans="1:7" x14ac:dyDescent="0.25">
      <c r="A28" s="98">
        <v>51</v>
      </c>
      <c r="B28" s="99">
        <v>26.91</v>
      </c>
      <c r="C28" s="99">
        <v>1.64</v>
      </c>
      <c r="D28" s="99"/>
      <c r="E28" s="99"/>
      <c r="F28" s="99">
        <v>0</v>
      </c>
      <c r="G28" s="99">
        <v>0</v>
      </c>
    </row>
    <row r="29" spans="1:7" x14ac:dyDescent="0.25">
      <c r="A29" s="98">
        <v>52</v>
      </c>
      <c r="B29" s="99">
        <v>26.35</v>
      </c>
      <c r="C29" s="99">
        <v>1.66</v>
      </c>
      <c r="D29" s="99"/>
      <c r="E29" s="99"/>
      <c r="F29" s="99">
        <v>0</v>
      </c>
      <c r="G29" s="99">
        <v>0</v>
      </c>
    </row>
    <row r="30" spans="1:7" x14ac:dyDescent="0.25">
      <c r="A30" s="98">
        <v>53</v>
      </c>
      <c r="B30" s="99">
        <v>25.78</v>
      </c>
      <c r="C30" s="99">
        <v>1.67</v>
      </c>
      <c r="D30" s="99"/>
      <c r="E30" s="99"/>
      <c r="F30" s="99">
        <v>0</v>
      </c>
      <c r="G30" s="99">
        <v>0</v>
      </c>
    </row>
    <row r="31" spans="1:7" x14ac:dyDescent="0.25">
      <c r="A31" s="98">
        <v>54</v>
      </c>
      <c r="B31" s="99">
        <v>25.21</v>
      </c>
      <c r="C31" s="99">
        <v>1.68</v>
      </c>
      <c r="D31" s="99"/>
      <c r="E31" s="99"/>
      <c r="F31" s="99">
        <v>0</v>
      </c>
      <c r="G31" s="99">
        <v>0</v>
      </c>
    </row>
    <row r="32" spans="1:7" x14ac:dyDescent="0.25">
      <c r="A32" s="98">
        <v>55</v>
      </c>
      <c r="B32" s="99">
        <v>24.62</v>
      </c>
      <c r="C32" s="99">
        <v>1.7</v>
      </c>
      <c r="D32" s="99"/>
      <c r="E32" s="99"/>
      <c r="F32" s="99">
        <v>0</v>
      </c>
      <c r="G32" s="99">
        <v>0</v>
      </c>
    </row>
    <row r="33" spans="1:7" x14ac:dyDescent="0.25">
      <c r="A33" s="98">
        <v>56</v>
      </c>
      <c r="B33" s="99">
        <v>24.04</v>
      </c>
      <c r="C33" s="99">
        <v>1.71</v>
      </c>
      <c r="D33" s="99"/>
      <c r="E33" s="99"/>
      <c r="F33" s="99">
        <v>0</v>
      </c>
      <c r="G33" s="99">
        <v>0</v>
      </c>
    </row>
    <row r="34" spans="1:7" x14ac:dyDescent="0.25">
      <c r="A34" s="98">
        <v>57</v>
      </c>
      <c r="B34" s="99">
        <v>23.44</v>
      </c>
      <c r="C34" s="99">
        <v>1.72</v>
      </c>
      <c r="D34" s="99"/>
      <c r="E34" s="99"/>
      <c r="F34" s="99">
        <v>0</v>
      </c>
      <c r="G34" s="99">
        <v>0</v>
      </c>
    </row>
    <row r="35" spans="1:7" x14ac:dyDescent="0.25">
      <c r="A35" s="98">
        <v>58</v>
      </c>
      <c r="B35" s="99">
        <v>22.84</v>
      </c>
      <c r="C35" s="99">
        <v>1.73</v>
      </c>
      <c r="D35" s="99"/>
      <c r="E35" s="99"/>
      <c r="F35" s="99">
        <v>0</v>
      </c>
      <c r="G35" s="99">
        <v>0</v>
      </c>
    </row>
    <row r="36" spans="1:7" x14ac:dyDescent="0.25">
      <c r="A36" s="98">
        <v>59</v>
      </c>
      <c r="B36" s="99">
        <v>22.23</v>
      </c>
      <c r="C36" s="99">
        <v>1.74</v>
      </c>
      <c r="D36" s="99"/>
      <c r="E36" s="99"/>
      <c r="F36" s="99">
        <v>0</v>
      </c>
      <c r="G36" s="99">
        <v>0</v>
      </c>
    </row>
    <row r="37" spans="1:7" x14ac:dyDescent="0.25">
      <c r="A37" s="98">
        <v>60</v>
      </c>
      <c r="B37" s="99">
        <v>21.61</v>
      </c>
      <c r="C37" s="99">
        <v>1.75</v>
      </c>
      <c r="D37" s="99"/>
      <c r="E37" s="99"/>
      <c r="F37" s="99">
        <v>0</v>
      </c>
      <c r="G37" s="99">
        <v>0</v>
      </c>
    </row>
    <row r="38" spans="1:7" x14ac:dyDescent="0.25">
      <c r="A38" s="98">
        <v>61</v>
      </c>
      <c r="B38" s="99">
        <v>20.98</v>
      </c>
      <c r="C38" s="99">
        <v>1.75</v>
      </c>
      <c r="D38" s="99"/>
      <c r="E38" s="99"/>
      <c r="F38" s="99">
        <v>0</v>
      </c>
      <c r="G38" s="99">
        <v>0</v>
      </c>
    </row>
    <row r="39" spans="1:7" x14ac:dyDescent="0.25">
      <c r="A39" s="98">
        <v>62</v>
      </c>
      <c r="B39" s="99">
        <v>20.36</v>
      </c>
      <c r="C39" s="99">
        <v>1.76</v>
      </c>
      <c r="D39" s="99"/>
      <c r="E39" s="99"/>
      <c r="F39" s="99">
        <v>0</v>
      </c>
      <c r="G39" s="99">
        <v>0</v>
      </c>
    </row>
    <row r="40" spans="1:7" x14ac:dyDescent="0.25">
      <c r="A40" s="98">
        <v>63</v>
      </c>
      <c r="B40" s="99">
        <v>19.72</v>
      </c>
      <c r="C40" s="99">
        <v>1.77</v>
      </c>
      <c r="D40" s="99"/>
      <c r="E40" s="99"/>
      <c r="F40" s="99">
        <v>0</v>
      </c>
      <c r="G40" s="99">
        <v>0</v>
      </c>
    </row>
    <row r="41" spans="1:7" x14ac:dyDescent="0.25">
      <c r="A41" s="98">
        <v>64</v>
      </c>
      <c r="B41" s="99">
        <v>19.09</v>
      </c>
      <c r="C41" s="99">
        <v>1.77</v>
      </c>
      <c r="D41" s="99"/>
      <c r="E41" s="99"/>
      <c r="F41" s="99">
        <v>0</v>
      </c>
      <c r="G41" s="99">
        <v>0</v>
      </c>
    </row>
    <row r="42" spans="1:7" x14ac:dyDescent="0.25">
      <c r="A42" s="98">
        <v>65</v>
      </c>
      <c r="B42" s="99">
        <v>18.45</v>
      </c>
      <c r="C42" s="99">
        <v>1.76</v>
      </c>
      <c r="D42" s="99"/>
      <c r="E42" s="99"/>
      <c r="F42" s="99">
        <v>0</v>
      </c>
      <c r="G42" s="99">
        <v>0</v>
      </c>
    </row>
    <row r="43" spans="1:7" x14ac:dyDescent="0.25">
      <c r="A43" s="98">
        <v>66</v>
      </c>
      <c r="B43" s="99">
        <v>17.8</v>
      </c>
      <c r="C43" s="99">
        <v>1.76</v>
      </c>
      <c r="D43" s="99"/>
      <c r="E43" s="99"/>
      <c r="F43" s="99">
        <v>0</v>
      </c>
      <c r="G43" s="99">
        <v>0</v>
      </c>
    </row>
    <row r="44" spans="1:7" x14ac:dyDescent="0.25">
      <c r="A44" s="98">
        <v>67</v>
      </c>
      <c r="B44" s="99">
        <v>17.149999999999999</v>
      </c>
      <c r="C44" s="99">
        <v>1.76</v>
      </c>
      <c r="D44" s="99"/>
      <c r="E44" s="99"/>
      <c r="F44" s="99">
        <v>0</v>
      </c>
      <c r="G44" s="99">
        <v>0</v>
      </c>
    </row>
    <row r="45" spans="1:7" x14ac:dyDescent="0.25">
      <c r="A45" s="98">
        <v>68</v>
      </c>
      <c r="B45" s="99">
        <v>16.5</v>
      </c>
      <c r="C45" s="99">
        <v>1.76</v>
      </c>
      <c r="D45" s="99"/>
      <c r="E45" s="99"/>
      <c r="F45" s="99">
        <v>0</v>
      </c>
      <c r="G45" s="99">
        <v>0</v>
      </c>
    </row>
    <row r="46" spans="1:7" x14ac:dyDescent="0.25">
      <c r="A46" s="98">
        <v>69</v>
      </c>
      <c r="B46" s="99">
        <v>15.85</v>
      </c>
      <c r="C46" s="99">
        <v>1.69</v>
      </c>
      <c r="D46" s="99">
        <v>3.15</v>
      </c>
      <c r="E46" s="99">
        <v>2.81</v>
      </c>
      <c r="F46" s="99">
        <v>0</v>
      </c>
      <c r="G46" s="99">
        <v>0</v>
      </c>
    </row>
    <row r="47" spans="1:7" x14ac:dyDescent="0.25">
      <c r="A47" s="98">
        <v>70</v>
      </c>
      <c r="B47" s="99">
        <v>15.19</v>
      </c>
      <c r="C47" s="99">
        <v>1.63</v>
      </c>
      <c r="D47" s="99">
        <v>2.93</v>
      </c>
      <c r="E47" s="99">
        <v>2.6</v>
      </c>
      <c r="F47" s="99">
        <v>0</v>
      </c>
      <c r="G47" s="99">
        <v>0</v>
      </c>
    </row>
    <row r="48" spans="1:7" x14ac:dyDescent="0.25">
      <c r="A48" s="98">
        <v>71</v>
      </c>
      <c r="B48" s="99">
        <v>14.53</v>
      </c>
      <c r="C48" s="99">
        <v>1.62</v>
      </c>
      <c r="D48" s="99">
        <v>2.72</v>
      </c>
      <c r="E48" s="99">
        <v>2.4</v>
      </c>
      <c r="F48" s="99">
        <v>0</v>
      </c>
      <c r="G48" s="99">
        <v>0</v>
      </c>
    </row>
    <row r="49" spans="1:7" x14ac:dyDescent="0.25">
      <c r="A49" s="98">
        <v>72</v>
      </c>
      <c r="B49" s="99">
        <v>13.87</v>
      </c>
      <c r="C49" s="99">
        <v>1.61</v>
      </c>
      <c r="D49" s="99">
        <v>2.52</v>
      </c>
      <c r="E49" s="99">
        <v>2.21</v>
      </c>
      <c r="F49" s="99">
        <v>0</v>
      </c>
      <c r="G49" s="99">
        <v>0</v>
      </c>
    </row>
    <row r="50" spans="1:7" x14ac:dyDescent="0.25">
      <c r="A50" s="98">
        <v>73</v>
      </c>
      <c r="B50" s="99">
        <v>13.22</v>
      </c>
      <c r="C50" s="99">
        <v>1.6</v>
      </c>
      <c r="D50" s="99">
        <v>2.33</v>
      </c>
      <c r="E50" s="99">
        <v>2.02</v>
      </c>
      <c r="F50" s="99">
        <v>0</v>
      </c>
      <c r="G50" s="99">
        <v>0</v>
      </c>
    </row>
    <row r="51" spans="1:7" x14ac:dyDescent="0.25">
      <c r="A51" s="98">
        <v>74</v>
      </c>
      <c r="B51" s="99">
        <v>12.57</v>
      </c>
      <c r="C51" s="99">
        <v>1.48</v>
      </c>
      <c r="D51" s="99">
        <v>2.13</v>
      </c>
      <c r="E51" s="99">
        <v>1.85</v>
      </c>
      <c r="F51" s="99">
        <v>0</v>
      </c>
      <c r="G51" s="99">
        <v>0</v>
      </c>
    </row>
    <row r="52" spans="1:7" x14ac:dyDescent="0.25">
      <c r="A52" s="98">
        <v>75</v>
      </c>
      <c r="B52" s="99">
        <v>11.92</v>
      </c>
      <c r="C52" s="99">
        <v>1.37</v>
      </c>
      <c r="D52" s="99">
        <v>1.94</v>
      </c>
      <c r="E52" s="99">
        <v>1.68</v>
      </c>
      <c r="F52" s="99">
        <v>0</v>
      </c>
      <c r="G52" s="99">
        <v>0</v>
      </c>
    </row>
    <row r="53" spans="1:7" x14ac:dyDescent="0.25">
      <c r="A53" s="98">
        <v>76</v>
      </c>
      <c r="B53" s="99">
        <v>11.27</v>
      </c>
      <c r="C53" s="99">
        <v>1.35</v>
      </c>
      <c r="D53" s="99">
        <v>1.77</v>
      </c>
      <c r="E53" s="99">
        <v>1.52</v>
      </c>
      <c r="F53" s="99">
        <v>0</v>
      </c>
      <c r="G53" s="99">
        <v>0</v>
      </c>
    </row>
    <row r="54" spans="1:7" x14ac:dyDescent="0.25">
      <c r="A54" s="98">
        <v>77</v>
      </c>
      <c r="B54" s="99">
        <v>10.64</v>
      </c>
      <c r="C54" s="99">
        <v>1.33</v>
      </c>
      <c r="D54" s="99">
        <v>1.61</v>
      </c>
      <c r="E54" s="99">
        <v>1.37</v>
      </c>
      <c r="F54" s="99">
        <v>0</v>
      </c>
      <c r="G54" s="99">
        <v>0</v>
      </c>
    </row>
    <row r="55" spans="1:7" x14ac:dyDescent="0.25">
      <c r="A55" s="98">
        <v>78</v>
      </c>
      <c r="B55" s="99">
        <v>10.01</v>
      </c>
      <c r="C55" s="99">
        <v>1.31</v>
      </c>
      <c r="D55" s="99">
        <v>1.46</v>
      </c>
      <c r="E55" s="99">
        <v>1.23</v>
      </c>
      <c r="F55" s="99">
        <v>0</v>
      </c>
      <c r="G55" s="99">
        <v>0</v>
      </c>
    </row>
    <row r="56" spans="1:7" x14ac:dyDescent="0.25">
      <c r="A56" s="98">
        <v>79</v>
      </c>
      <c r="B56" s="99">
        <v>9.4</v>
      </c>
      <c r="C56" s="99">
        <v>1.1599999999999999</v>
      </c>
      <c r="D56" s="99">
        <v>1.31</v>
      </c>
      <c r="E56" s="99">
        <v>1.1000000000000001</v>
      </c>
      <c r="F56" s="99">
        <v>0</v>
      </c>
      <c r="G56" s="99">
        <v>0</v>
      </c>
    </row>
    <row r="57" spans="1:7" x14ac:dyDescent="0.25">
      <c r="A57" s="98">
        <v>80</v>
      </c>
      <c r="B57" s="99">
        <v>8.8000000000000007</v>
      </c>
      <c r="C57" s="99">
        <v>1.02</v>
      </c>
      <c r="D57" s="99">
        <v>1.1599999999999999</v>
      </c>
      <c r="E57" s="99">
        <v>0.97</v>
      </c>
      <c r="F57" s="99">
        <v>0</v>
      </c>
      <c r="G57" s="99">
        <v>0</v>
      </c>
    </row>
    <row r="58" spans="1:7" x14ac:dyDescent="0.25">
      <c r="A58" s="98">
        <v>81</v>
      </c>
      <c r="B58" s="99">
        <v>8.2100000000000009</v>
      </c>
      <c r="C58" s="99">
        <v>0.99</v>
      </c>
      <c r="D58" s="99">
        <v>1.04</v>
      </c>
      <c r="E58" s="99">
        <v>0.86</v>
      </c>
      <c r="F58" s="99">
        <v>0</v>
      </c>
      <c r="G58" s="99">
        <v>0</v>
      </c>
    </row>
    <row r="59" spans="1:7" x14ac:dyDescent="0.25">
      <c r="A59" s="98">
        <v>82</v>
      </c>
      <c r="B59" s="99">
        <v>7.65</v>
      </c>
      <c r="C59" s="99">
        <v>0.97</v>
      </c>
      <c r="D59" s="99">
        <v>0.93</v>
      </c>
      <c r="E59" s="99">
        <v>0.76</v>
      </c>
      <c r="F59" s="99">
        <v>0</v>
      </c>
      <c r="G59" s="99">
        <v>0</v>
      </c>
    </row>
    <row r="60" spans="1:7" x14ac:dyDescent="0.25">
      <c r="A60" s="98">
        <v>83</v>
      </c>
      <c r="B60" s="99">
        <v>7.11</v>
      </c>
      <c r="C60" s="99">
        <v>0.94</v>
      </c>
      <c r="D60" s="99">
        <v>0.82</v>
      </c>
      <c r="E60" s="99">
        <v>0.66</v>
      </c>
      <c r="F60" s="99">
        <v>0</v>
      </c>
      <c r="G60" s="99">
        <v>0</v>
      </c>
    </row>
    <row r="61" spans="1:7" x14ac:dyDescent="0.25">
      <c r="A61" s="98">
        <v>84</v>
      </c>
      <c r="B61" s="99">
        <v>6.58</v>
      </c>
      <c r="C61" s="99">
        <v>0.8</v>
      </c>
      <c r="D61" s="99">
        <v>0.72</v>
      </c>
      <c r="E61" s="99">
        <v>0.57999999999999996</v>
      </c>
      <c r="F61" s="99">
        <v>0</v>
      </c>
      <c r="G61" s="99">
        <v>0</v>
      </c>
    </row>
    <row r="62" spans="1:7" x14ac:dyDescent="0.25">
      <c r="A62" s="98">
        <v>85</v>
      </c>
      <c r="B62" s="99">
        <v>6.09</v>
      </c>
      <c r="C62" s="99">
        <v>0.66</v>
      </c>
      <c r="D62" s="99">
        <v>0.62</v>
      </c>
      <c r="E62" s="99">
        <v>0.5</v>
      </c>
      <c r="F62" s="99">
        <v>0</v>
      </c>
      <c r="G62" s="99">
        <v>0</v>
      </c>
    </row>
    <row r="63" spans="1:7" x14ac:dyDescent="0.25">
      <c r="A63" s="98">
        <v>86</v>
      </c>
      <c r="B63" s="99">
        <v>5.62</v>
      </c>
      <c r="C63" s="99">
        <v>0.63</v>
      </c>
      <c r="D63" s="99">
        <v>0.54</v>
      </c>
      <c r="E63" s="99">
        <v>0.44</v>
      </c>
      <c r="F63" s="99">
        <v>0</v>
      </c>
      <c r="G63" s="99">
        <v>0</v>
      </c>
    </row>
    <row r="64" spans="1:7" x14ac:dyDescent="0.25">
      <c r="A64" s="98">
        <v>87</v>
      </c>
      <c r="B64" s="99">
        <v>5.17</v>
      </c>
      <c r="C64" s="99">
        <v>0.61</v>
      </c>
      <c r="D64" s="99">
        <v>0.47</v>
      </c>
      <c r="E64" s="99">
        <v>0.38</v>
      </c>
      <c r="F64" s="99">
        <v>0</v>
      </c>
      <c r="G64" s="99">
        <v>0</v>
      </c>
    </row>
    <row r="65" spans="1:7" x14ac:dyDescent="0.25">
      <c r="A65" s="98">
        <v>88</v>
      </c>
      <c r="B65" s="99">
        <v>4.76</v>
      </c>
      <c r="C65" s="99">
        <v>0.57999999999999996</v>
      </c>
      <c r="D65" s="99">
        <v>0.41</v>
      </c>
      <c r="E65" s="99">
        <v>0.32</v>
      </c>
      <c r="F65" s="99">
        <v>0</v>
      </c>
      <c r="G65" s="99">
        <v>0</v>
      </c>
    </row>
    <row r="66" spans="1:7" x14ac:dyDescent="0.25">
      <c r="A66" s="98">
        <v>89</v>
      </c>
      <c r="B66" s="99">
        <v>4.37</v>
      </c>
      <c r="C66" s="99">
        <v>0.46</v>
      </c>
      <c r="D66" s="99">
        <v>0.35</v>
      </c>
      <c r="E66" s="99">
        <v>0.28000000000000003</v>
      </c>
      <c r="F66" s="99">
        <v>0</v>
      </c>
      <c r="G66" s="99">
        <v>0</v>
      </c>
    </row>
    <row r="67" spans="1:7" x14ac:dyDescent="0.25">
      <c r="A67" s="98">
        <v>90</v>
      </c>
      <c r="B67" s="99">
        <v>4.01</v>
      </c>
      <c r="C67" s="99">
        <v>0.34</v>
      </c>
      <c r="D67" s="99">
        <v>0.28999999999999998</v>
      </c>
      <c r="E67" s="99">
        <v>0.24</v>
      </c>
      <c r="F67" s="99">
        <v>0</v>
      </c>
      <c r="G67" s="99">
        <v>0</v>
      </c>
    </row>
    <row r="68" spans="1:7" x14ac:dyDescent="0.25">
      <c r="A68" s="98">
        <v>91</v>
      </c>
      <c r="B68" s="99">
        <v>3.68</v>
      </c>
      <c r="C68" s="99">
        <v>0.32</v>
      </c>
      <c r="D68" s="99">
        <v>0.25</v>
      </c>
      <c r="E68" s="99">
        <v>0.2</v>
      </c>
      <c r="F68" s="99">
        <v>0</v>
      </c>
      <c r="G68" s="99">
        <v>0</v>
      </c>
    </row>
    <row r="69" spans="1:7" x14ac:dyDescent="0.25">
      <c r="A69" s="98">
        <v>92</v>
      </c>
      <c r="B69" s="99">
        <v>3.38</v>
      </c>
      <c r="C69" s="99">
        <v>0.3</v>
      </c>
      <c r="D69" s="99">
        <v>0.22</v>
      </c>
      <c r="E69" s="99">
        <v>0.17</v>
      </c>
      <c r="F69" s="99">
        <v>0</v>
      </c>
      <c r="G69" s="99">
        <v>0</v>
      </c>
    </row>
    <row r="70" spans="1:7" x14ac:dyDescent="0.25">
      <c r="A70" s="98">
        <v>93</v>
      </c>
      <c r="B70" s="99">
        <v>3.11</v>
      </c>
      <c r="C70" s="99">
        <v>0.28999999999999998</v>
      </c>
      <c r="D70" s="99">
        <v>0.19</v>
      </c>
      <c r="E70" s="99">
        <v>0.15</v>
      </c>
      <c r="F70" s="99">
        <v>0</v>
      </c>
      <c r="G70" s="99">
        <v>0</v>
      </c>
    </row>
    <row r="71" spans="1:7" x14ac:dyDescent="0.25">
      <c r="A71" s="98">
        <v>94</v>
      </c>
      <c r="B71" s="99">
        <v>2.86</v>
      </c>
      <c r="C71" s="99">
        <v>0.27</v>
      </c>
      <c r="D71" s="99">
        <v>0.16</v>
      </c>
      <c r="E71" s="99">
        <v>0.13</v>
      </c>
      <c r="F71" s="99">
        <v>0</v>
      </c>
      <c r="G71" s="99">
        <v>0</v>
      </c>
    </row>
    <row r="72" spans="1:7" x14ac:dyDescent="0.25">
      <c r="A72" s="98">
        <v>95</v>
      </c>
      <c r="B72" s="99">
        <v>2.64</v>
      </c>
      <c r="C72" s="99">
        <v>0.25</v>
      </c>
      <c r="D72" s="99">
        <v>0.14000000000000001</v>
      </c>
      <c r="E72" s="99">
        <v>0.11</v>
      </c>
      <c r="F72" s="99">
        <v>0</v>
      </c>
      <c r="G72" s="99">
        <v>0</v>
      </c>
    </row>
    <row r="73" spans="1:7" x14ac:dyDescent="0.25">
      <c r="A73" s="98">
        <v>96</v>
      </c>
      <c r="B73" s="99">
        <v>2.44</v>
      </c>
      <c r="C73" s="99">
        <v>0.23</v>
      </c>
      <c r="D73" s="99">
        <v>0.13</v>
      </c>
      <c r="E73" s="99">
        <v>0.09</v>
      </c>
      <c r="F73" s="99">
        <v>0</v>
      </c>
      <c r="G73" s="99">
        <v>0</v>
      </c>
    </row>
    <row r="74" spans="1:7" x14ac:dyDescent="0.25">
      <c r="A74" s="98">
        <v>97</v>
      </c>
      <c r="B74" s="99">
        <v>2.27</v>
      </c>
      <c r="C74" s="99">
        <v>0.22</v>
      </c>
      <c r="D74" s="99">
        <v>0.11</v>
      </c>
      <c r="E74" s="99">
        <v>0.08</v>
      </c>
      <c r="F74" s="99">
        <v>0</v>
      </c>
      <c r="G74" s="99">
        <v>0</v>
      </c>
    </row>
    <row r="75" spans="1:7" x14ac:dyDescent="0.25">
      <c r="A75" s="98">
        <v>98</v>
      </c>
      <c r="B75" s="99">
        <v>2.12</v>
      </c>
      <c r="C75" s="99">
        <v>0.21</v>
      </c>
      <c r="D75" s="99">
        <v>0.1</v>
      </c>
      <c r="E75" s="99">
        <v>7.0000000000000007E-2</v>
      </c>
      <c r="F75" s="99">
        <v>0</v>
      </c>
      <c r="G75" s="99">
        <v>0</v>
      </c>
    </row>
    <row r="76" spans="1:7" x14ac:dyDescent="0.25">
      <c r="A76" s="98">
        <v>99</v>
      </c>
      <c r="B76" s="99">
        <v>2</v>
      </c>
      <c r="C76" s="99">
        <v>0.19</v>
      </c>
      <c r="D76" s="99">
        <v>0.09</v>
      </c>
      <c r="E76" s="99">
        <v>0.06</v>
      </c>
      <c r="F76" s="99">
        <v>0</v>
      </c>
      <c r="G76" s="99">
        <v>0</v>
      </c>
    </row>
    <row r="77" spans="1:7" x14ac:dyDescent="0.25">
      <c r="A77" s="98">
        <v>100</v>
      </c>
      <c r="B77" s="99">
        <v>1.91</v>
      </c>
      <c r="C77" s="99">
        <v>0.18</v>
      </c>
      <c r="D77" s="99">
        <v>0.08</v>
      </c>
      <c r="E77" s="99">
        <v>0.06</v>
      </c>
      <c r="F77" s="99">
        <v>0</v>
      </c>
      <c r="G77" s="99">
        <v>0</v>
      </c>
    </row>
  </sheetData>
  <sheetProtection algorithmName="SHA-512" hashValue="e4qxBRpBUR6S8NTHDIimEfk2ngizvVLDxDIVSrnNOIJpA5chVP0OCZkEku/oHDfx9AbO4TXbDFEgzO2xEjVujg==" saltValue="wtX6EFc1gkfMkrZhB81byQ==" spinCount="100000" sheet="1" objects="1" scenarios="1"/>
  <conditionalFormatting sqref="A6:A21">
    <cfRule type="expression" dxfId="1009" priority="13" stopIfTrue="1">
      <formula>MOD(ROW(),2)=0</formula>
    </cfRule>
    <cfRule type="expression" dxfId="1008" priority="14" stopIfTrue="1">
      <formula>MOD(ROW(),2)&lt;&gt;0</formula>
    </cfRule>
  </conditionalFormatting>
  <conditionalFormatting sqref="A26:A77">
    <cfRule type="expression" dxfId="1007" priority="5" stopIfTrue="1">
      <formula>MOD(ROW(),2)=0</formula>
    </cfRule>
    <cfRule type="expression" dxfId="1006" priority="6" stopIfTrue="1">
      <formula>MOD(ROW(),2)&lt;&gt;0</formula>
    </cfRule>
  </conditionalFormatting>
  <conditionalFormatting sqref="B17:B21">
    <cfRule type="expression" dxfId="1005" priority="1" stopIfTrue="1">
      <formula>MOD(ROW(),2)=0</formula>
    </cfRule>
    <cfRule type="expression" dxfId="1004" priority="2" stopIfTrue="1">
      <formula>MOD(ROW(),2)&lt;&gt;0</formula>
    </cfRule>
  </conditionalFormatting>
  <conditionalFormatting sqref="B6:G21">
    <cfRule type="expression" dxfId="1003" priority="21" stopIfTrue="1">
      <formula>MOD(ROW(),2)=0</formula>
    </cfRule>
    <cfRule type="expression" dxfId="1002" priority="22" stopIfTrue="1">
      <formula>MOD(ROW(),2)&lt;&gt;0</formula>
    </cfRule>
  </conditionalFormatting>
  <conditionalFormatting sqref="B26:G77">
    <cfRule type="expression" dxfId="1001" priority="7" stopIfTrue="1">
      <formula>MOD(ROW(),2)=0</formula>
    </cfRule>
    <cfRule type="expression" dxfId="1000" priority="8" stopIfTrue="1">
      <formula>MOD(ROW(),2)&lt;&gt;0</formula>
    </cfRule>
  </conditionalFormatting>
  <hyperlinks>
    <hyperlink ref="B24" location="Assumptions!A1" display="Assumptions" xr:uid="{18D74B3C-244A-4FE2-9D55-DFBC76BBD1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dimension ref="A1:I102"/>
  <sheetViews>
    <sheetView showGridLines="0" zoomScale="85" zoomScaleNormal="85" workbookViewId="0">
      <selection activeCell="A4" sqref="A4"/>
    </sheetView>
  </sheetViews>
  <sheetFormatPr defaultColWidth="10" defaultRowHeight="12.5" x14ac:dyDescent="0.25"/>
  <cols>
    <col min="1" max="1" width="31.54296875" style="26" customWidth="1"/>
    <col min="2" max="7" width="22.54296875" style="26" customWidth="1"/>
    <col min="8"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PenCE - x-302</v>
      </c>
      <c r="B3" s="40"/>
      <c r="C3" s="40"/>
      <c r="D3" s="40"/>
      <c r="E3" s="40"/>
      <c r="F3" s="40"/>
      <c r="G3" s="40"/>
      <c r="H3" s="40"/>
      <c r="I3" s="40"/>
    </row>
    <row r="4" spans="1:9" x14ac:dyDescent="0.25">
      <c r="A4" s="42"/>
    </row>
    <row r="6" spans="1:9" ht="13" x14ac:dyDescent="0.3">
      <c r="A6" s="73" t="s">
        <v>274</v>
      </c>
      <c r="B6" s="114" t="s">
        <v>275</v>
      </c>
      <c r="C6" s="114"/>
      <c r="D6" s="114"/>
      <c r="E6" s="114"/>
      <c r="F6" s="114"/>
      <c r="G6" s="114"/>
    </row>
    <row r="7" spans="1:9" x14ac:dyDescent="0.25">
      <c r="A7" s="74" t="s">
        <v>276</v>
      </c>
      <c r="B7" s="114" t="s">
        <v>72</v>
      </c>
      <c r="C7" s="114"/>
      <c r="D7" s="114"/>
      <c r="E7" s="114"/>
      <c r="F7" s="114"/>
      <c r="G7" s="114"/>
    </row>
    <row r="8" spans="1:9" x14ac:dyDescent="0.25">
      <c r="A8" s="74" t="s">
        <v>278</v>
      </c>
      <c r="B8" s="114" t="s">
        <v>74</v>
      </c>
      <c r="C8" s="114"/>
      <c r="D8" s="114"/>
      <c r="E8" s="114"/>
      <c r="F8" s="114"/>
      <c r="G8" s="114"/>
    </row>
    <row r="9" spans="1:9" x14ac:dyDescent="0.25">
      <c r="A9" s="74" t="s">
        <v>280</v>
      </c>
      <c r="B9" s="114" t="s">
        <v>383</v>
      </c>
      <c r="C9" s="114"/>
      <c r="D9" s="114"/>
      <c r="E9" s="114"/>
      <c r="F9" s="114"/>
      <c r="G9" s="114"/>
    </row>
    <row r="10" spans="1:9" x14ac:dyDescent="0.25">
      <c r="A10" s="74" t="s">
        <v>6</v>
      </c>
      <c r="B10" s="114" t="s">
        <v>388</v>
      </c>
      <c r="C10" s="114"/>
      <c r="D10" s="114"/>
      <c r="E10" s="114"/>
      <c r="F10" s="114"/>
      <c r="G10" s="114"/>
    </row>
    <row r="11" spans="1:9" x14ac:dyDescent="0.25">
      <c r="A11" s="74" t="s">
        <v>283</v>
      </c>
      <c r="B11" s="114" t="s">
        <v>355</v>
      </c>
      <c r="C11" s="114"/>
      <c r="D11" s="114"/>
      <c r="E11" s="114"/>
      <c r="F11" s="114"/>
      <c r="G11" s="114"/>
    </row>
    <row r="12" spans="1:9" x14ac:dyDescent="0.25">
      <c r="A12" s="74" t="s">
        <v>285</v>
      </c>
      <c r="B12" s="114" t="s">
        <v>385</v>
      </c>
      <c r="C12" s="114"/>
      <c r="D12" s="114"/>
      <c r="E12" s="114"/>
      <c r="F12" s="114"/>
      <c r="G12" s="114"/>
    </row>
    <row r="13" spans="1:9" x14ac:dyDescent="0.25">
      <c r="A13" s="74" t="s">
        <v>287</v>
      </c>
      <c r="B13" s="114">
        <v>1</v>
      </c>
      <c r="C13" s="114"/>
      <c r="D13" s="114"/>
      <c r="E13" s="114"/>
      <c r="F13" s="114"/>
      <c r="G13" s="114"/>
    </row>
    <row r="14" spans="1:9" x14ac:dyDescent="0.25">
      <c r="A14" s="74" t="s">
        <v>289</v>
      </c>
      <c r="B14" s="114">
        <v>302</v>
      </c>
      <c r="C14" s="114"/>
      <c r="D14" s="114"/>
      <c r="E14" s="114"/>
      <c r="F14" s="114"/>
      <c r="G14" s="114"/>
    </row>
    <row r="15" spans="1:9" x14ac:dyDescent="0.25">
      <c r="A15" s="74" t="s">
        <v>291</v>
      </c>
      <c r="B15" s="114" t="s">
        <v>389</v>
      </c>
      <c r="C15" s="114"/>
      <c r="D15" s="114"/>
      <c r="E15" s="114"/>
      <c r="F15" s="114"/>
      <c r="G15" s="114"/>
    </row>
    <row r="16" spans="1:9" x14ac:dyDescent="0.25">
      <c r="A16" s="74" t="s">
        <v>293</v>
      </c>
      <c r="B16" s="114" t="s">
        <v>390</v>
      </c>
      <c r="C16" s="114"/>
      <c r="D16" s="114"/>
      <c r="E16" s="114"/>
      <c r="F16" s="114"/>
      <c r="G16" s="114"/>
    </row>
    <row r="17" spans="1:7" x14ac:dyDescent="0.25">
      <c r="A17" s="74" t="s">
        <v>760</v>
      </c>
      <c r="B17" s="114"/>
      <c r="C17" s="114"/>
      <c r="D17" s="114"/>
      <c r="E17" s="114"/>
      <c r="F17" s="114"/>
      <c r="G17" s="114"/>
    </row>
    <row r="18" spans="1:7" x14ac:dyDescent="0.25">
      <c r="A18" s="74" t="s">
        <v>297</v>
      </c>
      <c r="B18" s="162" t="str">
        <f>"26 May 2023"</f>
        <v>26 May 2023</v>
      </c>
      <c r="C18" s="114"/>
      <c r="D18" s="114"/>
      <c r="E18" s="114"/>
      <c r="F18" s="114"/>
      <c r="G18" s="114"/>
    </row>
    <row r="19" spans="1:7" x14ac:dyDescent="0.25">
      <c r="A19" s="74" t="s">
        <v>299</v>
      </c>
      <c r="B19" s="162">
        <v>45014</v>
      </c>
      <c r="C19" s="114"/>
      <c r="D19" s="114"/>
      <c r="E19" s="114"/>
      <c r="F19" s="114"/>
      <c r="G19" s="114"/>
    </row>
    <row r="20" spans="1:7" x14ac:dyDescent="0.25">
      <c r="A20" s="74" t="s">
        <v>301</v>
      </c>
      <c r="B20" s="114" t="s">
        <v>314</v>
      </c>
      <c r="C20" s="114"/>
      <c r="D20" s="114"/>
      <c r="E20" s="114"/>
      <c r="F20" s="114"/>
      <c r="G20" s="114"/>
    </row>
    <row r="21" spans="1:7" x14ac:dyDescent="0.25">
      <c r="A21" s="74" t="s">
        <v>307</v>
      </c>
      <c r="B21" s="114" t="s">
        <v>315</v>
      </c>
      <c r="C21" s="114"/>
      <c r="D21" s="114"/>
      <c r="E21" s="114"/>
      <c r="F21" s="114"/>
      <c r="G21" s="114"/>
    </row>
    <row r="23" spans="1:7" x14ac:dyDescent="0.25">
      <c r="B23" s="100" t="str">
        <f>HYPERLINK("#'Factor List'!A1","Back to Factor List")</f>
        <v>Back to Factor List</v>
      </c>
    </row>
    <row r="24" spans="1:7" x14ac:dyDescent="0.25">
      <c r="B24" s="100" t="s">
        <v>13</v>
      </c>
    </row>
    <row r="26" spans="1:7" ht="39" x14ac:dyDescent="0.25">
      <c r="A26" s="97" t="s">
        <v>417</v>
      </c>
      <c r="B26" s="97" t="s">
        <v>789</v>
      </c>
      <c r="C26" s="97" t="s">
        <v>790</v>
      </c>
      <c r="D26" s="97" t="s">
        <v>791</v>
      </c>
      <c r="E26" s="97" t="s">
        <v>792</v>
      </c>
      <c r="F26" s="97" t="s">
        <v>793</v>
      </c>
      <c r="G26" s="97" t="s">
        <v>794</v>
      </c>
    </row>
    <row r="27" spans="1:7" x14ac:dyDescent="0.25">
      <c r="A27" s="98">
        <v>20</v>
      </c>
      <c r="B27" s="99">
        <v>29.45</v>
      </c>
      <c r="C27" s="99">
        <v>7.03</v>
      </c>
      <c r="D27" s="99"/>
      <c r="E27" s="99"/>
      <c r="F27" s="99">
        <v>0</v>
      </c>
      <c r="G27" s="99">
        <v>0</v>
      </c>
    </row>
    <row r="28" spans="1:7" x14ac:dyDescent="0.25">
      <c r="A28" s="98">
        <v>21</v>
      </c>
      <c r="B28" s="99">
        <v>29.22</v>
      </c>
      <c r="C28" s="99">
        <v>6.97</v>
      </c>
      <c r="D28" s="99"/>
      <c r="E28" s="99"/>
      <c r="F28" s="99">
        <v>0</v>
      </c>
      <c r="G28" s="99">
        <v>0</v>
      </c>
    </row>
    <row r="29" spans="1:7" x14ac:dyDescent="0.25">
      <c r="A29" s="98">
        <v>22</v>
      </c>
      <c r="B29" s="99">
        <v>29</v>
      </c>
      <c r="C29" s="99">
        <v>6.9</v>
      </c>
      <c r="D29" s="99"/>
      <c r="E29" s="99"/>
      <c r="F29" s="99">
        <v>0</v>
      </c>
      <c r="G29" s="99">
        <v>0</v>
      </c>
    </row>
    <row r="30" spans="1:7" x14ac:dyDescent="0.25">
      <c r="A30" s="98">
        <v>23</v>
      </c>
      <c r="B30" s="99">
        <v>28.78</v>
      </c>
      <c r="C30" s="99">
        <v>6.83</v>
      </c>
      <c r="D30" s="99"/>
      <c r="E30" s="99"/>
      <c r="F30" s="99">
        <v>0</v>
      </c>
      <c r="G30" s="99">
        <v>0</v>
      </c>
    </row>
    <row r="31" spans="1:7" x14ac:dyDescent="0.25">
      <c r="A31" s="98">
        <v>24</v>
      </c>
      <c r="B31" s="99">
        <v>28.55</v>
      </c>
      <c r="C31" s="99">
        <v>6.75</v>
      </c>
      <c r="D31" s="99"/>
      <c r="E31" s="99"/>
      <c r="F31" s="99">
        <v>0</v>
      </c>
      <c r="G31" s="99">
        <v>0</v>
      </c>
    </row>
    <row r="32" spans="1:7" x14ac:dyDescent="0.25">
      <c r="A32" s="98">
        <v>25</v>
      </c>
      <c r="B32" s="99">
        <v>28.32</v>
      </c>
      <c r="C32" s="99">
        <v>6.68</v>
      </c>
      <c r="D32" s="99"/>
      <c r="E32" s="99"/>
      <c r="F32" s="99">
        <v>0</v>
      </c>
      <c r="G32" s="99">
        <v>0</v>
      </c>
    </row>
    <row r="33" spans="1:7" x14ac:dyDescent="0.25">
      <c r="A33" s="98">
        <v>26</v>
      </c>
      <c r="B33" s="99">
        <v>28.09</v>
      </c>
      <c r="C33" s="99">
        <v>6.6</v>
      </c>
      <c r="D33" s="99"/>
      <c r="E33" s="99"/>
      <c r="F33" s="99">
        <v>0</v>
      </c>
      <c r="G33" s="99">
        <v>0</v>
      </c>
    </row>
    <row r="34" spans="1:7" x14ac:dyDescent="0.25">
      <c r="A34" s="98">
        <v>27</v>
      </c>
      <c r="B34" s="99">
        <v>27.86</v>
      </c>
      <c r="C34" s="99">
        <v>6.52</v>
      </c>
      <c r="D34" s="99"/>
      <c r="E34" s="99"/>
      <c r="F34" s="99">
        <v>0</v>
      </c>
      <c r="G34" s="99">
        <v>0</v>
      </c>
    </row>
    <row r="35" spans="1:7" x14ac:dyDescent="0.25">
      <c r="A35" s="98">
        <v>28</v>
      </c>
      <c r="B35" s="99">
        <v>27.64</v>
      </c>
      <c r="C35" s="99">
        <v>6.44</v>
      </c>
      <c r="D35" s="99"/>
      <c r="E35" s="99"/>
      <c r="F35" s="99">
        <v>0</v>
      </c>
      <c r="G35" s="99">
        <v>0</v>
      </c>
    </row>
    <row r="36" spans="1:7" x14ac:dyDescent="0.25">
      <c r="A36" s="98">
        <v>29</v>
      </c>
      <c r="B36" s="99">
        <v>27.42</v>
      </c>
      <c r="C36" s="99">
        <v>6.35</v>
      </c>
      <c r="D36" s="99"/>
      <c r="E36" s="99"/>
      <c r="F36" s="99">
        <v>0</v>
      </c>
      <c r="G36" s="99">
        <v>0</v>
      </c>
    </row>
    <row r="37" spans="1:7" x14ac:dyDescent="0.25">
      <c r="A37" s="98">
        <v>30</v>
      </c>
      <c r="B37" s="99">
        <v>27.21</v>
      </c>
      <c r="C37" s="99">
        <v>6.25</v>
      </c>
      <c r="D37" s="99"/>
      <c r="E37" s="99"/>
      <c r="F37" s="99">
        <v>0</v>
      </c>
      <c r="G37" s="99">
        <v>0</v>
      </c>
    </row>
    <row r="38" spans="1:7" x14ac:dyDescent="0.25">
      <c r="A38" s="98">
        <v>31</v>
      </c>
      <c r="B38" s="99">
        <v>26.99</v>
      </c>
      <c r="C38" s="99">
        <v>6.14</v>
      </c>
      <c r="D38" s="99"/>
      <c r="E38" s="99"/>
      <c r="F38" s="99">
        <v>0</v>
      </c>
      <c r="G38" s="99">
        <v>0</v>
      </c>
    </row>
    <row r="39" spans="1:7" x14ac:dyDescent="0.25">
      <c r="A39" s="98">
        <v>32</v>
      </c>
      <c r="B39" s="99">
        <v>26.78</v>
      </c>
      <c r="C39" s="99">
        <v>6.04</v>
      </c>
      <c r="D39" s="99"/>
      <c r="E39" s="99"/>
      <c r="F39" s="99">
        <v>0</v>
      </c>
      <c r="G39" s="99">
        <v>0</v>
      </c>
    </row>
    <row r="40" spans="1:7" x14ac:dyDescent="0.25">
      <c r="A40" s="98">
        <v>33</v>
      </c>
      <c r="B40" s="99">
        <v>26.57</v>
      </c>
      <c r="C40" s="99">
        <v>5.93</v>
      </c>
      <c r="D40" s="99"/>
      <c r="E40" s="99"/>
      <c r="F40" s="99">
        <v>0</v>
      </c>
      <c r="G40" s="99">
        <v>0</v>
      </c>
    </row>
    <row r="41" spans="1:7" x14ac:dyDescent="0.25">
      <c r="A41" s="98">
        <v>34</v>
      </c>
      <c r="B41" s="99">
        <v>26.35</v>
      </c>
      <c r="C41" s="99">
        <v>5.81</v>
      </c>
      <c r="D41" s="99"/>
      <c r="E41" s="99"/>
      <c r="F41" s="99">
        <v>0</v>
      </c>
      <c r="G41" s="99">
        <v>0</v>
      </c>
    </row>
    <row r="42" spans="1:7" x14ac:dyDescent="0.25">
      <c r="A42" s="98">
        <v>35</v>
      </c>
      <c r="B42" s="99">
        <v>26.14</v>
      </c>
      <c r="C42" s="99">
        <v>5.7</v>
      </c>
      <c r="D42" s="99"/>
      <c r="E42" s="99"/>
      <c r="F42" s="99">
        <v>0</v>
      </c>
      <c r="G42" s="99">
        <v>0</v>
      </c>
    </row>
    <row r="43" spans="1:7" x14ac:dyDescent="0.25">
      <c r="A43" s="98">
        <v>36</v>
      </c>
      <c r="B43" s="99">
        <v>25.92</v>
      </c>
      <c r="C43" s="99">
        <v>5.58</v>
      </c>
      <c r="D43" s="99"/>
      <c r="E43" s="99"/>
      <c r="F43" s="99">
        <v>0</v>
      </c>
      <c r="G43" s="99">
        <v>0</v>
      </c>
    </row>
    <row r="44" spans="1:7" x14ac:dyDescent="0.25">
      <c r="A44" s="98">
        <v>37</v>
      </c>
      <c r="B44" s="99">
        <v>25.7</v>
      </c>
      <c r="C44" s="99">
        <v>5.46</v>
      </c>
      <c r="D44" s="99"/>
      <c r="E44" s="99"/>
      <c r="F44" s="99">
        <v>0</v>
      </c>
      <c r="G44" s="99">
        <v>0</v>
      </c>
    </row>
    <row r="45" spans="1:7" x14ac:dyDescent="0.25">
      <c r="A45" s="98">
        <v>38</v>
      </c>
      <c r="B45" s="99">
        <v>25.47</v>
      </c>
      <c r="C45" s="99">
        <v>5.34</v>
      </c>
      <c r="D45" s="99"/>
      <c r="E45" s="99"/>
      <c r="F45" s="99">
        <v>0</v>
      </c>
      <c r="G45" s="99">
        <v>0</v>
      </c>
    </row>
    <row r="46" spans="1:7" x14ac:dyDescent="0.25">
      <c r="A46" s="98">
        <v>39</v>
      </c>
      <c r="B46" s="99">
        <v>25.24</v>
      </c>
      <c r="C46" s="99">
        <v>5.23</v>
      </c>
      <c r="D46" s="99"/>
      <c r="E46" s="99"/>
      <c r="F46" s="99">
        <v>0</v>
      </c>
      <c r="G46" s="99">
        <v>0</v>
      </c>
    </row>
    <row r="47" spans="1:7" x14ac:dyDescent="0.25">
      <c r="A47" s="98">
        <v>40</v>
      </c>
      <c r="B47" s="99">
        <v>24.99</v>
      </c>
      <c r="C47" s="99">
        <v>5.1100000000000003</v>
      </c>
      <c r="D47" s="99"/>
      <c r="E47" s="99"/>
      <c r="F47" s="99">
        <v>0</v>
      </c>
      <c r="G47" s="99">
        <v>0</v>
      </c>
    </row>
    <row r="48" spans="1:7" x14ac:dyDescent="0.25">
      <c r="A48" s="98">
        <v>41</v>
      </c>
      <c r="B48" s="99">
        <v>24.74</v>
      </c>
      <c r="C48" s="99">
        <v>5</v>
      </c>
      <c r="D48" s="99"/>
      <c r="E48" s="99"/>
      <c r="F48" s="99">
        <v>0</v>
      </c>
      <c r="G48" s="99">
        <v>0</v>
      </c>
    </row>
    <row r="49" spans="1:7" x14ac:dyDescent="0.25">
      <c r="A49" s="98">
        <v>42</v>
      </c>
      <c r="B49" s="99">
        <v>24.48</v>
      </c>
      <c r="C49" s="99">
        <v>4.88</v>
      </c>
      <c r="D49" s="99"/>
      <c r="E49" s="99"/>
      <c r="F49" s="99">
        <v>0</v>
      </c>
      <c r="G49" s="99">
        <v>0</v>
      </c>
    </row>
    <row r="50" spans="1:7" x14ac:dyDescent="0.25">
      <c r="A50" s="98">
        <v>43</v>
      </c>
      <c r="B50" s="99">
        <v>24.21</v>
      </c>
      <c r="C50" s="99">
        <v>4.7699999999999996</v>
      </c>
      <c r="D50" s="99"/>
      <c r="E50" s="99"/>
      <c r="F50" s="99">
        <v>0</v>
      </c>
      <c r="G50" s="99">
        <v>0</v>
      </c>
    </row>
    <row r="51" spans="1:7" x14ac:dyDescent="0.25">
      <c r="A51" s="98">
        <v>44</v>
      </c>
      <c r="B51" s="99">
        <v>23.93</v>
      </c>
      <c r="C51" s="99">
        <v>4.6500000000000004</v>
      </c>
      <c r="D51" s="99"/>
      <c r="E51" s="99"/>
      <c r="F51" s="99">
        <v>0</v>
      </c>
      <c r="G51" s="99">
        <v>0</v>
      </c>
    </row>
    <row r="52" spans="1:7" x14ac:dyDescent="0.25">
      <c r="A52" s="98">
        <v>45</v>
      </c>
      <c r="B52" s="99">
        <v>23.64</v>
      </c>
      <c r="C52" s="99">
        <v>4.54</v>
      </c>
      <c r="D52" s="99"/>
      <c r="E52" s="99"/>
      <c r="F52" s="99">
        <v>0</v>
      </c>
      <c r="G52" s="99">
        <v>0</v>
      </c>
    </row>
    <row r="53" spans="1:7" x14ac:dyDescent="0.25">
      <c r="A53" s="98">
        <v>46</v>
      </c>
      <c r="B53" s="99">
        <v>23.35</v>
      </c>
      <c r="C53" s="99">
        <v>4.43</v>
      </c>
      <c r="D53" s="99"/>
      <c r="E53" s="99"/>
      <c r="F53" s="99">
        <v>0</v>
      </c>
      <c r="G53" s="99">
        <v>0</v>
      </c>
    </row>
    <row r="54" spans="1:7" x14ac:dyDescent="0.25">
      <c r="A54" s="98">
        <v>47</v>
      </c>
      <c r="B54" s="99">
        <v>23.05</v>
      </c>
      <c r="C54" s="99">
        <v>4.3099999999999996</v>
      </c>
      <c r="D54" s="99"/>
      <c r="E54" s="99"/>
      <c r="F54" s="99">
        <v>0</v>
      </c>
      <c r="G54" s="99">
        <v>0</v>
      </c>
    </row>
    <row r="55" spans="1:7" x14ac:dyDescent="0.25">
      <c r="A55" s="98">
        <v>48</v>
      </c>
      <c r="B55" s="99">
        <v>22.74</v>
      </c>
      <c r="C55" s="99">
        <v>4.2</v>
      </c>
      <c r="D55" s="99"/>
      <c r="E55" s="99"/>
      <c r="F55" s="99">
        <v>0</v>
      </c>
      <c r="G55" s="99">
        <v>0</v>
      </c>
    </row>
    <row r="56" spans="1:7" x14ac:dyDescent="0.25">
      <c r="A56" s="98">
        <v>49</v>
      </c>
      <c r="B56" s="99">
        <v>22.41</v>
      </c>
      <c r="C56" s="99">
        <v>4.0999999999999996</v>
      </c>
      <c r="D56" s="99"/>
      <c r="E56" s="99"/>
      <c r="F56" s="99">
        <v>0</v>
      </c>
      <c r="G56" s="99">
        <v>0</v>
      </c>
    </row>
    <row r="57" spans="1:7" x14ac:dyDescent="0.25">
      <c r="A57" s="98">
        <v>50</v>
      </c>
      <c r="B57" s="99">
        <v>22.07</v>
      </c>
      <c r="C57" s="99">
        <v>4</v>
      </c>
      <c r="D57" s="99"/>
      <c r="E57" s="99"/>
      <c r="F57" s="99">
        <v>0</v>
      </c>
      <c r="G57" s="99">
        <v>0</v>
      </c>
    </row>
    <row r="58" spans="1:7" x14ac:dyDescent="0.25">
      <c r="A58" s="98">
        <v>51</v>
      </c>
      <c r="B58" s="99">
        <v>21.71</v>
      </c>
      <c r="C58" s="99">
        <v>3.9</v>
      </c>
      <c r="D58" s="99"/>
      <c r="E58" s="99"/>
      <c r="F58" s="99">
        <v>0</v>
      </c>
      <c r="G58" s="99">
        <v>0</v>
      </c>
    </row>
    <row r="59" spans="1:7" x14ac:dyDescent="0.25">
      <c r="A59" s="98">
        <v>52</v>
      </c>
      <c r="B59" s="99">
        <v>21.34</v>
      </c>
      <c r="C59" s="99">
        <v>3.8</v>
      </c>
      <c r="D59" s="99"/>
      <c r="E59" s="99"/>
      <c r="F59" s="99">
        <v>0</v>
      </c>
      <c r="G59" s="99">
        <v>0</v>
      </c>
    </row>
    <row r="60" spans="1:7" x14ac:dyDescent="0.25">
      <c r="A60" s="98">
        <v>53</v>
      </c>
      <c r="B60" s="99">
        <v>20.96</v>
      </c>
      <c r="C60" s="99">
        <v>3.71</v>
      </c>
      <c r="D60" s="99"/>
      <c r="E60" s="99"/>
      <c r="F60" s="99">
        <v>0</v>
      </c>
      <c r="G60" s="99">
        <v>0</v>
      </c>
    </row>
    <row r="61" spans="1:7" x14ac:dyDescent="0.25">
      <c r="A61" s="98">
        <v>54</v>
      </c>
      <c r="B61" s="99">
        <v>20.56</v>
      </c>
      <c r="C61" s="99">
        <v>3.63</v>
      </c>
      <c r="D61" s="99"/>
      <c r="E61" s="99"/>
      <c r="F61" s="99">
        <v>0</v>
      </c>
      <c r="G61" s="99">
        <v>0</v>
      </c>
    </row>
    <row r="62" spans="1:7" x14ac:dyDescent="0.25">
      <c r="A62" s="98">
        <v>55</v>
      </c>
      <c r="B62" s="99">
        <v>20.149999999999999</v>
      </c>
      <c r="C62" s="99">
        <v>3.55</v>
      </c>
      <c r="D62" s="99"/>
      <c r="E62" s="99"/>
      <c r="F62" s="99">
        <v>0</v>
      </c>
      <c r="G62" s="99">
        <v>0</v>
      </c>
    </row>
    <row r="63" spans="1:7" x14ac:dyDescent="0.25">
      <c r="A63" s="98">
        <v>56</v>
      </c>
      <c r="B63" s="99">
        <v>19.72</v>
      </c>
      <c r="C63" s="99">
        <v>3.47</v>
      </c>
      <c r="D63" s="99"/>
      <c r="E63" s="99"/>
      <c r="F63" s="99">
        <v>0</v>
      </c>
      <c r="G63" s="99">
        <v>0</v>
      </c>
    </row>
    <row r="64" spans="1:7" x14ac:dyDescent="0.25">
      <c r="A64" s="98">
        <v>57</v>
      </c>
      <c r="B64" s="99">
        <v>19.28</v>
      </c>
      <c r="C64" s="99">
        <v>3.4</v>
      </c>
      <c r="D64" s="99"/>
      <c r="E64" s="99"/>
      <c r="F64" s="99">
        <v>0</v>
      </c>
      <c r="G64" s="99">
        <v>0</v>
      </c>
    </row>
    <row r="65" spans="1:7" x14ac:dyDescent="0.25">
      <c r="A65" s="98">
        <v>58</v>
      </c>
      <c r="B65" s="99">
        <v>18.82</v>
      </c>
      <c r="C65" s="99">
        <v>3.33</v>
      </c>
      <c r="D65" s="99"/>
      <c r="E65" s="99"/>
      <c r="F65" s="99">
        <v>0</v>
      </c>
      <c r="G65" s="99">
        <v>0</v>
      </c>
    </row>
    <row r="66" spans="1:7" x14ac:dyDescent="0.25">
      <c r="A66" s="98">
        <v>59</v>
      </c>
      <c r="B66" s="99">
        <v>18.350000000000001</v>
      </c>
      <c r="C66" s="99">
        <v>3.26</v>
      </c>
      <c r="D66" s="99"/>
      <c r="E66" s="99"/>
      <c r="F66" s="99">
        <v>0</v>
      </c>
      <c r="G66" s="99">
        <v>0</v>
      </c>
    </row>
    <row r="67" spans="1:7" x14ac:dyDescent="0.25">
      <c r="A67" s="98">
        <v>60</v>
      </c>
      <c r="B67" s="99">
        <v>17.87</v>
      </c>
      <c r="C67" s="99">
        <v>3.2</v>
      </c>
      <c r="D67" s="99"/>
      <c r="E67" s="99"/>
      <c r="F67" s="99">
        <v>0</v>
      </c>
      <c r="G67" s="99">
        <v>0</v>
      </c>
    </row>
    <row r="68" spans="1:7" x14ac:dyDescent="0.25">
      <c r="A68" s="98">
        <v>61</v>
      </c>
      <c r="B68" s="99">
        <v>17.37</v>
      </c>
      <c r="C68" s="99">
        <v>3.14</v>
      </c>
      <c r="D68" s="99"/>
      <c r="E68" s="99"/>
      <c r="F68" s="99">
        <v>0</v>
      </c>
      <c r="G68" s="99">
        <v>0</v>
      </c>
    </row>
    <row r="69" spans="1:7" x14ac:dyDescent="0.25">
      <c r="A69" s="98">
        <v>62</v>
      </c>
      <c r="B69" s="99">
        <v>16.86</v>
      </c>
      <c r="C69" s="99">
        <v>3.08</v>
      </c>
      <c r="D69" s="99"/>
      <c r="E69" s="99"/>
      <c r="F69" s="99">
        <v>0</v>
      </c>
      <c r="G69" s="99">
        <v>0</v>
      </c>
    </row>
    <row r="70" spans="1:7" x14ac:dyDescent="0.25">
      <c r="A70" s="98">
        <v>63</v>
      </c>
      <c r="B70" s="99">
        <v>16.329999999999998</v>
      </c>
      <c r="C70" s="99">
        <v>3.03</v>
      </c>
      <c r="D70" s="99"/>
      <c r="E70" s="99"/>
      <c r="F70" s="99">
        <v>0</v>
      </c>
      <c r="G70" s="99">
        <v>0</v>
      </c>
    </row>
    <row r="71" spans="1:7" x14ac:dyDescent="0.25">
      <c r="A71" s="98">
        <v>64</v>
      </c>
      <c r="B71" s="99">
        <v>15.79</v>
      </c>
      <c r="C71" s="99">
        <v>2.98</v>
      </c>
      <c r="D71" s="99"/>
      <c r="E71" s="99"/>
      <c r="F71" s="99">
        <v>0</v>
      </c>
      <c r="G71" s="99">
        <v>0</v>
      </c>
    </row>
    <row r="72" spans="1:7" x14ac:dyDescent="0.25">
      <c r="A72" s="98">
        <v>65</v>
      </c>
      <c r="B72" s="99">
        <v>15.24</v>
      </c>
      <c r="C72" s="99">
        <v>2.93</v>
      </c>
      <c r="D72" s="99"/>
      <c r="E72" s="99"/>
      <c r="F72" s="99">
        <v>0</v>
      </c>
      <c r="G72" s="99">
        <v>0</v>
      </c>
    </row>
    <row r="73" spans="1:7" x14ac:dyDescent="0.25">
      <c r="A73" s="98">
        <v>66</v>
      </c>
      <c r="B73" s="99">
        <v>14.68</v>
      </c>
      <c r="C73" s="99">
        <v>2.88</v>
      </c>
      <c r="D73" s="99"/>
      <c r="E73" s="99"/>
      <c r="F73" s="99">
        <v>0</v>
      </c>
      <c r="G73" s="99">
        <v>0</v>
      </c>
    </row>
    <row r="74" spans="1:7" x14ac:dyDescent="0.25">
      <c r="A74" s="98">
        <v>67</v>
      </c>
      <c r="B74" s="99">
        <v>14.11</v>
      </c>
      <c r="C74" s="99">
        <v>2.84</v>
      </c>
      <c r="D74" s="99"/>
      <c r="E74" s="99"/>
      <c r="F74" s="99">
        <v>0</v>
      </c>
      <c r="G74" s="99">
        <v>0</v>
      </c>
    </row>
    <row r="75" spans="1:7" x14ac:dyDescent="0.25">
      <c r="A75" s="98">
        <v>68</v>
      </c>
      <c r="B75" s="99">
        <v>13.53</v>
      </c>
      <c r="C75" s="99">
        <v>2.8</v>
      </c>
      <c r="D75" s="99"/>
      <c r="E75" s="99"/>
      <c r="F75" s="99">
        <v>0</v>
      </c>
      <c r="G75" s="99">
        <v>0</v>
      </c>
    </row>
    <row r="76" spans="1:7" x14ac:dyDescent="0.25">
      <c r="A76" s="98">
        <v>69</v>
      </c>
      <c r="B76" s="99">
        <v>12.95</v>
      </c>
      <c r="C76" s="99">
        <v>2.67</v>
      </c>
      <c r="D76" s="99">
        <v>2.37</v>
      </c>
      <c r="E76" s="99">
        <v>2.12</v>
      </c>
      <c r="F76" s="99">
        <v>0</v>
      </c>
      <c r="G76" s="99">
        <v>0</v>
      </c>
    </row>
    <row r="77" spans="1:7" x14ac:dyDescent="0.25">
      <c r="A77" s="98">
        <v>70</v>
      </c>
      <c r="B77" s="99">
        <v>12.36</v>
      </c>
      <c r="C77" s="99">
        <v>2.54</v>
      </c>
      <c r="D77" s="99">
        <v>2.19</v>
      </c>
      <c r="E77" s="99">
        <v>1.95</v>
      </c>
      <c r="F77" s="99">
        <v>0</v>
      </c>
      <c r="G77" s="99">
        <v>0</v>
      </c>
    </row>
    <row r="78" spans="1:7" x14ac:dyDescent="0.25">
      <c r="A78" s="98">
        <v>71</v>
      </c>
      <c r="B78" s="99">
        <v>11.76</v>
      </c>
      <c r="C78" s="99">
        <v>2.5</v>
      </c>
      <c r="D78" s="99">
        <v>2.02</v>
      </c>
      <c r="E78" s="99">
        <v>1.78</v>
      </c>
      <c r="F78" s="99">
        <v>0</v>
      </c>
      <c r="G78" s="99">
        <v>0</v>
      </c>
    </row>
    <row r="79" spans="1:7" x14ac:dyDescent="0.25">
      <c r="A79" s="98">
        <v>72</v>
      </c>
      <c r="B79" s="99">
        <v>11.18</v>
      </c>
      <c r="C79" s="99">
        <v>2.46</v>
      </c>
      <c r="D79" s="99">
        <v>1.87</v>
      </c>
      <c r="E79" s="99">
        <v>1.63</v>
      </c>
      <c r="F79" s="99">
        <v>0</v>
      </c>
      <c r="G79" s="99">
        <v>0</v>
      </c>
    </row>
    <row r="80" spans="1:7" x14ac:dyDescent="0.25">
      <c r="A80" s="98">
        <v>73</v>
      </c>
      <c r="B80" s="99">
        <v>10.59</v>
      </c>
      <c r="C80" s="99">
        <v>2.41</v>
      </c>
      <c r="D80" s="99">
        <v>1.72</v>
      </c>
      <c r="E80" s="99">
        <v>1.48</v>
      </c>
      <c r="F80" s="99">
        <v>0</v>
      </c>
      <c r="G80" s="99">
        <v>0</v>
      </c>
    </row>
    <row r="81" spans="1:7" x14ac:dyDescent="0.25">
      <c r="A81" s="98">
        <v>74</v>
      </c>
      <c r="B81" s="99">
        <v>10.01</v>
      </c>
      <c r="C81" s="99">
        <v>2.2200000000000002</v>
      </c>
      <c r="D81" s="99">
        <v>1.55</v>
      </c>
      <c r="E81" s="99">
        <v>1.34</v>
      </c>
      <c r="F81" s="99">
        <v>0</v>
      </c>
      <c r="G81" s="99">
        <v>0</v>
      </c>
    </row>
    <row r="82" spans="1:7" x14ac:dyDescent="0.25">
      <c r="A82" s="98">
        <v>75</v>
      </c>
      <c r="B82" s="99">
        <v>9.44</v>
      </c>
      <c r="C82" s="99">
        <v>2.0299999999999998</v>
      </c>
      <c r="D82" s="99">
        <v>1.4</v>
      </c>
      <c r="E82" s="99">
        <v>1.21</v>
      </c>
      <c r="F82" s="99">
        <v>0</v>
      </c>
      <c r="G82" s="99">
        <v>0</v>
      </c>
    </row>
    <row r="83" spans="1:7" x14ac:dyDescent="0.25">
      <c r="A83" s="98">
        <v>76</v>
      </c>
      <c r="B83" s="99">
        <v>8.8699999999999992</v>
      </c>
      <c r="C83" s="99">
        <v>1.98</v>
      </c>
      <c r="D83" s="99">
        <v>1.27</v>
      </c>
      <c r="E83" s="99">
        <v>1.08</v>
      </c>
      <c r="F83" s="99">
        <v>0</v>
      </c>
      <c r="G83" s="99">
        <v>0</v>
      </c>
    </row>
    <row r="84" spans="1:7" x14ac:dyDescent="0.25">
      <c r="A84" s="98">
        <v>77</v>
      </c>
      <c r="B84" s="99">
        <v>8.32</v>
      </c>
      <c r="C84" s="99">
        <v>1.93</v>
      </c>
      <c r="D84" s="99">
        <v>1.1499999999999999</v>
      </c>
      <c r="E84" s="99">
        <v>0.97</v>
      </c>
      <c r="F84" s="99">
        <v>0</v>
      </c>
      <c r="G84" s="99">
        <v>0</v>
      </c>
    </row>
    <row r="85" spans="1:7" x14ac:dyDescent="0.25">
      <c r="A85" s="98">
        <v>78</v>
      </c>
      <c r="B85" s="99">
        <v>7.79</v>
      </c>
      <c r="C85" s="99">
        <v>1.88</v>
      </c>
      <c r="D85" s="99">
        <v>1.04</v>
      </c>
      <c r="E85" s="99">
        <v>0.86</v>
      </c>
      <c r="F85" s="99">
        <v>0</v>
      </c>
      <c r="G85" s="99">
        <v>0</v>
      </c>
    </row>
    <row r="86" spans="1:7" x14ac:dyDescent="0.25">
      <c r="A86" s="98">
        <v>79</v>
      </c>
      <c r="B86" s="99">
        <v>7.27</v>
      </c>
      <c r="C86" s="99">
        <v>1.66</v>
      </c>
      <c r="D86" s="99">
        <v>0.91</v>
      </c>
      <c r="E86" s="99">
        <v>0.76</v>
      </c>
      <c r="F86" s="99">
        <v>0</v>
      </c>
      <c r="G86" s="99">
        <v>0</v>
      </c>
    </row>
    <row r="87" spans="1:7" x14ac:dyDescent="0.25">
      <c r="A87" s="98">
        <v>80</v>
      </c>
      <c r="B87" s="99">
        <v>6.77</v>
      </c>
      <c r="C87" s="99">
        <v>1.44</v>
      </c>
      <c r="D87" s="99">
        <v>0.79</v>
      </c>
      <c r="E87" s="99">
        <v>0.67</v>
      </c>
      <c r="F87" s="99">
        <v>0</v>
      </c>
      <c r="G87" s="99">
        <v>0</v>
      </c>
    </row>
    <row r="88" spans="1:7" x14ac:dyDescent="0.25">
      <c r="A88" s="98">
        <v>81</v>
      </c>
      <c r="B88" s="99">
        <v>6.3</v>
      </c>
      <c r="C88" s="99">
        <v>1.39</v>
      </c>
      <c r="D88" s="99">
        <v>0.71</v>
      </c>
      <c r="E88" s="99">
        <v>0.59</v>
      </c>
      <c r="F88" s="99">
        <v>0</v>
      </c>
      <c r="G88" s="99">
        <v>0</v>
      </c>
    </row>
    <row r="89" spans="1:7" x14ac:dyDescent="0.25">
      <c r="A89" s="98">
        <v>82</v>
      </c>
      <c r="B89" s="99">
        <v>5.84</v>
      </c>
      <c r="C89" s="99">
        <v>1.33</v>
      </c>
      <c r="D89" s="99">
        <v>0.63</v>
      </c>
      <c r="E89" s="99">
        <v>0.51</v>
      </c>
      <c r="F89" s="99">
        <v>0</v>
      </c>
      <c r="G89" s="99">
        <v>0</v>
      </c>
    </row>
    <row r="90" spans="1:7" x14ac:dyDescent="0.25">
      <c r="A90" s="98">
        <v>83</v>
      </c>
      <c r="B90" s="99">
        <v>5.4</v>
      </c>
      <c r="C90" s="99">
        <v>1.28</v>
      </c>
      <c r="D90" s="99">
        <v>0.56000000000000005</v>
      </c>
      <c r="E90" s="99">
        <v>0.45</v>
      </c>
      <c r="F90" s="99">
        <v>0</v>
      </c>
      <c r="G90" s="99">
        <v>0</v>
      </c>
    </row>
    <row r="91" spans="1:7" x14ac:dyDescent="0.25">
      <c r="A91" s="98">
        <v>84</v>
      </c>
      <c r="B91" s="99">
        <v>4.99</v>
      </c>
      <c r="C91" s="99">
        <v>1.08</v>
      </c>
      <c r="D91" s="99">
        <v>0.47</v>
      </c>
      <c r="E91" s="99">
        <v>0.39</v>
      </c>
      <c r="F91" s="99">
        <v>0</v>
      </c>
      <c r="G91" s="99">
        <v>0</v>
      </c>
    </row>
    <row r="92" spans="1:7" x14ac:dyDescent="0.25">
      <c r="A92" s="98">
        <v>85</v>
      </c>
      <c r="B92" s="99">
        <v>4.5999999999999996</v>
      </c>
      <c r="C92" s="99">
        <v>0.88</v>
      </c>
      <c r="D92" s="99">
        <v>0.39</v>
      </c>
      <c r="E92" s="99">
        <v>0.33</v>
      </c>
      <c r="F92" s="99">
        <v>0</v>
      </c>
      <c r="G92" s="99">
        <v>0</v>
      </c>
    </row>
    <row r="93" spans="1:7" x14ac:dyDescent="0.25">
      <c r="A93" s="98">
        <v>86</v>
      </c>
      <c r="B93" s="99">
        <v>4.2300000000000004</v>
      </c>
      <c r="C93" s="99">
        <v>0.84</v>
      </c>
      <c r="D93" s="99">
        <v>0.34</v>
      </c>
      <c r="E93" s="99">
        <v>0.28999999999999998</v>
      </c>
      <c r="F93" s="99">
        <v>0</v>
      </c>
      <c r="G93" s="99">
        <v>0</v>
      </c>
    </row>
    <row r="94" spans="1:7" x14ac:dyDescent="0.25">
      <c r="A94" s="98">
        <v>87</v>
      </c>
      <c r="B94" s="99">
        <v>3.88</v>
      </c>
      <c r="C94" s="99">
        <v>0.79</v>
      </c>
      <c r="D94" s="99">
        <v>0.3</v>
      </c>
      <c r="E94" s="99">
        <v>0.24</v>
      </c>
      <c r="F94" s="99">
        <v>0</v>
      </c>
      <c r="G94" s="99">
        <v>0</v>
      </c>
    </row>
    <row r="95" spans="1:7" x14ac:dyDescent="0.25">
      <c r="A95" s="98">
        <v>88</v>
      </c>
      <c r="B95" s="99">
        <v>3.56</v>
      </c>
      <c r="C95" s="99">
        <v>0.75</v>
      </c>
      <c r="D95" s="99">
        <v>0.26</v>
      </c>
      <c r="E95" s="99">
        <v>0.21</v>
      </c>
      <c r="F95" s="99">
        <v>0</v>
      </c>
      <c r="G95" s="99">
        <v>0</v>
      </c>
    </row>
    <row r="96" spans="1:7" x14ac:dyDescent="0.25">
      <c r="A96" s="98">
        <v>89</v>
      </c>
      <c r="B96" s="99">
        <v>3.25</v>
      </c>
      <c r="C96" s="99">
        <v>0.59</v>
      </c>
      <c r="D96" s="99">
        <v>0.21</v>
      </c>
      <c r="E96" s="99">
        <v>0.18</v>
      </c>
      <c r="F96" s="99">
        <v>0</v>
      </c>
      <c r="G96" s="99">
        <v>0</v>
      </c>
    </row>
    <row r="97" spans="1:7" x14ac:dyDescent="0.25">
      <c r="A97" s="98">
        <v>90</v>
      </c>
      <c r="B97" s="99">
        <v>2.97</v>
      </c>
      <c r="C97" s="99">
        <v>0.44</v>
      </c>
      <c r="D97" s="99">
        <v>0.17</v>
      </c>
      <c r="E97" s="99">
        <v>0.15</v>
      </c>
      <c r="F97" s="99">
        <v>0</v>
      </c>
      <c r="G97" s="99">
        <v>0</v>
      </c>
    </row>
    <row r="98" spans="1:7" x14ac:dyDescent="0.25">
      <c r="A98" s="98">
        <v>91</v>
      </c>
      <c r="B98" s="99">
        <v>2.72</v>
      </c>
      <c r="C98" s="99">
        <v>0.41</v>
      </c>
      <c r="D98" s="99">
        <v>0.15</v>
      </c>
      <c r="E98" s="99">
        <v>0.13</v>
      </c>
      <c r="F98" s="99">
        <v>0</v>
      </c>
      <c r="G98" s="99">
        <v>0</v>
      </c>
    </row>
    <row r="99" spans="1:7" x14ac:dyDescent="0.25">
      <c r="A99" s="98">
        <v>92</v>
      </c>
      <c r="B99" s="99">
        <v>2.48</v>
      </c>
      <c r="C99" s="99">
        <v>0.38</v>
      </c>
      <c r="D99" s="99">
        <v>0.12</v>
      </c>
      <c r="E99" s="99">
        <v>0.11</v>
      </c>
      <c r="F99" s="99">
        <v>0</v>
      </c>
      <c r="G99" s="99">
        <v>0</v>
      </c>
    </row>
    <row r="100" spans="1:7" x14ac:dyDescent="0.25">
      <c r="A100" s="98">
        <v>93</v>
      </c>
      <c r="B100" s="99">
        <v>2.27</v>
      </c>
      <c r="C100" s="99">
        <v>0.36</v>
      </c>
      <c r="D100" s="99">
        <v>0.11</v>
      </c>
      <c r="E100" s="99">
        <v>0.09</v>
      </c>
      <c r="F100" s="99">
        <v>0</v>
      </c>
      <c r="G100" s="99">
        <v>0</v>
      </c>
    </row>
    <row r="101" spans="1:7" x14ac:dyDescent="0.25">
      <c r="A101" s="98">
        <v>94</v>
      </c>
      <c r="B101" s="99">
        <v>2.08</v>
      </c>
      <c r="C101" s="99">
        <v>0.33</v>
      </c>
      <c r="D101" s="99">
        <v>0.09</v>
      </c>
      <c r="E101" s="99">
        <v>7.0000000000000007E-2</v>
      </c>
      <c r="F101" s="99">
        <v>0</v>
      </c>
      <c r="G101" s="99">
        <v>0</v>
      </c>
    </row>
    <row r="102" spans="1:7" x14ac:dyDescent="0.25">
      <c r="A102" s="98">
        <v>95</v>
      </c>
      <c r="B102" s="99">
        <v>1.9</v>
      </c>
      <c r="C102" s="99">
        <v>0.31</v>
      </c>
      <c r="D102" s="99">
        <v>0.08</v>
      </c>
      <c r="E102" s="99">
        <v>0.06</v>
      </c>
      <c r="F102" s="99">
        <v>0</v>
      </c>
      <c r="G102" s="99">
        <v>0</v>
      </c>
    </row>
  </sheetData>
  <sheetProtection algorithmName="SHA-512" hashValue="Xvf1qLENtE040xxC5QDWHwE4tgd6gffsOgVXAIV2UvBsPCVe4Kqxx0DBwk7NNH549DF5Yr8UDLjuiI7+XY1TMA==" saltValue="7eDqWBccrTHQtPRZEn+M+g==" spinCount="100000" sheet="1" objects="1" scenarios="1"/>
  <conditionalFormatting sqref="A6:A21">
    <cfRule type="expression" dxfId="999" priority="13" stopIfTrue="1">
      <formula>MOD(ROW(),2)=0</formula>
    </cfRule>
    <cfRule type="expression" dxfId="998" priority="14" stopIfTrue="1">
      <formula>MOD(ROW(),2)&lt;&gt;0</formula>
    </cfRule>
  </conditionalFormatting>
  <conditionalFormatting sqref="A26:A102">
    <cfRule type="expression" dxfId="997" priority="5" stopIfTrue="1">
      <formula>MOD(ROW(),2)=0</formula>
    </cfRule>
    <cfRule type="expression" dxfId="996" priority="6" stopIfTrue="1">
      <formula>MOD(ROW(),2)&lt;&gt;0</formula>
    </cfRule>
  </conditionalFormatting>
  <conditionalFormatting sqref="B17:B21">
    <cfRule type="expression" dxfId="995" priority="1" stopIfTrue="1">
      <formula>MOD(ROW(),2)=0</formula>
    </cfRule>
    <cfRule type="expression" dxfId="994" priority="2" stopIfTrue="1">
      <formula>MOD(ROW(),2)&lt;&gt;0</formula>
    </cfRule>
  </conditionalFormatting>
  <conditionalFormatting sqref="B6:G21">
    <cfRule type="expression" dxfId="993" priority="21" stopIfTrue="1">
      <formula>MOD(ROW(),2)=0</formula>
    </cfRule>
    <cfRule type="expression" dxfId="992" priority="22" stopIfTrue="1">
      <formula>MOD(ROW(),2)&lt;&gt;0</formula>
    </cfRule>
  </conditionalFormatting>
  <conditionalFormatting sqref="B26:G102">
    <cfRule type="expression" dxfId="991" priority="7" stopIfTrue="1">
      <formula>MOD(ROW(),2)=0</formula>
    </cfRule>
    <cfRule type="expression" dxfId="990" priority="8" stopIfTrue="1">
      <formula>MOD(ROW(),2)&lt;&gt;0</formula>
    </cfRule>
  </conditionalFormatting>
  <hyperlinks>
    <hyperlink ref="B24" location="Assumptions!A1" display="Assumptions" xr:uid="{181F64DF-7797-43AA-8E49-617E02DABA0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1"/>
  <sheetViews>
    <sheetView showGridLines="0" topLeftCell="A25" zoomScale="85" zoomScaleNormal="85" workbookViewId="0">
      <selection activeCell="A3" sqref="A3"/>
    </sheetView>
  </sheetViews>
  <sheetFormatPr defaultRowHeight="12.5" x14ac:dyDescent="0.25"/>
  <cols>
    <col min="1" max="1" width="66.6328125" customWidth="1"/>
    <col min="2" max="2" width="3.453125" customWidth="1"/>
    <col min="3" max="3" width="62.54296875" customWidth="1"/>
    <col min="257" max="257" width="66.6328125" customWidth="1"/>
    <col min="258" max="258" width="3.453125" customWidth="1"/>
    <col min="259" max="259" width="62.54296875" customWidth="1"/>
    <col min="513" max="513" width="66.6328125" customWidth="1"/>
    <col min="514" max="514" width="3.453125" customWidth="1"/>
    <col min="515" max="515" width="62.54296875" customWidth="1"/>
    <col min="769" max="769" width="66.6328125" customWidth="1"/>
    <col min="770" max="770" width="3.453125" customWidth="1"/>
    <col min="771" max="771" width="62.54296875" customWidth="1"/>
    <col min="1025" max="1025" width="66.6328125" customWidth="1"/>
    <col min="1026" max="1026" width="3.453125" customWidth="1"/>
    <col min="1027" max="1027" width="62.54296875" customWidth="1"/>
    <col min="1281" max="1281" width="66.6328125" customWidth="1"/>
    <col min="1282" max="1282" width="3.453125" customWidth="1"/>
    <col min="1283" max="1283" width="62.54296875" customWidth="1"/>
    <col min="1537" max="1537" width="66.6328125" customWidth="1"/>
    <col min="1538" max="1538" width="3.453125" customWidth="1"/>
    <col min="1539" max="1539" width="62.54296875" customWidth="1"/>
    <col min="1793" max="1793" width="66.6328125" customWidth="1"/>
    <col min="1794" max="1794" width="3.453125" customWidth="1"/>
    <col min="1795" max="1795" width="62.54296875" customWidth="1"/>
    <col min="2049" max="2049" width="66.6328125" customWidth="1"/>
    <col min="2050" max="2050" width="3.453125" customWidth="1"/>
    <col min="2051" max="2051" width="62.54296875" customWidth="1"/>
    <col min="2305" max="2305" width="66.6328125" customWidth="1"/>
    <col min="2306" max="2306" width="3.453125" customWidth="1"/>
    <col min="2307" max="2307" width="62.54296875" customWidth="1"/>
    <col min="2561" max="2561" width="66.6328125" customWidth="1"/>
    <col min="2562" max="2562" width="3.453125" customWidth="1"/>
    <col min="2563" max="2563" width="62.54296875" customWidth="1"/>
    <col min="2817" max="2817" width="66.6328125" customWidth="1"/>
    <col min="2818" max="2818" width="3.453125" customWidth="1"/>
    <col min="2819" max="2819" width="62.54296875" customWidth="1"/>
    <col min="3073" max="3073" width="66.6328125" customWidth="1"/>
    <col min="3074" max="3074" width="3.453125" customWidth="1"/>
    <col min="3075" max="3075" width="62.54296875" customWidth="1"/>
    <col min="3329" max="3329" width="66.6328125" customWidth="1"/>
    <col min="3330" max="3330" width="3.453125" customWidth="1"/>
    <col min="3331" max="3331" width="62.54296875" customWidth="1"/>
    <col min="3585" max="3585" width="66.6328125" customWidth="1"/>
    <col min="3586" max="3586" width="3.453125" customWidth="1"/>
    <col min="3587" max="3587" width="62.54296875" customWidth="1"/>
    <col min="3841" max="3841" width="66.6328125" customWidth="1"/>
    <col min="3842" max="3842" width="3.453125" customWidth="1"/>
    <col min="3843" max="3843" width="62.54296875" customWidth="1"/>
    <col min="4097" max="4097" width="66.6328125" customWidth="1"/>
    <col min="4098" max="4098" width="3.453125" customWidth="1"/>
    <col min="4099" max="4099" width="62.54296875" customWidth="1"/>
    <col min="4353" max="4353" width="66.6328125" customWidth="1"/>
    <col min="4354" max="4354" width="3.453125" customWidth="1"/>
    <col min="4355" max="4355" width="62.54296875" customWidth="1"/>
    <col min="4609" max="4609" width="66.6328125" customWidth="1"/>
    <col min="4610" max="4610" width="3.453125" customWidth="1"/>
    <col min="4611" max="4611" width="62.54296875" customWidth="1"/>
    <col min="4865" max="4865" width="66.6328125" customWidth="1"/>
    <col min="4866" max="4866" width="3.453125" customWidth="1"/>
    <col min="4867" max="4867" width="62.54296875" customWidth="1"/>
    <col min="5121" max="5121" width="66.6328125" customWidth="1"/>
    <col min="5122" max="5122" width="3.453125" customWidth="1"/>
    <col min="5123" max="5123" width="62.54296875" customWidth="1"/>
    <col min="5377" max="5377" width="66.6328125" customWidth="1"/>
    <col min="5378" max="5378" width="3.453125" customWidth="1"/>
    <col min="5379" max="5379" width="62.54296875" customWidth="1"/>
    <col min="5633" max="5633" width="66.6328125" customWidth="1"/>
    <col min="5634" max="5634" width="3.453125" customWidth="1"/>
    <col min="5635" max="5635" width="62.54296875" customWidth="1"/>
    <col min="5889" max="5889" width="66.6328125" customWidth="1"/>
    <col min="5890" max="5890" width="3.453125" customWidth="1"/>
    <col min="5891" max="5891" width="62.54296875" customWidth="1"/>
    <col min="6145" max="6145" width="66.6328125" customWidth="1"/>
    <col min="6146" max="6146" width="3.453125" customWidth="1"/>
    <col min="6147" max="6147" width="62.54296875" customWidth="1"/>
    <col min="6401" max="6401" width="66.6328125" customWidth="1"/>
    <col min="6402" max="6402" width="3.453125" customWidth="1"/>
    <col min="6403" max="6403" width="62.54296875" customWidth="1"/>
    <col min="6657" max="6657" width="66.6328125" customWidth="1"/>
    <col min="6658" max="6658" width="3.453125" customWidth="1"/>
    <col min="6659" max="6659" width="62.54296875" customWidth="1"/>
    <col min="6913" max="6913" width="66.6328125" customWidth="1"/>
    <col min="6914" max="6914" width="3.453125" customWidth="1"/>
    <col min="6915" max="6915" width="62.54296875" customWidth="1"/>
    <col min="7169" max="7169" width="66.6328125" customWidth="1"/>
    <col min="7170" max="7170" width="3.453125" customWidth="1"/>
    <col min="7171" max="7171" width="62.54296875" customWidth="1"/>
    <col min="7425" max="7425" width="66.6328125" customWidth="1"/>
    <col min="7426" max="7426" width="3.453125" customWidth="1"/>
    <col min="7427" max="7427" width="62.54296875" customWidth="1"/>
    <col min="7681" max="7681" width="66.6328125" customWidth="1"/>
    <col min="7682" max="7682" width="3.453125" customWidth="1"/>
    <col min="7683" max="7683" width="62.54296875" customWidth="1"/>
    <col min="7937" max="7937" width="66.6328125" customWidth="1"/>
    <col min="7938" max="7938" width="3.453125" customWidth="1"/>
    <col min="7939" max="7939" width="62.54296875" customWidth="1"/>
    <col min="8193" max="8193" width="66.6328125" customWidth="1"/>
    <col min="8194" max="8194" width="3.453125" customWidth="1"/>
    <col min="8195" max="8195" width="62.54296875" customWidth="1"/>
    <col min="8449" max="8449" width="66.6328125" customWidth="1"/>
    <col min="8450" max="8450" width="3.453125" customWidth="1"/>
    <col min="8451" max="8451" width="62.54296875" customWidth="1"/>
    <col min="8705" max="8705" width="66.6328125" customWidth="1"/>
    <col min="8706" max="8706" width="3.453125" customWidth="1"/>
    <col min="8707" max="8707" width="62.54296875" customWidth="1"/>
    <col min="8961" max="8961" width="66.6328125" customWidth="1"/>
    <col min="8962" max="8962" width="3.453125" customWidth="1"/>
    <col min="8963" max="8963" width="62.54296875" customWidth="1"/>
    <col min="9217" max="9217" width="66.6328125" customWidth="1"/>
    <col min="9218" max="9218" width="3.453125" customWidth="1"/>
    <col min="9219" max="9219" width="62.54296875" customWidth="1"/>
    <col min="9473" max="9473" width="66.6328125" customWidth="1"/>
    <col min="9474" max="9474" width="3.453125" customWidth="1"/>
    <col min="9475" max="9475" width="62.54296875" customWidth="1"/>
    <col min="9729" max="9729" width="66.6328125" customWidth="1"/>
    <col min="9730" max="9730" width="3.453125" customWidth="1"/>
    <col min="9731" max="9731" width="62.54296875" customWidth="1"/>
    <col min="9985" max="9985" width="66.6328125" customWidth="1"/>
    <col min="9986" max="9986" width="3.453125" customWidth="1"/>
    <col min="9987" max="9987" width="62.54296875" customWidth="1"/>
    <col min="10241" max="10241" width="66.6328125" customWidth="1"/>
    <col min="10242" max="10242" width="3.453125" customWidth="1"/>
    <col min="10243" max="10243" width="62.54296875" customWidth="1"/>
    <col min="10497" max="10497" width="66.6328125" customWidth="1"/>
    <col min="10498" max="10498" width="3.453125" customWidth="1"/>
    <col min="10499" max="10499" width="62.54296875" customWidth="1"/>
    <col min="10753" max="10753" width="66.6328125" customWidth="1"/>
    <col min="10754" max="10754" width="3.453125" customWidth="1"/>
    <col min="10755" max="10755" width="62.54296875" customWidth="1"/>
    <col min="11009" max="11009" width="66.6328125" customWidth="1"/>
    <col min="11010" max="11010" width="3.453125" customWidth="1"/>
    <col min="11011" max="11011" width="62.54296875" customWidth="1"/>
    <col min="11265" max="11265" width="66.6328125" customWidth="1"/>
    <col min="11266" max="11266" width="3.453125" customWidth="1"/>
    <col min="11267" max="11267" width="62.54296875" customWidth="1"/>
    <col min="11521" max="11521" width="66.6328125" customWidth="1"/>
    <col min="11522" max="11522" width="3.453125" customWidth="1"/>
    <col min="11523" max="11523" width="62.54296875" customWidth="1"/>
    <col min="11777" max="11777" width="66.6328125" customWidth="1"/>
    <col min="11778" max="11778" width="3.453125" customWidth="1"/>
    <col min="11779" max="11779" width="62.54296875" customWidth="1"/>
    <col min="12033" max="12033" width="66.6328125" customWidth="1"/>
    <col min="12034" max="12034" width="3.453125" customWidth="1"/>
    <col min="12035" max="12035" width="62.54296875" customWidth="1"/>
    <col min="12289" max="12289" width="66.6328125" customWidth="1"/>
    <col min="12290" max="12290" width="3.453125" customWidth="1"/>
    <col min="12291" max="12291" width="62.54296875" customWidth="1"/>
    <col min="12545" max="12545" width="66.6328125" customWidth="1"/>
    <col min="12546" max="12546" width="3.453125" customWidth="1"/>
    <col min="12547" max="12547" width="62.54296875" customWidth="1"/>
    <col min="12801" max="12801" width="66.6328125" customWidth="1"/>
    <col min="12802" max="12802" width="3.453125" customWidth="1"/>
    <col min="12803" max="12803" width="62.54296875" customWidth="1"/>
    <col min="13057" max="13057" width="66.6328125" customWidth="1"/>
    <col min="13058" max="13058" width="3.453125" customWidth="1"/>
    <col min="13059" max="13059" width="62.54296875" customWidth="1"/>
    <col min="13313" max="13313" width="66.6328125" customWidth="1"/>
    <col min="13314" max="13314" width="3.453125" customWidth="1"/>
    <col min="13315" max="13315" width="62.54296875" customWidth="1"/>
    <col min="13569" max="13569" width="66.6328125" customWidth="1"/>
    <col min="13570" max="13570" width="3.453125" customWidth="1"/>
    <col min="13571" max="13571" width="62.54296875" customWidth="1"/>
    <col min="13825" max="13825" width="66.6328125" customWidth="1"/>
    <col min="13826" max="13826" width="3.453125" customWidth="1"/>
    <col min="13827" max="13827" width="62.54296875" customWidth="1"/>
    <col min="14081" max="14081" width="66.6328125" customWidth="1"/>
    <col min="14082" max="14082" width="3.453125" customWidth="1"/>
    <col min="14083" max="14083" width="62.54296875" customWidth="1"/>
    <col min="14337" max="14337" width="66.6328125" customWidth="1"/>
    <col min="14338" max="14338" width="3.453125" customWidth="1"/>
    <col min="14339" max="14339" width="62.54296875" customWidth="1"/>
    <col min="14593" max="14593" width="66.6328125" customWidth="1"/>
    <col min="14594" max="14594" width="3.453125" customWidth="1"/>
    <col min="14595" max="14595" width="62.54296875" customWidth="1"/>
    <col min="14849" max="14849" width="66.6328125" customWidth="1"/>
    <col min="14850" max="14850" width="3.453125" customWidth="1"/>
    <col min="14851" max="14851" width="62.54296875" customWidth="1"/>
    <col min="15105" max="15105" width="66.6328125" customWidth="1"/>
    <col min="15106" max="15106" width="3.453125" customWidth="1"/>
    <col min="15107" max="15107" width="62.54296875" customWidth="1"/>
    <col min="15361" max="15361" width="66.6328125" customWidth="1"/>
    <col min="15362" max="15362" width="3.453125" customWidth="1"/>
    <col min="15363" max="15363" width="62.54296875" customWidth="1"/>
    <col min="15617" max="15617" width="66.6328125" customWidth="1"/>
    <col min="15618" max="15618" width="3.453125" customWidth="1"/>
    <col min="15619" max="15619" width="62.54296875" customWidth="1"/>
    <col min="15873" max="15873" width="66.6328125" customWidth="1"/>
    <col min="15874" max="15874" width="3.453125" customWidth="1"/>
    <col min="15875" max="15875" width="62.54296875" customWidth="1"/>
    <col min="16129" max="16129" width="66.6328125" customWidth="1"/>
    <col min="16130" max="16130" width="3.453125" customWidth="1"/>
    <col min="16131" max="16131" width="62.54296875" customWidth="1"/>
  </cols>
  <sheetData>
    <row r="1" spans="1:12" ht="20" x14ac:dyDescent="0.4">
      <c r="A1" s="4" t="s">
        <v>0</v>
      </c>
      <c r="B1" s="4"/>
      <c r="C1" s="4"/>
      <c r="D1" s="4"/>
      <c r="E1" s="4"/>
      <c r="F1" s="4"/>
      <c r="G1" s="4"/>
      <c r="H1" s="4"/>
      <c r="I1" s="4"/>
      <c r="J1" s="4"/>
      <c r="K1" s="4"/>
      <c r="L1" s="4"/>
    </row>
    <row r="2" spans="1:12" ht="15.5" x14ac:dyDescent="0.35">
      <c r="A2" s="5" t="str">
        <f>IF(title="&gt; Enter workbook title here","Enter workbook title in Cover sheet",title)</f>
        <v>NHSPS_S - Consolidated Factor Spreadsheet</v>
      </c>
      <c r="B2" s="5"/>
      <c r="C2" s="5"/>
      <c r="D2" s="5"/>
      <c r="E2" s="5"/>
      <c r="F2" s="5"/>
      <c r="G2" s="5"/>
      <c r="H2" s="5"/>
      <c r="I2" s="5"/>
      <c r="J2" s="5"/>
      <c r="K2" s="5"/>
      <c r="L2" s="5"/>
    </row>
    <row r="3" spans="1:12" ht="15.5" x14ac:dyDescent="0.35">
      <c r="A3" s="6" t="s">
        <v>34</v>
      </c>
      <c r="B3" s="6"/>
      <c r="C3" s="6"/>
      <c r="D3" s="6"/>
      <c r="E3" s="6"/>
      <c r="F3" s="6"/>
      <c r="G3" s="6"/>
      <c r="H3" s="6"/>
      <c r="I3" s="6"/>
      <c r="J3" s="6"/>
      <c r="K3" s="6"/>
      <c r="L3" s="6"/>
    </row>
    <row r="4" spans="1:12" x14ac:dyDescent="0.25">
      <c r="A4" s="7"/>
      <c r="B4" s="7"/>
    </row>
    <row r="5" spans="1:12" x14ac:dyDescent="0.25">
      <c r="E5" s="8"/>
      <c r="F5" s="8"/>
      <c r="G5" s="8"/>
    </row>
    <row r="6" spans="1:12" ht="15.5" x14ac:dyDescent="0.25">
      <c r="A6" s="89" t="s">
        <v>35</v>
      </c>
      <c r="B6" s="74"/>
      <c r="C6" s="74"/>
    </row>
    <row r="7" spans="1:12" x14ac:dyDescent="0.25">
      <c r="A7" s="86"/>
      <c r="B7" s="86"/>
      <c r="C7" s="86"/>
    </row>
    <row r="8" spans="1:12" x14ac:dyDescent="0.25">
      <c r="A8" s="87" t="s">
        <v>36</v>
      </c>
      <c r="B8" s="86"/>
      <c r="C8" s="86"/>
    </row>
    <row r="9" spans="1:12" x14ac:dyDescent="0.25">
      <c r="A9" s="87" t="s">
        <v>37</v>
      </c>
      <c r="B9" s="86"/>
      <c r="C9" s="86"/>
    </row>
    <row r="11" spans="1:12" ht="13" x14ac:dyDescent="0.25">
      <c r="A11" s="104" t="s">
        <v>38</v>
      </c>
      <c r="B11" s="106"/>
      <c r="C11" s="105"/>
    </row>
    <row r="12" spans="1:12" ht="20.149999999999999" customHeight="1" x14ac:dyDescent="0.25">
      <c r="A12" s="105" t="s">
        <v>39</v>
      </c>
      <c r="B12" s="106"/>
      <c r="C12" s="107" t="s">
        <v>40</v>
      </c>
    </row>
    <row r="13" spans="1:12" ht="55.4" customHeight="1" x14ac:dyDescent="0.25">
      <c r="A13" s="105" t="s">
        <v>41</v>
      </c>
      <c r="B13" s="106"/>
      <c r="C13" s="107" t="s">
        <v>42</v>
      </c>
    </row>
    <row r="14" spans="1:12" ht="20.149999999999999" customHeight="1" x14ac:dyDescent="0.25">
      <c r="A14" s="105" t="s">
        <v>43</v>
      </c>
      <c r="B14" s="106"/>
      <c r="C14" s="107" t="s">
        <v>40</v>
      </c>
    </row>
    <row r="15" spans="1:12" ht="20.149999999999999" customHeight="1" x14ac:dyDescent="0.25">
      <c r="A15" s="105" t="s">
        <v>44</v>
      </c>
      <c r="B15" s="106"/>
      <c r="C15" s="107" t="s">
        <v>40</v>
      </c>
    </row>
    <row r="16" spans="1:12" ht="20.149999999999999" customHeight="1" x14ac:dyDescent="0.25">
      <c r="A16" s="105" t="s">
        <v>45</v>
      </c>
      <c r="B16" s="106"/>
      <c r="C16" s="107" t="s">
        <v>40</v>
      </c>
    </row>
    <row r="17" spans="1:3" ht="20.149999999999999" customHeight="1" x14ac:dyDescent="0.25">
      <c r="A17" s="105" t="s">
        <v>46</v>
      </c>
      <c r="B17" s="106"/>
      <c r="C17" s="108">
        <v>43977</v>
      </c>
    </row>
    <row r="19" spans="1:3" ht="13" x14ac:dyDescent="0.3">
      <c r="A19" s="109" t="s">
        <v>47</v>
      </c>
      <c r="B19" s="112"/>
      <c r="C19" s="112"/>
    </row>
    <row r="20" spans="1:3" x14ac:dyDescent="0.25">
      <c r="A20" s="110" t="s">
        <v>39</v>
      </c>
      <c r="B20" s="112"/>
      <c r="C20" s="111"/>
    </row>
    <row r="21" spans="1:3" x14ac:dyDescent="0.25">
      <c r="A21" s="112" t="s">
        <v>48</v>
      </c>
      <c r="B21" s="112"/>
      <c r="C21" s="111" t="s">
        <v>49</v>
      </c>
    </row>
    <row r="22" spans="1:3" x14ac:dyDescent="0.25">
      <c r="A22" s="112" t="s">
        <v>50</v>
      </c>
      <c r="B22" s="112"/>
      <c r="C22" s="112" t="s">
        <v>51</v>
      </c>
    </row>
    <row r="23" spans="1:3" x14ac:dyDescent="0.25">
      <c r="A23" s="112" t="s">
        <v>45</v>
      </c>
      <c r="B23" s="112"/>
      <c r="C23" s="112"/>
    </row>
    <row r="24" spans="1:3" x14ac:dyDescent="0.25">
      <c r="A24" s="112" t="s">
        <v>52</v>
      </c>
      <c r="B24" s="112"/>
      <c r="C24" s="113">
        <v>45072</v>
      </c>
    </row>
    <row r="26" spans="1:3" ht="13" x14ac:dyDescent="0.3">
      <c r="A26" s="109" t="s">
        <v>53</v>
      </c>
      <c r="B26" s="112"/>
      <c r="C26" s="112"/>
    </row>
    <row r="27" spans="1:3" x14ac:dyDescent="0.25">
      <c r="A27" s="112" t="s">
        <v>39</v>
      </c>
      <c r="B27" s="112"/>
      <c r="C27" s="111"/>
    </row>
    <row r="28" spans="1:3" ht="25" x14ac:dyDescent="0.25">
      <c r="A28" s="112" t="s">
        <v>48</v>
      </c>
      <c r="B28" s="112"/>
      <c r="C28" s="111" t="s">
        <v>54</v>
      </c>
    </row>
    <row r="29" spans="1:3" ht="25" x14ac:dyDescent="0.25">
      <c r="A29" s="112" t="s">
        <v>55</v>
      </c>
      <c r="B29" s="112"/>
      <c r="C29" s="111" t="s">
        <v>56</v>
      </c>
    </row>
    <row r="30" spans="1:3" x14ac:dyDescent="0.25">
      <c r="A30" s="112" t="s">
        <v>45</v>
      </c>
      <c r="B30" s="112"/>
      <c r="C30" s="112"/>
    </row>
    <row r="31" spans="1:3" x14ac:dyDescent="0.25">
      <c r="A31" s="112" t="s">
        <v>52</v>
      </c>
      <c r="B31" s="112"/>
      <c r="C31" s="113">
        <v>45107</v>
      </c>
    </row>
    <row r="33" spans="1:3" ht="13" x14ac:dyDescent="0.3">
      <c r="A33" s="109" t="s">
        <v>57</v>
      </c>
      <c r="B33" s="112"/>
      <c r="C33" s="112"/>
    </row>
    <row r="34" spans="1:3" x14ac:dyDescent="0.25">
      <c r="A34" s="112" t="s">
        <v>39</v>
      </c>
      <c r="B34" s="112"/>
      <c r="C34" s="111" t="s">
        <v>58</v>
      </c>
    </row>
    <row r="35" spans="1:3" ht="50" x14ac:dyDescent="0.25">
      <c r="A35" s="112" t="s">
        <v>48</v>
      </c>
      <c r="B35" s="112"/>
      <c r="C35" s="111" t="s">
        <v>59</v>
      </c>
    </row>
    <row r="36" spans="1:3" x14ac:dyDescent="0.25">
      <c r="A36" s="112" t="s">
        <v>50</v>
      </c>
      <c r="B36" s="112"/>
      <c r="C36" s="112"/>
    </row>
    <row r="37" spans="1:3" x14ac:dyDescent="0.25">
      <c r="A37" s="112" t="s">
        <v>45</v>
      </c>
      <c r="B37" s="112"/>
      <c r="C37" s="112"/>
    </row>
    <row r="38" spans="1:3" x14ac:dyDescent="0.25">
      <c r="A38" s="112" t="s">
        <v>52</v>
      </c>
      <c r="B38" s="112"/>
      <c r="C38" s="113">
        <v>45138</v>
      </c>
    </row>
    <row r="40" spans="1:3" ht="13" x14ac:dyDescent="0.3">
      <c r="A40" s="119" t="s">
        <v>60</v>
      </c>
      <c r="B40" s="120"/>
      <c r="C40" s="120"/>
    </row>
    <row r="41" spans="1:3" x14ac:dyDescent="0.25">
      <c r="A41" s="120" t="s">
        <v>39</v>
      </c>
      <c r="B41" s="120"/>
      <c r="C41" s="121"/>
    </row>
    <row r="42" spans="1:3" x14ac:dyDescent="0.25">
      <c r="A42" s="120" t="s">
        <v>48</v>
      </c>
      <c r="B42" s="120"/>
      <c r="C42" s="121" t="s">
        <v>61</v>
      </c>
    </row>
    <row r="43" spans="1:3" x14ac:dyDescent="0.25">
      <c r="A43" s="120" t="s">
        <v>50</v>
      </c>
      <c r="B43" s="120"/>
      <c r="C43" s="120" t="s">
        <v>62</v>
      </c>
    </row>
    <row r="44" spans="1:3" x14ac:dyDescent="0.25">
      <c r="A44" s="120" t="s">
        <v>45</v>
      </c>
      <c r="B44" s="120"/>
      <c r="C44" s="120"/>
    </row>
    <row r="45" spans="1:3" x14ac:dyDescent="0.25">
      <c r="A45" s="120" t="s">
        <v>52</v>
      </c>
      <c r="B45" s="120"/>
      <c r="C45" s="122">
        <v>45202</v>
      </c>
    </row>
    <row r="47" spans="1:3" ht="13" x14ac:dyDescent="0.3">
      <c r="A47" s="119" t="s">
        <v>63</v>
      </c>
      <c r="B47" s="120"/>
      <c r="C47" s="120"/>
    </row>
    <row r="48" spans="1:3" x14ac:dyDescent="0.25">
      <c r="A48" s="120" t="s">
        <v>39</v>
      </c>
      <c r="B48" s="120" t="s">
        <v>64</v>
      </c>
      <c r="C48" s="121"/>
    </row>
    <row r="49" spans="1:3" x14ac:dyDescent="0.25">
      <c r="A49" s="120" t="s">
        <v>48</v>
      </c>
      <c r="B49" s="120"/>
      <c r="C49" s="121"/>
    </row>
    <row r="50" spans="1:3" x14ac:dyDescent="0.25">
      <c r="A50" s="120" t="s">
        <v>50</v>
      </c>
      <c r="B50" s="120"/>
      <c r="C50" s="120"/>
    </row>
    <row r="51" spans="1:3" x14ac:dyDescent="0.25">
      <c r="A51" s="120" t="s">
        <v>45</v>
      </c>
      <c r="B51" s="120"/>
      <c r="C51" s="120"/>
    </row>
    <row r="52" spans="1:3" ht="25" x14ac:dyDescent="0.25">
      <c r="A52" s="120" t="s">
        <v>65</v>
      </c>
      <c r="B52" s="157"/>
      <c r="C52" s="158" t="s">
        <v>66</v>
      </c>
    </row>
    <row r="53" spans="1:3" x14ac:dyDescent="0.25">
      <c r="A53" s="120" t="s">
        <v>52</v>
      </c>
      <c r="B53" s="120"/>
      <c r="C53" s="122">
        <v>45688</v>
      </c>
    </row>
    <row r="55" spans="1:3" ht="13" x14ac:dyDescent="0.3">
      <c r="A55" s="123" t="s">
        <v>63</v>
      </c>
      <c r="B55" s="177"/>
      <c r="C55" s="177"/>
    </row>
    <row r="56" spans="1:3" x14ac:dyDescent="0.25">
      <c r="A56" s="124" t="s">
        <v>39</v>
      </c>
      <c r="B56" s="178"/>
      <c r="C56" s="178"/>
    </row>
    <row r="57" spans="1:3" x14ac:dyDescent="0.25">
      <c r="A57" s="125" t="s">
        <v>48</v>
      </c>
      <c r="B57" s="177"/>
      <c r="C57" s="177"/>
    </row>
    <row r="58" spans="1:3" x14ac:dyDescent="0.25">
      <c r="A58" s="124" t="s">
        <v>50</v>
      </c>
      <c r="B58" s="178" t="s">
        <v>67</v>
      </c>
      <c r="C58" s="178"/>
    </row>
    <row r="59" spans="1:3" x14ac:dyDescent="0.25">
      <c r="A59" s="125" t="s">
        <v>45</v>
      </c>
      <c r="B59" s="177"/>
      <c r="C59" s="177"/>
    </row>
    <row r="60" spans="1:3" x14ac:dyDescent="0.25">
      <c r="A60" s="124" t="s">
        <v>65</v>
      </c>
      <c r="B60" s="155"/>
      <c r="C60" s="126" t="s">
        <v>68</v>
      </c>
    </row>
    <row r="61" spans="1:3" x14ac:dyDescent="0.25">
      <c r="A61" s="125" t="s">
        <v>52</v>
      </c>
      <c r="B61" s="154"/>
      <c r="C61" s="127">
        <v>45709</v>
      </c>
    </row>
  </sheetData>
  <sheetProtection algorithmName="SHA-512" hashValue="BEa812mZhhtSto5o8zvUddPmEC4hkdrkv6lBXyhbVEIbCm6jxFB5aCWGsqwHwIlx9u5/pAgkhGj0sCVrLeujBQ==" saltValue="X7YUPEHxvt39TMtOpFMlNQ==" spinCount="100000" sheet="1" objects="1" scenarios="1"/>
  <mergeCells count="5">
    <mergeCell ref="B55:C55"/>
    <mergeCell ref="B56:C56"/>
    <mergeCell ref="B57:C57"/>
    <mergeCell ref="B58:C58"/>
    <mergeCell ref="B59:C59"/>
  </mergeCells>
  <conditionalFormatting sqref="A11:A17">
    <cfRule type="expression" dxfId="1259" priority="19" stopIfTrue="1">
      <formula>MOD(ROW(),2)=0</formula>
    </cfRule>
    <cfRule type="expression" dxfId="1258" priority="20" stopIfTrue="1">
      <formula>MOD(ROW(),2)&lt;&gt;0</formula>
    </cfRule>
  </conditionalFormatting>
  <conditionalFormatting sqref="A19:A24">
    <cfRule type="expression" dxfId="1257" priority="41" stopIfTrue="1">
      <formula>MOD(ROW(),2)&lt;&gt;0</formula>
    </cfRule>
    <cfRule type="expression" dxfId="1256" priority="40" stopIfTrue="1">
      <formula>MOD(ROW(),2)=0</formula>
    </cfRule>
  </conditionalFormatting>
  <conditionalFormatting sqref="A26:A31">
    <cfRule type="expression" dxfId="1255" priority="53" stopIfTrue="1">
      <formula>MOD(ROW(),2)&lt;&gt;0</formula>
    </cfRule>
    <cfRule type="expression" dxfId="1254" priority="52" stopIfTrue="1">
      <formula>MOD(ROW(),2)=0</formula>
    </cfRule>
  </conditionalFormatting>
  <conditionalFormatting sqref="A33:A38">
    <cfRule type="expression" dxfId="1253" priority="68" stopIfTrue="1">
      <formula>MOD(ROW(),2)=0</formula>
    </cfRule>
    <cfRule type="expression" dxfId="1252" priority="69" stopIfTrue="1">
      <formula>MOD(ROW(),2)&lt;&gt;0</formula>
    </cfRule>
  </conditionalFormatting>
  <conditionalFormatting sqref="A40:A45">
    <cfRule type="expression" dxfId="1251" priority="88" stopIfTrue="1">
      <formula>MOD(ROW(),2)=0</formula>
    </cfRule>
    <cfRule type="expression" dxfId="1250" priority="89" stopIfTrue="1">
      <formula>MOD(ROW(),2)&lt;&gt;0</formula>
    </cfRule>
  </conditionalFormatting>
  <conditionalFormatting sqref="A47:A53">
    <cfRule type="expression" dxfId="1249" priority="7" stopIfTrue="1">
      <formula>MOD(ROW(),2)=0</formula>
    </cfRule>
    <cfRule type="expression" dxfId="1248" priority="8" stopIfTrue="1">
      <formula>MOD(ROW(),2)&lt;&gt;0</formula>
    </cfRule>
    <cfRule type="expression" priority="11" stopIfTrue="1">
      <formula>MOD(ROW(),2)=0</formula>
    </cfRule>
    <cfRule type="expression" priority="12" stopIfTrue="1">
      <formula>MOD(ROW(),2)&lt;&gt;0</formula>
    </cfRule>
    <cfRule type="expression" priority="15" stopIfTrue="1">
      <formula>MOD(ROW(),2)=0</formula>
    </cfRule>
    <cfRule type="expression" priority="16" stopIfTrue="1">
      <formula>MOD(ROW(),2)&lt;&gt;0</formula>
    </cfRule>
  </conditionalFormatting>
  <conditionalFormatting sqref="A6:C9">
    <cfRule type="expression" dxfId="1247" priority="31" stopIfTrue="1">
      <formula>MOD(ROW(),2)=0</formula>
    </cfRule>
    <cfRule type="expression" dxfId="1246" priority="32" stopIfTrue="1">
      <formula>MOD(ROW(),2)&lt;&gt;0</formula>
    </cfRule>
  </conditionalFormatting>
  <conditionalFormatting sqref="A11:C17">
    <cfRule type="expression" priority="117" stopIfTrue="1">
      <formula>MOD(ROW(),2)&lt;&gt;0</formula>
    </cfRule>
    <cfRule type="expression" priority="116" stopIfTrue="1">
      <formula>MOD(ROW(),2)=0</formula>
    </cfRule>
    <cfRule type="expression" priority="56" stopIfTrue="1">
      <formula>MOD(ROW(),2)=0</formula>
    </cfRule>
    <cfRule type="expression" priority="36" stopIfTrue="1">
      <formula>MOD(ROW(),2)=0</formula>
    </cfRule>
    <cfRule type="expression" priority="37" stopIfTrue="1">
      <formula>MOD(ROW(),2)&lt;&gt;0</formula>
    </cfRule>
    <cfRule type="expression" priority="45" stopIfTrue="1">
      <formula>MOD(ROW(),2)&lt;&gt;0</formula>
    </cfRule>
    <cfRule type="expression" priority="44" stopIfTrue="1">
      <formula>MOD(ROW(),2)=0</formula>
    </cfRule>
    <cfRule type="expression" priority="93" stopIfTrue="1">
      <formula>MOD(ROW(),2)&lt;&gt;0</formula>
    </cfRule>
    <cfRule type="expression" priority="92" stopIfTrue="1">
      <formula>MOD(ROW(),2)=0</formula>
    </cfRule>
    <cfRule type="expression" priority="57" stopIfTrue="1">
      <formula>MOD(ROW(),2)&lt;&gt;0</formula>
    </cfRule>
    <cfRule type="expression" priority="73" stopIfTrue="1">
      <formula>MOD(ROW(),2)&lt;&gt;0</formula>
    </cfRule>
    <cfRule type="expression" priority="72" stopIfTrue="1">
      <formula>MOD(ROW(),2)=0</formula>
    </cfRule>
  </conditionalFormatting>
  <conditionalFormatting sqref="A19:C24">
    <cfRule type="expression" priority="120" stopIfTrue="1">
      <formula>MOD(ROW(),2)=0</formula>
    </cfRule>
    <cfRule type="expression" priority="77" stopIfTrue="1">
      <formula>MOD(ROW(),2)&lt;&gt;0</formula>
    </cfRule>
    <cfRule type="expression" priority="97" stopIfTrue="1">
      <formula>MOD(ROW(),2)&lt;&gt;0</formula>
    </cfRule>
    <cfRule type="expression" priority="96" stopIfTrue="1">
      <formula>MOD(ROW(),2)=0</formula>
    </cfRule>
    <cfRule type="expression" priority="76" stopIfTrue="1">
      <formula>MOD(ROW(),2)=0</formula>
    </cfRule>
    <cfRule type="expression" priority="49" stopIfTrue="1">
      <formula>MOD(ROW(),2)&lt;&gt;0</formula>
    </cfRule>
    <cfRule type="expression" priority="60" stopIfTrue="1">
      <formula>MOD(ROW(),2)=0</formula>
    </cfRule>
    <cfRule type="expression" priority="61" stopIfTrue="1">
      <formula>MOD(ROW(),2)&lt;&gt;0</formula>
    </cfRule>
    <cfRule type="expression" priority="48" stopIfTrue="1">
      <formula>MOD(ROW(),2)=0</formula>
    </cfRule>
    <cfRule type="expression" priority="121" stopIfTrue="1">
      <formula>MOD(ROW(),2)&lt;&gt;0</formula>
    </cfRule>
  </conditionalFormatting>
  <conditionalFormatting sqref="A26:C31">
    <cfRule type="expression" priority="80" stopIfTrue="1">
      <formula>MOD(ROW(),2)=0</formula>
    </cfRule>
    <cfRule type="expression" priority="101" stopIfTrue="1">
      <formula>MOD(ROW(),2)&lt;&gt;0</formula>
    </cfRule>
    <cfRule type="expression" priority="100" stopIfTrue="1">
      <formula>MOD(ROW(),2)=0</formula>
    </cfRule>
    <cfRule type="expression" priority="64" stopIfTrue="1">
      <formula>MOD(ROW(),2)=0</formula>
    </cfRule>
    <cfRule type="expression" priority="65" stopIfTrue="1">
      <formula>MOD(ROW(),2)&lt;&gt;0</formula>
    </cfRule>
    <cfRule type="expression" priority="81" stopIfTrue="1">
      <formula>MOD(ROW(),2)&lt;&gt;0</formula>
    </cfRule>
    <cfRule type="expression" priority="124" stopIfTrue="1">
      <formula>MOD(ROW(),2)=0</formula>
    </cfRule>
    <cfRule type="expression" priority="125" stopIfTrue="1">
      <formula>MOD(ROW(),2)&lt;&gt;0</formula>
    </cfRule>
  </conditionalFormatting>
  <conditionalFormatting sqref="A33:C38">
    <cfRule type="expression" priority="104" stopIfTrue="1">
      <formula>MOD(ROW(),2)=0</formula>
    </cfRule>
    <cfRule type="expression" priority="84" stopIfTrue="1">
      <formula>MOD(ROW(),2)=0</formula>
    </cfRule>
    <cfRule type="expression" priority="85" stopIfTrue="1">
      <formula>MOD(ROW(),2)&lt;&gt;0</formula>
    </cfRule>
    <cfRule type="expression" priority="105" stopIfTrue="1">
      <formula>MOD(ROW(),2)&lt;&gt;0</formula>
    </cfRule>
    <cfRule type="expression" priority="128" stopIfTrue="1">
      <formula>MOD(ROW(),2)=0</formula>
    </cfRule>
    <cfRule type="expression" priority="129" stopIfTrue="1">
      <formula>MOD(ROW(),2)&lt;&gt;0</formula>
    </cfRule>
  </conditionalFormatting>
  <conditionalFormatting sqref="A40:C45">
    <cfRule type="expression" priority="108" stopIfTrue="1">
      <formula>MOD(ROW(),2)=0</formula>
    </cfRule>
    <cfRule type="expression" priority="109" stopIfTrue="1">
      <formula>MOD(ROW(),2)&lt;&gt;0</formula>
    </cfRule>
    <cfRule type="expression" priority="132" stopIfTrue="1">
      <formula>MOD(ROW(),2)=0</formula>
    </cfRule>
    <cfRule type="expression" priority="133" stopIfTrue="1">
      <formula>MOD(ROW(),2)&lt;&gt;0</formula>
    </cfRule>
  </conditionalFormatting>
  <conditionalFormatting sqref="B11:C11 C12:C15 B12:B16">
    <cfRule type="expression" dxfId="1245" priority="29" stopIfTrue="1">
      <formula>MOD(ROW(),2)=0</formula>
    </cfRule>
  </conditionalFormatting>
  <conditionalFormatting sqref="B11:C16">
    <cfRule type="expression" dxfId="1244" priority="30" stopIfTrue="1">
      <formula>MOD(ROW(),2)&lt;&gt;0</formula>
    </cfRule>
  </conditionalFormatting>
  <conditionalFormatting sqref="B17:C17">
    <cfRule type="expression" dxfId="1243" priority="24" stopIfTrue="1">
      <formula>MOD(ROW(),2)&lt;&gt;0</formula>
    </cfRule>
    <cfRule type="expression" dxfId="1242" priority="23" stopIfTrue="1">
      <formula>MOD(ROW(),2)=0</formula>
    </cfRule>
  </conditionalFormatting>
  <conditionalFormatting sqref="B19:C24">
    <cfRule type="expression" dxfId="1241" priority="42" stopIfTrue="1">
      <formula>MOD(ROW(),2)=0</formula>
    </cfRule>
    <cfRule type="expression" dxfId="1240" priority="43" stopIfTrue="1">
      <formula>MOD(ROW(),2)&lt;&gt;0</formula>
    </cfRule>
  </conditionalFormatting>
  <conditionalFormatting sqref="B26:C31">
    <cfRule type="expression" dxfId="1239" priority="54" stopIfTrue="1">
      <formula>MOD(ROW(),2)=0</formula>
    </cfRule>
    <cfRule type="expression" dxfId="1238" priority="55" stopIfTrue="1">
      <formula>MOD(ROW(),2)&lt;&gt;0</formula>
    </cfRule>
  </conditionalFormatting>
  <conditionalFormatting sqref="B33:C38">
    <cfRule type="expression" dxfId="1237" priority="71" stopIfTrue="1">
      <formula>MOD(ROW(),2)&lt;&gt;0</formula>
    </cfRule>
    <cfRule type="expression" dxfId="1236" priority="70" stopIfTrue="1">
      <formula>MOD(ROW(),2)=0</formula>
    </cfRule>
  </conditionalFormatting>
  <conditionalFormatting sqref="B40:C45">
    <cfRule type="expression" dxfId="1235" priority="91" stopIfTrue="1">
      <formula>MOD(ROW(),2)&lt;&gt;0</formula>
    </cfRule>
    <cfRule type="expression" dxfId="1234" priority="90" stopIfTrue="1">
      <formula>MOD(ROW(),2)=0</formula>
    </cfRule>
  </conditionalFormatting>
  <conditionalFormatting sqref="B47:C52">
    <cfRule type="expression" priority="17" stopIfTrue="1">
      <formula>MOD(ROW(),2)=0</formula>
    </cfRule>
    <cfRule type="expression" priority="18" stopIfTrue="1">
      <formula>MOD(ROW(),2)&lt;&gt;0</formula>
    </cfRule>
  </conditionalFormatting>
  <conditionalFormatting sqref="B47:C53">
    <cfRule type="expression" dxfId="1233" priority="1" stopIfTrue="1">
      <formula>MOD(ROW(),2)=0</formula>
    </cfRule>
    <cfRule type="expression" priority="6" stopIfTrue="1">
      <formula>MOD(ROW(),2)&lt;&gt;0</formula>
    </cfRule>
    <cfRule type="expression" priority="5" stopIfTrue="1">
      <formula>MOD(ROW(),2)=0</formula>
    </cfRule>
    <cfRule type="expression" dxfId="1232" priority="2" stopIfTrue="1">
      <formula>MOD(ROW(),2)&lt;&gt;0</formula>
    </cfRule>
  </conditionalFormatting>
  <conditionalFormatting sqref="B53:C53">
    <cfRule type="expression" priority="4" stopIfTrue="1">
      <formula>MOD(ROW(),2)&lt;&gt;0</formula>
    </cfRule>
    <cfRule type="expression" priority="3" stopIfTrue="1">
      <formula>MOD(ROW(),2)=0</formula>
    </cfRule>
  </conditionalFormatting>
  <conditionalFormatting sqref="C16">
    <cfRule type="expression" dxfId="1231" priority="35" stopIfTrue="1">
      <formula>MOD(ROW(),2)=0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2"/>
  <dimension ref="A1:I65"/>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PenCE - x-303</v>
      </c>
      <c r="B3" s="40"/>
      <c r="C3" s="40"/>
      <c r="D3" s="40"/>
      <c r="E3" s="40"/>
      <c r="F3" s="40"/>
      <c r="G3" s="40"/>
      <c r="H3" s="40"/>
      <c r="I3" s="40"/>
    </row>
    <row r="4" spans="1:9" x14ac:dyDescent="0.25">
      <c r="A4" s="42"/>
    </row>
    <row r="6" spans="1:9" ht="13" x14ac:dyDescent="0.3">
      <c r="A6" s="73" t="s">
        <v>274</v>
      </c>
      <c r="B6" s="114" t="s">
        <v>275</v>
      </c>
      <c r="C6" s="114"/>
    </row>
    <row r="7" spans="1:9" x14ac:dyDescent="0.25">
      <c r="A7" s="74" t="s">
        <v>276</v>
      </c>
      <c r="B7" s="114" t="s">
        <v>72</v>
      </c>
      <c r="C7" s="114"/>
    </row>
    <row r="8" spans="1:9" x14ac:dyDescent="0.25">
      <c r="A8" s="74" t="s">
        <v>278</v>
      </c>
      <c r="B8" s="114" t="s">
        <v>74</v>
      </c>
      <c r="C8" s="114"/>
    </row>
    <row r="9" spans="1:9" x14ac:dyDescent="0.25">
      <c r="A9" s="74" t="s">
        <v>280</v>
      </c>
      <c r="B9" s="114" t="s">
        <v>383</v>
      </c>
      <c r="C9" s="114"/>
    </row>
    <row r="10" spans="1:9" x14ac:dyDescent="0.25">
      <c r="A10" s="74" t="s">
        <v>6</v>
      </c>
      <c r="B10" s="114" t="s">
        <v>391</v>
      </c>
      <c r="C10" s="114"/>
    </row>
    <row r="11" spans="1:9" x14ac:dyDescent="0.25">
      <c r="A11" s="74" t="s">
        <v>283</v>
      </c>
      <c r="B11" s="114" t="s">
        <v>355</v>
      </c>
      <c r="C11" s="114"/>
    </row>
    <row r="12" spans="1:9" x14ac:dyDescent="0.25">
      <c r="A12" s="74" t="s">
        <v>285</v>
      </c>
      <c r="B12" s="114" t="s">
        <v>361</v>
      </c>
      <c r="C12" s="114"/>
    </row>
    <row r="13" spans="1:9" x14ac:dyDescent="0.25">
      <c r="A13" s="74" t="s">
        <v>287</v>
      </c>
      <c r="B13" s="114">
        <v>1</v>
      </c>
      <c r="C13" s="114"/>
    </row>
    <row r="14" spans="1:9" x14ac:dyDescent="0.25">
      <c r="A14" s="74" t="s">
        <v>289</v>
      </c>
      <c r="B14" s="114">
        <v>303</v>
      </c>
      <c r="C14" s="114"/>
    </row>
    <row r="15" spans="1:9" x14ac:dyDescent="0.25">
      <c r="A15" s="74" t="s">
        <v>291</v>
      </c>
      <c r="B15" s="114" t="s">
        <v>392</v>
      </c>
      <c r="C15" s="114"/>
    </row>
    <row r="16" spans="1:9" x14ac:dyDescent="0.25">
      <c r="A16" s="74" t="s">
        <v>293</v>
      </c>
      <c r="B16" s="114" t="s">
        <v>393</v>
      </c>
      <c r="C16" s="114"/>
    </row>
    <row r="17" spans="1:3" x14ac:dyDescent="0.25">
      <c r="A17" s="74" t="s">
        <v>760</v>
      </c>
      <c r="B17" s="114"/>
      <c r="C17" s="114"/>
    </row>
    <row r="18" spans="1:3" x14ac:dyDescent="0.25">
      <c r="A18" s="74" t="s">
        <v>297</v>
      </c>
      <c r="B18" s="162" t="str">
        <f>"26 May 2023"</f>
        <v>26 May 2023</v>
      </c>
      <c r="C18" s="114"/>
    </row>
    <row r="19" spans="1:3" x14ac:dyDescent="0.25">
      <c r="A19" s="74" t="s">
        <v>299</v>
      </c>
      <c r="B19" s="162">
        <v>45014</v>
      </c>
      <c r="C19" s="114"/>
    </row>
    <row r="20" spans="1:3" x14ac:dyDescent="0.25">
      <c r="A20" s="74" t="s">
        <v>301</v>
      </c>
      <c r="B20" s="114" t="s">
        <v>314</v>
      </c>
      <c r="C20" s="114"/>
    </row>
    <row r="21" spans="1:3" x14ac:dyDescent="0.25">
      <c r="A21" s="74" t="s">
        <v>307</v>
      </c>
      <c r="B21" s="114" t="s">
        <v>315</v>
      </c>
      <c r="C21" s="114"/>
    </row>
    <row r="23" spans="1:3" x14ac:dyDescent="0.25">
      <c r="B23" s="100" t="str">
        <f>HYPERLINK("#'Factor List'!A1","Back to Factor List")</f>
        <v>Back to Factor List</v>
      </c>
    </row>
    <row r="24" spans="1:3" x14ac:dyDescent="0.25">
      <c r="B24" s="100" t="s">
        <v>13</v>
      </c>
    </row>
    <row r="26" spans="1:3" ht="39" x14ac:dyDescent="0.25">
      <c r="A26" s="97" t="s">
        <v>417</v>
      </c>
      <c r="B26" s="97" t="s">
        <v>795</v>
      </c>
      <c r="C26" s="97" t="s">
        <v>796</v>
      </c>
    </row>
    <row r="27" spans="1:3" x14ac:dyDescent="0.25">
      <c r="A27" s="98">
        <v>50</v>
      </c>
      <c r="B27" s="99">
        <v>0.85</v>
      </c>
      <c r="C27" s="99">
        <v>23.14</v>
      </c>
    </row>
    <row r="28" spans="1:3" x14ac:dyDescent="0.25">
      <c r="A28" s="98">
        <v>51</v>
      </c>
      <c r="B28" s="99">
        <v>0.88</v>
      </c>
      <c r="C28" s="99">
        <v>23.52</v>
      </c>
    </row>
    <row r="29" spans="1:3" x14ac:dyDescent="0.25">
      <c r="A29" s="98">
        <v>52</v>
      </c>
      <c r="B29" s="99">
        <v>0.91</v>
      </c>
      <c r="C29" s="99">
        <v>23.91</v>
      </c>
    </row>
    <row r="30" spans="1:3" x14ac:dyDescent="0.25">
      <c r="A30" s="98">
        <v>53</v>
      </c>
      <c r="B30" s="99">
        <v>0.95</v>
      </c>
      <c r="C30" s="99">
        <v>24.3</v>
      </c>
    </row>
    <row r="31" spans="1:3" x14ac:dyDescent="0.25">
      <c r="A31" s="98">
        <v>54</v>
      </c>
      <c r="B31" s="99">
        <v>0.98</v>
      </c>
      <c r="C31" s="99">
        <v>24.71</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lyfciJ9AQmDi2bIWYxe98Daiqea+vfOap2BnXJrCYYgLslnbxZ9ijFDjWrA6MMQ4BPE0vVmVgLkntmJ7t0+2A==" saltValue="/lVWyGmWwCfJdNgsVCUR8g==" spinCount="100000" sheet="1" objects="1" scenarios="1"/>
  <conditionalFormatting sqref="A6:A21">
    <cfRule type="expression" dxfId="989" priority="13" stopIfTrue="1">
      <formula>MOD(ROW(),2)=0</formula>
    </cfRule>
    <cfRule type="expression" dxfId="988" priority="14" stopIfTrue="1">
      <formula>MOD(ROW(),2)&lt;&gt;0</formula>
    </cfRule>
  </conditionalFormatting>
  <conditionalFormatting sqref="A26:A31">
    <cfRule type="expression" dxfId="987" priority="5" stopIfTrue="1">
      <formula>MOD(ROW(),2)=0</formula>
    </cfRule>
    <cfRule type="expression" dxfId="986" priority="6" stopIfTrue="1">
      <formula>MOD(ROW(),2)&lt;&gt;0</formula>
    </cfRule>
  </conditionalFormatting>
  <conditionalFormatting sqref="B17:B21">
    <cfRule type="expression" dxfId="985" priority="1" stopIfTrue="1">
      <formula>MOD(ROW(),2)=0</formula>
    </cfRule>
    <cfRule type="expression" dxfId="984" priority="2" stopIfTrue="1">
      <formula>MOD(ROW(),2)&lt;&gt;0</formula>
    </cfRule>
  </conditionalFormatting>
  <conditionalFormatting sqref="B6:C21">
    <cfRule type="expression" dxfId="983" priority="21" stopIfTrue="1">
      <formula>MOD(ROW(),2)=0</formula>
    </cfRule>
    <cfRule type="expression" dxfId="982" priority="22" stopIfTrue="1">
      <formula>MOD(ROW(),2)&lt;&gt;0</formula>
    </cfRule>
  </conditionalFormatting>
  <conditionalFormatting sqref="B26:C31">
    <cfRule type="expression" dxfId="981" priority="7" stopIfTrue="1">
      <formula>MOD(ROW(),2)=0</formula>
    </cfRule>
    <cfRule type="expression" dxfId="980" priority="8" stopIfTrue="1">
      <formula>MOD(ROW(),2)&lt;&gt;0</formula>
    </cfRule>
  </conditionalFormatting>
  <hyperlinks>
    <hyperlink ref="B24" location="Assumptions!A1" display="Assumptions" xr:uid="{967A0E73-E600-4DD0-8B4A-2052A13B4F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A1:I72"/>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PenCE - x-304</v>
      </c>
      <c r="B3" s="40"/>
      <c r="C3" s="40"/>
      <c r="D3" s="40"/>
      <c r="E3" s="40"/>
      <c r="F3" s="40"/>
      <c r="G3" s="40"/>
      <c r="H3" s="40"/>
      <c r="I3" s="40"/>
    </row>
    <row r="4" spans="1:9" x14ac:dyDescent="0.25">
      <c r="A4" s="42"/>
    </row>
    <row r="6" spans="1:9" ht="13" x14ac:dyDescent="0.3">
      <c r="A6" s="73" t="s">
        <v>274</v>
      </c>
      <c r="B6" s="114" t="s">
        <v>275</v>
      </c>
      <c r="C6" s="114"/>
      <c r="D6" s="114"/>
      <c r="E6" s="114"/>
    </row>
    <row r="7" spans="1:9" x14ac:dyDescent="0.25">
      <c r="A7" s="74" t="s">
        <v>276</v>
      </c>
      <c r="B7" s="114" t="s">
        <v>72</v>
      </c>
      <c r="C7" s="114"/>
      <c r="D7" s="114"/>
      <c r="E7" s="114"/>
    </row>
    <row r="8" spans="1:9" x14ac:dyDescent="0.25">
      <c r="A8" s="74" t="s">
        <v>278</v>
      </c>
      <c r="B8" s="114" t="s">
        <v>73</v>
      </c>
      <c r="C8" s="114"/>
      <c r="D8" s="114"/>
      <c r="E8" s="114"/>
    </row>
    <row r="9" spans="1:9" x14ac:dyDescent="0.25">
      <c r="A9" s="74" t="s">
        <v>280</v>
      </c>
      <c r="B9" s="114" t="s">
        <v>383</v>
      </c>
      <c r="C9" s="114"/>
      <c r="D9" s="114"/>
      <c r="E9" s="114"/>
    </row>
    <row r="10" spans="1:9" x14ac:dyDescent="0.25">
      <c r="A10" s="74" t="s">
        <v>6</v>
      </c>
      <c r="B10" s="114" t="s">
        <v>384</v>
      </c>
      <c r="C10" s="114"/>
      <c r="D10" s="114"/>
      <c r="E10" s="114"/>
    </row>
    <row r="11" spans="1:9" x14ac:dyDescent="0.25">
      <c r="A11" s="74" t="s">
        <v>283</v>
      </c>
      <c r="B11" s="114" t="s">
        <v>355</v>
      </c>
      <c r="C11" s="114"/>
      <c r="D11" s="114"/>
      <c r="E11" s="114"/>
    </row>
    <row r="12" spans="1:9" x14ac:dyDescent="0.25">
      <c r="A12" s="74" t="s">
        <v>285</v>
      </c>
      <c r="B12" s="114" t="s">
        <v>385</v>
      </c>
      <c r="C12" s="114"/>
      <c r="D12" s="114"/>
      <c r="E12" s="114"/>
    </row>
    <row r="13" spans="1:9" x14ac:dyDescent="0.25">
      <c r="A13" s="74" t="s">
        <v>287</v>
      </c>
      <c r="B13" s="114">
        <v>0</v>
      </c>
      <c r="C13" s="114"/>
      <c r="D13" s="114"/>
      <c r="E13" s="114"/>
    </row>
    <row r="14" spans="1:9" x14ac:dyDescent="0.25">
      <c r="A14" s="74" t="s">
        <v>289</v>
      </c>
      <c r="B14" s="114">
        <v>304</v>
      </c>
      <c r="C14" s="114"/>
      <c r="D14" s="114"/>
      <c r="E14" s="114"/>
    </row>
    <row r="15" spans="1:9" x14ac:dyDescent="0.25">
      <c r="A15" s="74" t="s">
        <v>291</v>
      </c>
      <c r="B15" s="114" t="s">
        <v>394</v>
      </c>
      <c r="C15" s="114"/>
      <c r="D15" s="114"/>
      <c r="E15" s="114"/>
    </row>
    <row r="16" spans="1:9" x14ac:dyDescent="0.25">
      <c r="A16" s="74" t="s">
        <v>293</v>
      </c>
      <c r="B16" s="114" t="s">
        <v>387</v>
      </c>
      <c r="C16" s="114"/>
      <c r="D16" s="114"/>
      <c r="E16" s="114"/>
    </row>
    <row r="17" spans="1:5" x14ac:dyDescent="0.25">
      <c r="A17" s="74" t="s">
        <v>760</v>
      </c>
      <c r="B17" s="114"/>
      <c r="C17" s="114"/>
      <c r="D17" s="114"/>
      <c r="E17" s="114"/>
    </row>
    <row r="18" spans="1:5" x14ac:dyDescent="0.25">
      <c r="A18" s="74" t="s">
        <v>297</v>
      </c>
      <c r="B18" s="162" t="str">
        <f>"26 May 2023"</f>
        <v>26 May 2023</v>
      </c>
      <c r="C18" s="114"/>
      <c r="D18" s="114"/>
      <c r="E18" s="114"/>
    </row>
    <row r="19" spans="1:5" x14ac:dyDescent="0.25">
      <c r="A19" s="74" t="s">
        <v>299</v>
      </c>
      <c r="B19" s="162">
        <v>45014</v>
      </c>
      <c r="C19" s="114"/>
      <c r="D19" s="114"/>
      <c r="E19" s="114"/>
    </row>
    <row r="20" spans="1:5" x14ac:dyDescent="0.25">
      <c r="A20" s="74" t="s">
        <v>301</v>
      </c>
      <c r="B20" s="114" t="s">
        <v>314</v>
      </c>
      <c r="C20" s="114"/>
      <c r="D20" s="114"/>
      <c r="E20" s="114"/>
    </row>
    <row r="21" spans="1:5" x14ac:dyDescent="0.25">
      <c r="A21" s="74" t="s">
        <v>307</v>
      </c>
      <c r="B21" s="114" t="s">
        <v>315</v>
      </c>
      <c r="C21" s="114"/>
      <c r="D21" s="114"/>
      <c r="E21" s="114"/>
    </row>
    <row r="23" spans="1:5" x14ac:dyDescent="0.25">
      <c r="B23" s="100" t="str">
        <f>HYPERLINK("#'Factor List'!A1","Back to Factor List")</f>
        <v>Back to Factor List</v>
      </c>
    </row>
    <row r="24" spans="1:5" x14ac:dyDescent="0.25">
      <c r="B24" s="100" t="s">
        <v>13</v>
      </c>
    </row>
    <row r="26" spans="1:5" ht="39" x14ac:dyDescent="0.25">
      <c r="A26" s="97" t="s">
        <v>417</v>
      </c>
      <c r="B26" s="97" t="s">
        <v>789</v>
      </c>
      <c r="C26" s="97" t="s">
        <v>790</v>
      </c>
      <c r="D26" s="97" t="s">
        <v>791</v>
      </c>
      <c r="E26" s="97" t="s">
        <v>792</v>
      </c>
    </row>
    <row r="27" spans="1:5" x14ac:dyDescent="0.25">
      <c r="A27" s="98">
        <v>55</v>
      </c>
      <c r="B27" s="99">
        <v>24.65</v>
      </c>
      <c r="C27" s="99">
        <v>1.7</v>
      </c>
      <c r="D27" s="99"/>
      <c r="E27" s="99"/>
    </row>
    <row r="28" spans="1:5" x14ac:dyDescent="0.25">
      <c r="A28" s="98">
        <v>56</v>
      </c>
      <c r="B28" s="99">
        <v>24.06</v>
      </c>
      <c r="C28" s="99">
        <v>1.71</v>
      </c>
      <c r="D28" s="99"/>
      <c r="E28" s="99"/>
    </row>
    <row r="29" spans="1:5" x14ac:dyDescent="0.25">
      <c r="A29" s="98">
        <v>57</v>
      </c>
      <c r="B29" s="99">
        <v>23.47</v>
      </c>
      <c r="C29" s="99">
        <v>1.72</v>
      </c>
      <c r="D29" s="99"/>
      <c r="E29" s="99"/>
    </row>
    <row r="30" spans="1:5" x14ac:dyDescent="0.25">
      <c r="A30" s="98">
        <v>58</v>
      </c>
      <c r="B30" s="99">
        <v>22.87</v>
      </c>
      <c r="C30" s="99">
        <v>1.73</v>
      </c>
      <c r="D30" s="99"/>
      <c r="E30" s="99"/>
    </row>
    <row r="31" spans="1:5" x14ac:dyDescent="0.25">
      <c r="A31" s="98">
        <v>59</v>
      </c>
      <c r="B31" s="99">
        <v>22.26</v>
      </c>
      <c r="C31" s="99">
        <v>1.74</v>
      </c>
      <c r="D31" s="99"/>
      <c r="E31" s="99"/>
    </row>
    <row r="32" spans="1:5" x14ac:dyDescent="0.25">
      <c r="A32" s="98">
        <v>60</v>
      </c>
      <c r="B32" s="99">
        <v>21.65</v>
      </c>
      <c r="C32" s="99">
        <v>1.75</v>
      </c>
      <c r="D32" s="99"/>
      <c r="E32" s="99"/>
    </row>
    <row r="33" spans="1:5" x14ac:dyDescent="0.25">
      <c r="A33" s="98">
        <v>61</v>
      </c>
      <c r="B33" s="99">
        <v>21.03</v>
      </c>
      <c r="C33" s="99">
        <v>1.75</v>
      </c>
      <c r="D33" s="99"/>
      <c r="E33" s="99"/>
    </row>
    <row r="34" spans="1:5" x14ac:dyDescent="0.25">
      <c r="A34" s="98">
        <v>62</v>
      </c>
      <c r="B34" s="99">
        <v>20.41</v>
      </c>
      <c r="C34" s="99">
        <v>1.76</v>
      </c>
      <c r="D34" s="99"/>
      <c r="E34" s="99"/>
    </row>
    <row r="35" spans="1:5" x14ac:dyDescent="0.25">
      <c r="A35" s="98">
        <v>63</v>
      </c>
      <c r="B35" s="99">
        <v>19.78</v>
      </c>
      <c r="C35" s="99">
        <v>1.77</v>
      </c>
      <c r="D35" s="99"/>
      <c r="E35" s="99"/>
    </row>
    <row r="36" spans="1:5" x14ac:dyDescent="0.25">
      <c r="A36" s="98">
        <v>64</v>
      </c>
      <c r="B36" s="99">
        <v>19.149999999999999</v>
      </c>
      <c r="C36" s="99">
        <v>1.77</v>
      </c>
      <c r="D36" s="99"/>
      <c r="E36" s="99"/>
    </row>
    <row r="37" spans="1:5" x14ac:dyDescent="0.25">
      <c r="A37" s="98">
        <v>65</v>
      </c>
      <c r="B37" s="99">
        <v>18.52</v>
      </c>
      <c r="C37" s="99">
        <v>1.76</v>
      </c>
      <c r="D37" s="99"/>
      <c r="E37" s="99"/>
    </row>
    <row r="38" spans="1:5" x14ac:dyDescent="0.25">
      <c r="A38" s="98">
        <v>66</v>
      </c>
      <c r="B38" s="99">
        <v>17.88</v>
      </c>
      <c r="C38" s="99">
        <v>1.76</v>
      </c>
      <c r="D38" s="99"/>
      <c r="E38" s="99"/>
    </row>
    <row r="39" spans="1:5" x14ac:dyDescent="0.25">
      <c r="A39" s="98">
        <v>67</v>
      </c>
      <c r="B39" s="99">
        <v>17.239999999999998</v>
      </c>
      <c r="C39" s="99">
        <v>1.76</v>
      </c>
      <c r="D39" s="99"/>
      <c r="E39" s="99"/>
    </row>
    <row r="40" spans="1:5" x14ac:dyDescent="0.25">
      <c r="A40" s="98">
        <v>68</v>
      </c>
      <c r="B40" s="99">
        <v>16.579999999999998</v>
      </c>
      <c r="C40" s="99">
        <v>1.76</v>
      </c>
      <c r="D40" s="99"/>
      <c r="E40" s="99"/>
    </row>
    <row r="41" spans="1:5" x14ac:dyDescent="0.25">
      <c r="A41" s="98">
        <v>69</v>
      </c>
      <c r="B41" s="99">
        <v>15.9</v>
      </c>
      <c r="C41" s="99">
        <v>1.69</v>
      </c>
      <c r="D41" s="99">
        <v>3.15</v>
      </c>
      <c r="E41" s="99">
        <v>2.81</v>
      </c>
    </row>
    <row r="42" spans="1:5" x14ac:dyDescent="0.25">
      <c r="A42" s="98">
        <v>70</v>
      </c>
      <c r="B42" s="99">
        <v>15.22</v>
      </c>
      <c r="C42" s="99">
        <v>1.63</v>
      </c>
      <c r="D42" s="99">
        <v>2.93</v>
      </c>
      <c r="E42" s="99">
        <v>2.6</v>
      </c>
    </row>
    <row r="43" spans="1:5" x14ac:dyDescent="0.25">
      <c r="A43" s="98">
        <v>71</v>
      </c>
      <c r="B43" s="99">
        <v>14.54</v>
      </c>
      <c r="C43" s="99">
        <v>1.62</v>
      </c>
      <c r="D43" s="99">
        <v>2.72</v>
      </c>
      <c r="E43" s="99">
        <v>2.4</v>
      </c>
    </row>
    <row r="44" spans="1:5" x14ac:dyDescent="0.25">
      <c r="A44" s="98">
        <v>72</v>
      </c>
      <c r="B44" s="99">
        <v>13.88</v>
      </c>
      <c r="C44" s="99">
        <v>1.61</v>
      </c>
      <c r="D44" s="99">
        <v>2.52</v>
      </c>
      <c r="E44" s="99">
        <v>2.21</v>
      </c>
    </row>
    <row r="45" spans="1:5" x14ac:dyDescent="0.25">
      <c r="A45" s="98">
        <v>73</v>
      </c>
      <c r="B45" s="99">
        <v>13.22</v>
      </c>
      <c r="C45" s="99">
        <v>1.6</v>
      </c>
      <c r="D45" s="99">
        <v>2.33</v>
      </c>
      <c r="E45" s="99">
        <v>2.02</v>
      </c>
    </row>
    <row r="46" spans="1:5" x14ac:dyDescent="0.25">
      <c r="A46" s="98">
        <v>74</v>
      </c>
      <c r="B46" s="99">
        <v>12.57</v>
      </c>
      <c r="C46" s="99">
        <v>1.48</v>
      </c>
      <c r="D46" s="99">
        <v>2.13</v>
      </c>
      <c r="E46" s="99">
        <v>1.85</v>
      </c>
    </row>
    <row r="47" spans="1:5" x14ac:dyDescent="0.25">
      <c r="A47" s="98">
        <v>75</v>
      </c>
      <c r="B47" s="99">
        <v>11.92</v>
      </c>
      <c r="C47" s="99">
        <v>1.37</v>
      </c>
      <c r="D47" s="99">
        <v>1.94</v>
      </c>
      <c r="E47" s="99">
        <v>1.68</v>
      </c>
    </row>
    <row r="48" spans="1:5" x14ac:dyDescent="0.25">
      <c r="A48" s="98">
        <v>76</v>
      </c>
      <c r="B48" s="99">
        <v>11.27</v>
      </c>
      <c r="C48" s="99">
        <v>1.35</v>
      </c>
      <c r="D48" s="99">
        <v>1.77</v>
      </c>
      <c r="E48" s="99">
        <v>1.52</v>
      </c>
    </row>
    <row r="49" spans="1:5" x14ac:dyDescent="0.25">
      <c r="A49" s="98">
        <v>77</v>
      </c>
      <c r="B49" s="99">
        <v>10.64</v>
      </c>
      <c r="C49" s="99">
        <v>1.33</v>
      </c>
      <c r="D49" s="99">
        <v>1.61</v>
      </c>
      <c r="E49" s="99">
        <v>1.37</v>
      </c>
    </row>
    <row r="50" spans="1:5" x14ac:dyDescent="0.25">
      <c r="A50" s="98">
        <v>78</v>
      </c>
      <c r="B50" s="99">
        <v>10.01</v>
      </c>
      <c r="C50" s="99">
        <v>1.31</v>
      </c>
      <c r="D50" s="99">
        <v>1.46</v>
      </c>
      <c r="E50" s="99">
        <v>1.23</v>
      </c>
    </row>
    <row r="51" spans="1:5" x14ac:dyDescent="0.25">
      <c r="A51" s="98">
        <v>79</v>
      </c>
      <c r="B51" s="99">
        <v>9.4</v>
      </c>
      <c r="C51" s="99">
        <v>1.1599999999999999</v>
      </c>
      <c r="D51" s="99">
        <v>1.31</v>
      </c>
      <c r="E51" s="99">
        <v>1.1000000000000001</v>
      </c>
    </row>
    <row r="52" spans="1:5" x14ac:dyDescent="0.25">
      <c r="A52" s="98">
        <v>80</v>
      </c>
      <c r="B52" s="99">
        <v>8.8000000000000007</v>
      </c>
      <c r="C52" s="99">
        <v>1.02</v>
      </c>
      <c r="D52" s="99">
        <v>1.1599999999999999</v>
      </c>
      <c r="E52" s="99">
        <v>0.97</v>
      </c>
    </row>
    <row r="53" spans="1:5" x14ac:dyDescent="0.25">
      <c r="A53" s="98">
        <v>81</v>
      </c>
      <c r="B53" s="99">
        <v>8.2100000000000009</v>
      </c>
      <c r="C53" s="99">
        <v>0.99</v>
      </c>
      <c r="D53" s="99">
        <v>1.04</v>
      </c>
      <c r="E53" s="99">
        <v>0.86</v>
      </c>
    </row>
    <row r="54" spans="1:5" x14ac:dyDescent="0.25">
      <c r="A54" s="98">
        <v>82</v>
      </c>
      <c r="B54" s="99">
        <v>7.65</v>
      </c>
      <c r="C54" s="99">
        <v>0.97</v>
      </c>
      <c r="D54" s="99">
        <v>0.93</v>
      </c>
      <c r="E54" s="99">
        <v>0.76</v>
      </c>
    </row>
    <row r="55" spans="1:5" x14ac:dyDescent="0.25">
      <c r="A55" s="98">
        <v>83</v>
      </c>
      <c r="B55" s="99">
        <v>7.11</v>
      </c>
      <c r="C55" s="99">
        <v>0.94</v>
      </c>
      <c r="D55" s="99">
        <v>0.82</v>
      </c>
      <c r="E55" s="99">
        <v>0.66</v>
      </c>
    </row>
    <row r="56" spans="1:5" x14ac:dyDescent="0.25">
      <c r="A56" s="98">
        <v>84</v>
      </c>
      <c r="B56" s="99">
        <v>6.58</v>
      </c>
      <c r="C56" s="99">
        <v>0.8</v>
      </c>
      <c r="D56" s="99">
        <v>0.72</v>
      </c>
      <c r="E56" s="99">
        <v>0.57999999999999996</v>
      </c>
    </row>
    <row r="57" spans="1:5" x14ac:dyDescent="0.25">
      <c r="A57" s="98">
        <v>85</v>
      </c>
      <c r="B57" s="99">
        <v>6.09</v>
      </c>
      <c r="C57" s="99">
        <v>0.66</v>
      </c>
      <c r="D57" s="99">
        <v>0.62</v>
      </c>
      <c r="E57" s="99">
        <v>0.5</v>
      </c>
    </row>
    <row r="58" spans="1:5" x14ac:dyDescent="0.25">
      <c r="A58" s="98">
        <v>86</v>
      </c>
      <c r="B58" s="99">
        <v>5.62</v>
      </c>
      <c r="C58" s="99">
        <v>0.63</v>
      </c>
      <c r="D58" s="99">
        <v>0.54</v>
      </c>
      <c r="E58" s="99">
        <v>0.44</v>
      </c>
    </row>
    <row r="59" spans="1:5" x14ac:dyDescent="0.25">
      <c r="A59" s="98">
        <v>87</v>
      </c>
      <c r="B59" s="99">
        <v>5.17</v>
      </c>
      <c r="C59" s="99">
        <v>0.61</v>
      </c>
      <c r="D59" s="99">
        <v>0.47</v>
      </c>
      <c r="E59" s="99">
        <v>0.38</v>
      </c>
    </row>
    <row r="60" spans="1:5" x14ac:dyDescent="0.25">
      <c r="A60" s="98">
        <v>88</v>
      </c>
      <c r="B60" s="99">
        <v>4.76</v>
      </c>
      <c r="C60" s="99">
        <v>0.57999999999999996</v>
      </c>
      <c r="D60" s="99">
        <v>0.41</v>
      </c>
      <c r="E60" s="99">
        <v>0.32</v>
      </c>
    </row>
    <row r="61" spans="1:5" x14ac:dyDescent="0.25">
      <c r="A61" s="98">
        <v>89</v>
      </c>
      <c r="B61" s="99">
        <v>4.37</v>
      </c>
      <c r="C61" s="99">
        <v>0.46</v>
      </c>
      <c r="D61" s="99">
        <v>0.35</v>
      </c>
      <c r="E61" s="99">
        <v>0.28000000000000003</v>
      </c>
    </row>
    <row r="62" spans="1:5" x14ac:dyDescent="0.25">
      <c r="A62" s="98">
        <v>90</v>
      </c>
      <c r="B62" s="99">
        <v>4.01</v>
      </c>
      <c r="C62" s="99">
        <v>0.34</v>
      </c>
      <c r="D62" s="99">
        <v>0.28999999999999998</v>
      </c>
      <c r="E62" s="99">
        <v>0.24</v>
      </c>
    </row>
    <row r="63" spans="1:5" x14ac:dyDescent="0.25">
      <c r="A63" s="98">
        <v>91</v>
      </c>
      <c r="B63" s="99">
        <v>3.68</v>
      </c>
      <c r="C63" s="99">
        <v>0.32</v>
      </c>
      <c r="D63" s="99">
        <v>0.25</v>
      </c>
      <c r="E63" s="99">
        <v>0.2</v>
      </c>
    </row>
    <row r="64" spans="1:5" x14ac:dyDescent="0.25">
      <c r="A64" s="98">
        <v>92</v>
      </c>
      <c r="B64" s="99">
        <v>3.38</v>
      </c>
      <c r="C64" s="99">
        <v>0.3</v>
      </c>
      <c r="D64" s="99">
        <v>0.22</v>
      </c>
      <c r="E64" s="99">
        <v>0.17</v>
      </c>
    </row>
    <row r="65" spans="1:5" x14ac:dyDescent="0.25">
      <c r="A65" s="98">
        <v>93</v>
      </c>
      <c r="B65" s="99">
        <v>3.11</v>
      </c>
      <c r="C65" s="99">
        <v>0.28999999999999998</v>
      </c>
      <c r="D65" s="99">
        <v>0.19</v>
      </c>
      <c r="E65" s="99">
        <v>0.15</v>
      </c>
    </row>
    <row r="66" spans="1:5" x14ac:dyDescent="0.25">
      <c r="A66" s="98">
        <v>94</v>
      </c>
      <c r="B66" s="99">
        <v>2.86</v>
      </c>
      <c r="C66" s="99">
        <v>0.27</v>
      </c>
      <c r="D66" s="99">
        <v>0.16</v>
      </c>
      <c r="E66" s="99">
        <v>0.13</v>
      </c>
    </row>
    <row r="67" spans="1:5" x14ac:dyDescent="0.25">
      <c r="A67" s="98">
        <v>95</v>
      </c>
      <c r="B67" s="99">
        <v>2.64</v>
      </c>
      <c r="C67" s="99">
        <v>0.25</v>
      </c>
      <c r="D67" s="99">
        <v>0.14000000000000001</v>
      </c>
      <c r="E67" s="99">
        <v>0.11</v>
      </c>
    </row>
    <row r="68" spans="1:5" x14ac:dyDescent="0.25">
      <c r="A68" s="98">
        <v>96</v>
      </c>
      <c r="B68" s="99">
        <v>2.44</v>
      </c>
      <c r="C68" s="99">
        <v>0.23</v>
      </c>
      <c r="D68" s="99">
        <v>0.13</v>
      </c>
      <c r="E68" s="99">
        <v>0.09</v>
      </c>
    </row>
    <row r="69" spans="1:5" x14ac:dyDescent="0.25">
      <c r="A69" s="98">
        <v>97</v>
      </c>
      <c r="B69" s="99">
        <v>2.27</v>
      </c>
      <c r="C69" s="99">
        <v>0.22</v>
      </c>
      <c r="D69" s="99">
        <v>0.11</v>
      </c>
      <c r="E69" s="99">
        <v>0.08</v>
      </c>
    </row>
    <row r="70" spans="1:5" x14ac:dyDescent="0.25">
      <c r="A70" s="98">
        <v>98</v>
      </c>
      <c r="B70" s="99">
        <v>2.12</v>
      </c>
      <c r="C70" s="99">
        <v>0.21</v>
      </c>
      <c r="D70" s="99">
        <v>0.1</v>
      </c>
      <c r="E70" s="99">
        <v>7.0000000000000007E-2</v>
      </c>
    </row>
    <row r="71" spans="1:5" x14ac:dyDescent="0.25">
      <c r="A71" s="98">
        <v>99</v>
      </c>
      <c r="B71" s="99">
        <v>2</v>
      </c>
      <c r="C71" s="99">
        <v>0.19</v>
      </c>
      <c r="D71" s="99">
        <v>0.09</v>
      </c>
      <c r="E71" s="99">
        <v>0.06</v>
      </c>
    </row>
    <row r="72" spans="1:5" x14ac:dyDescent="0.25">
      <c r="A72" s="98">
        <v>100</v>
      </c>
      <c r="B72" s="99">
        <v>1.91</v>
      </c>
      <c r="C72" s="99">
        <v>0.18</v>
      </c>
      <c r="D72" s="99">
        <v>0.08</v>
      </c>
      <c r="E72" s="99">
        <v>0.06</v>
      </c>
    </row>
  </sheetData>
  <sheetProtection algorithmName="SHA-512" hashValue="+rzqRD0mKwXxJ2yQbagUz8yGUYjDC1wOYtd9NqFekVFmui8UXTj6+/4ceH+JDD0LUqX2sAFyLjXOqyYwmENTkg==" saltValue="zs+c4/TS9VMe/btnqWOt7Q==" spinCount="100000" sheet="1" objects="1" scenarios="1"/>
  <conditionalFormatting sqref="A6:A21">
    <cfRule type="expression" dxfId="979" priority="13" stopIfTrue="1">
      <formula>MOD(ROW(),2)=0</formula>
    </cfRule>
    <cfRule type="expression" dxfId="978" priority="14" stopIfTrue="1">
      <formula>MOD(ROW(),2)&lt;&gt;0</formula>
    </cfRule>
  </conditionalFormatting>
  <conditionalFormatting sqref="A26:A72">
    <cfRule type="expression" dxfId="977" priority="5" stopIfTrue="1">
      <formula>MOD(ROW(),2)=0</formula>
    </cfRule>
    <cfRule type="expression" dxfId="976" priority="6" stopIfTrue="1">
      <formula>MOD(ROW(),2)&lt;&gt;0</formula>
    </cfRule>
  </conditionalFormatting>
  <conditionalFormatting sqref="B17:B21">
    <cfRule type="expression" dxfId="975" priority="1" stopIfTrue="1">
      <formula>MOD(ROW(),2)=0</formula>
    </cfRule>
    <cfRule type="expression" dxfId="974" priority="2" stopIfTrue="1">
      <formula>MOD(ROW(),2)&lt;&gt;0</formula>
    </cfRule>
  </conditionalFormatting>
  <conditionalFormatting sqref="B6:E21">
    <cfRule type="expression" dxfId="973" priority="21" stopIfTrue="1">
      <formula>MOD(ROW(),2)=0</formula>
    </cfRule>
    <cfRule type="expression" dxfId="972" priority="22" stopIfTrue="1">
      <formula>MOD(ROW(),2)&lt;&gt;0</formula>
    </cfRule>
  </conditionalFormatting>
  <conditionalFormatting sqref="B26:E72">
    <cfRule type="expression" dxfId="971" priority="7" stopIfTrue="1">
      <formula>MOD(ROW(),2)=0</formula>
    </cfRule>
    <cfRule type="expression" dxfId="970" priority="8" stopIfTrue="1">
      <formula>MOD(ROW(),2)&lt;&gt;0</formula>
    </cfRule>
  </conditionalFormatting>
  <hyperlinks>
    <hyperlink ref="B24" location="Assumptions!A1" display="Assumptions" xr:uid="{1B0F3D77-FBF6-464D-BEC8-99A89F383C3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A1:I102"/>
  <sheetViews>
    <sheetView showGridLines="0" zoomScale="85" zoomScaleNormal="85" workbookViewId="0">
      <selection activeCell="A4" sqref="A4"/>
    </sheetView>
  </sheetViews>
  <sheetFormatPr defaultColWidth="10" defaultRowHeight="12.5" x14ac:dyDescent="0.25"/>
  <cols>
    <col min="1" max="1" width="31.54296875" style="26" customWidth="1"/>
    <col min="2" max="5" width="22.54296875" style="26" customWidth="1"/>
    <col min="6"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PenCE - x-305</v>
      </c>
      <c r="B3" s="40"/>
      <c r="C3" s="40"/>
      <c r="D3" s="40"/>
      <c r="E3" s="40"/>
      <c r="F3" s="40"/>
      <c r="G3" s="40"/>
      <c r="H3" s="40"/>
      <c r="I3" s="40"/>
    </row>
    <row r="4" spans="1:9" x14ac:dyDescent="0.25">
      <c r="A4" s="42"/>
    </row>
    <row r="6" spans="1:9" ht="13" x14ac:dyDescent="0.3">
      <c r="A6" s="73" t="s">
        <v>274</v>
      </c>
      <c r="B6" s="114" t="s">
        <v>275</v>
      </c>
      <c r="C6" s="114"/>
      <c r="D6" s="114"/>
      <c r="E6" s="114"/>
    </row>
    <row r="7" spans="1:9" x14ac:dyDescent="0.25">
      <c r="A7" s="74" t="s">
        <v>276</v>
      </c>
      <c r="B7" s="114" t="s">
        <v>72</v>
      </c>
      <c r="C7" s="114"/>
      <c r="D7" s="114"/>
      <c r="E7" s="114"/>
    </row>
    <row r="8" spans="1:9" x14ac:dyDescent="0.25">
      <c r="A8" s="74" t="s">
        <v>278</v>
      </c>
      <c r="B8" s="114" t="s">
        <v>73</v>
      </c>
      <c r="C8" s="114"/>
      <c r="D8" s="114"/>
      <c r="E8" s="114"/>
    </row>
    <row r="9" spans="1:9" x14ac:dyDescent="0.25">
      <c r="A9" s="74" t="s">
        <v>280</v>
      </c>
      <c r="B9" s="114" t="s">
        <v>383</v>
      </c>
      <c r="C9" s="114"/>
      <c r="D9" s="114"/>
      <c r="E9" s="114"/>
    </row>
    <row r="10" spans="1:9" x14ac:dyDescent="0.25">
      <c r="A10" s="74" t="s">
        <v>6</v>
      </c>
      <c r="B10" s="114" t="s">
        <v>388</v>
      </c>
      <c r="C10" s="114"/>
      <c r="D10" s="114"/>
      <c r="E10" s="114"/>
    </row>
    <row r="11" spans="1:9" x14ac:dyDescent="0.25">
      <c r="A11" s="74" t="s">
        <v>283</v>
      </c>
      <c r="B11" s="114" t="s">
        <v>355</v>
      </c>
      <c r="C11" s="114"/>
      <c r="D11" s="114"/>
      <c r="E11" s="114"/>
    </row>
    <row r="12" spans="1:9" x14ac:dyDescent="0.25">
      <c r="A12" s="74" t="s">
        <v>285</v>
      </c>
      <c r="B12" s="114" t="s">
        <v>385</v>
      </c>
      <c r="C12" s="114"/>
      <c r="D12" s="114"/>
      <c r="E12" s="114"/>
    </row>
    <row r="13" spans="1:9" x14ac:dyDescent="0.25">
      <c r="A13" s="74" t="s">
        <v>287</v>
      </c>
      <c r="B13" s="114">
        <v>0</v>
      </c>
      <c r="C13" s="114"/>
      <c r="D13" s="114"/>
      <c r="E13" s="114"/>
    </row>
    <row r="14" spans="1:9" x14ac:dyDescent="0.25">
      <c r="A14" s="74" t="s">
        <v>289</v>
      </c>
      <c r="B14" s="114">
        <v>305</v>
      </c>
      <c r="C14" s="114"/>
      <c r="D14" s="114"/>
      <c r="E14" s="114"/>
    </row>
    <row r="15" spans="1:9" x14ac:dyDescent="0.25">
      <c r="A15" s="74" t="s">
        <v>291</v>
      </c>
      <c r="B15" s="114" t="s">
        <v>395</v>
      </c>
      <c r="C15" s="114"/>
      <c r="D15" s="114"/>
      <c r="E15" s="114"/>
    </row>
    <row r="16" spans="1:9" x14ac:dyDescent="0.25">
      <c r="A16" s="74" t="s">
        <v>293</v>
      </c>
      <c r="B16" s="114" t="s">
        <v>390</v>
      </c>
      <c r="C16" s="114"/>
      <c r="D16" s="114"/>
      <c r="E16" s="114"/>
    </row>
    <row r="17" spans="1:5" x14ac:dyDescent="0.25">
      <c r="A17" s="74" t="s">
        <v>760</v>
      </c>
      <c r="B17" s="114"/>
      <c r="C17" s="114"/>
      <c r="D17" s="114"/>
      <c r="E17" s="114"/>
    </row>
    <row r="18" spans="1:5" x14ac:dyDescent="0.25">
      <c r="A18" s="74" t="s">
        <v>297</v>
      </c>
      <c r="B18" s="162" t="str">
        <f>"26 May 2023"</f>
        <v>26 May 2023</v>
      </c>
      <c r="C18" s="114"/>
      <c r="D18" s="114"/>
      <c r="E18" s="114"/>
    </row>
    <row r="19" spans="1:5" x14ac:dyDescent="0.25">
      <c r="A19" s="74" t="s">
        <v>299</v>
      </c>
      <c r="B19" s="162">
        <v>45014</v>
      </c>
      <c r="C19" s="114"/>
      <c r="D19" s="114"/>
      <c r="E19" s="114"/>
    </row>
    <row r="20" spans="1:5" x14ac:dyDescent="0.25">
      <c r="A20" s="74" t="s">
        <v>301</v>
      </c>
      <c r="B20" s="114" t="s">
        <v>314</v>
      </c>
      <c r="C20" s="114"/>
      <c r="D20" s="114"/>
      <c r="E20" s="114"/>
    </row>
    <row r="21" spans="1:5" x14ac:dyDescent="0.25">
      <c r="A21" s="74" t="s">
        <v>307</v>
      </c>
      <c r="B21" s="114" t="s">
        <v>315</v>
      </c>
      <c r="C21" s="114"/>
      <c r="D21" s="114"/>
      <c r="E21" s="114"/>
    </row>
    <row r="23" spans="1:5" x14ac:dyDescent="0.25">
      <c r="B23" s="100" t="str">
        <f>HYPERLINK("#'Factor List'!A1","Back to Factor List")</f>
        <v>Back to Factor List</v>
      </c>
    </row>
    <row r="24" spans="1:5" x14ac:dyDescent="0.25">
      <c r="B24" s="100" t="s">
        <v>13</v>
      </c>
    </row>
    <row r="26" spans="1:5" ht="39" x14ac:dyDescent="0.25">
      <c r="A26" s="97" t="s">
        <v>417</v>
      </c>
      <c r="B26" s="97" t="s">
        <v>789</v>
      </c>
      <c r="C26" s="97" t="s">
        <v>790</v>
      </c>
      <c r="D26" s="97" t="s">
        <v>791</v>
      </c>
      <c r="E26" s="97" t="s">
        <v>792</v>
      </c>
    </row>
    <row r="27" spans="1:5" x14ac:dyDescent="0.25">
      <c r="A27" s="98">
        <v>20</v>
      </c>
      <c r="B27" s="99">
        <v>29.45</v>
      </c>
      <c r="C27" s="99">
        <v>7.03</v>
      </c>
      <c r="D27" s="99"/>
      <c r="E27" s="99"/>
    </row>
    <row r="28" spans="1:5" x14ac:dyDescent="0.25">
      <c r="A28" s="98">
        <v>21</v>
      </c>
      <c r="B28" s="99">
        <v>29.22</v>
      </c>
      <c r="C28" s="99">
        <v>6.97</v>
      </c>
      <c r="D28" s="99"/>
      <c r="E28" s="99"/>
    </row>
    <row r="29" spans="1:5" x14ac:dyDescent="0.25">
      <c r="A29" s="98">
        <v>22</v>
      </c>
      <c r="B29" s="99">
        <v>29</v>
      </c>
      <c r="C29" s="99">
        <v>6.9</v>
      </c>
      <c r="D29" s="99"/>
      <c r="E29" s="99"/>
    </row>
    <row r="30" spans="1:5" x14ac:dyDescent="0.25">
      <c r="A30" s="98">
        <v>23</v>
      </c>
      <c r="B30" s="99">
        <v>28.78</v>
      </c>
      <c r="C30" s="99">
        <v>6.83</v>
      </c>
      <c r="D30" s="99"/>
      <c r="E30" s="99"/>
    </row>
    <row r="31" spans="1:5" x14ac:dyDescent="0.25">
      <c r="A31" s="98">
        <v>24</v>
      </c>
      <c r="B31" s="99">
        <v>28.55</v>
      </c>
      <c r="C31" s="99">
        <v>6.75</v>
      </c>
      <c r="D31" s="99"/>
      <c r="E31" s="99"/>
    </row>
    <row r="32" spans="1:5" x14ac:dyDescent="0.25">
      <c r="A32" s="98">
        <v>25</v>
      </c>
      <c r="B32" s="99">
        <v>28.32</v>
      </c>
      <c r="C32" s="99">
        <v>6.68</v>
      </c>
      <c r="D32" s="99"/>
      <c r="E32" s="99"/>
    </row>
    <row r="33" spans="1:5" x14ac:dyDescent="0.25">
      <c r="A33" s="98">
        <v>26</v>
      </c>
      <c r="B33" s="99">
        <v>28.09</v>
      </c>
      <c r="C33" s="99">
        <v>6.6</v>
      </c>
      <c r="D33" s="99"/>
      <c r="E33" s="99"/>
    </row>
    <row r="34" spans="1:5" x14ac:dyDescent="0.25">
      <c r="A34" s="98">
        <v>27</v>
      </c>
      <c r="B34" s="99">
        <v>27.86</v>
      </c>
      <c r="C34" s="99">
        <v>6.52</v>
      </c>
      <c r="D34" s="99"/>
      <c r="E34" s="99"/>
    </row>
    <row r="35" spans="1:5" x14ac:dyDescent="0.25">
      <c r="A35" s="98">
        <v>28</v>
      </c>
      <c r="B35" s="99">
        <v>27.64</v>
      </c>
      <c r="C35" s="99">
        <v>6.44</v>
      </c>
      <c r="D35" s="99"/>
      <c r="E35" s="99"/>
    </row>
    <row r="36" spans="1:5" x14ac:dyDescent="0.25">
      <c r="A36" s="98">
        <v>29</v>
      </c>
      <c r="B36" s="99">
        <v>27.42</v>
      </c>
      <c r="C36" s="99">
        <v>6.35</v>
      </c>
      <c r="D36" s="99"/>
      <c r="E36" s="99"/>
    </row>
    <row r="37" spans="1:5" x14ac:dyDescent="0.25">
      <c r="A37" s="98">
        <v>30</v>
      </c>
      <c r="B37" s="99">
        <v>27.21</v>
      </c>
      <c r="C37" s="99">
        <v>6.25</v>
      </c>
      <c r="D37" s="99"/>
      <c r="E37" s="99"/>
    </row>
    <row r="38" spans="1:5" x14ac:dyDescent="0.25">
      <c r="A38" s="98">
        <v>31</v>
      </c>
      <c r="B38" s="99">
        <v>26.99</v>
      </c>
      <c r="C38" s="99">
        <v>6.14</v>
      </c>
      <c r="D38" s="99"/>
      <c r="E38" s="99"/>
    </row>
    <row r="39" spans="1:5" x14ac:dyDescent="0.25">
      <c r="A39" s="98">
        <v>32</v>
      </c>
      <c r="B39" s="99">
        <v>26.78</v>
      </c>
      <c r="C39" s="99">
        <v>6.04</v>
      </c>
      <c r="D39" s="99"/>
      <c r="E39" s="99"/>
    </row>
    <row r="40" spans="1:5" x14ac:dyDescent="0.25">
      <c r="A40" s="98">
        <v>33</v>
      </c>
      <c r="B40" s="99">
        <v>26.57</v>
      </c>
      <c r="C40" s="99">
        <v>5.93</v>
      </c>
      <c r="D40" s="99"/>
      <c r="E40" s="99"/>
    </row>
    <row r="41" spans="1:5" x14ac:dyDescent="0.25">
      <c r="A41" s="98">
        <v>34</v>
      </c>
      <c r="B41" s="99">
        <v>26.35</v>
      </c>
      <c r="C41" s="99">
        <v>5.81</v>
      </c>
      <c r="D41" s="99"/>
      <c r="E41" s="99"/>
    </row>
    <row r="42" spans="1:5" x14ac:dyDescent="0.25">
      <c r="A42" s="98">
        <v>35</v>
      </c>
      <c r="B42" s="99">
        <v>26.14</v>
      </c>
      <c r="C42" s="99">
        <v>5.7</v>
      </c>
      <c r="D42" s="99"/>
      <c r="E42" s="99"/>
    </row>
    <row r="43" spans="1:5" x14ac:dyDescent="0.25">
      <c r="A43" s="98">
        <v>36</v>
      </c>
      <c r="B43" s="99">
        <v>25.92</v>
      </c>
      <c r="C43" s="99">
        <v>5.58</v>
      </c>
      <c r="D43" s="99"/>
      <c r="E43" s="99"/>
    </row>
    <row r="44" spans="1:5" x14ac:dyDescent="0.25">
      <c r="A44" s="98">
        <v>37</v>
      </c>
      <c r="B44" s="99">
        <v>25.7</v>
      </c>
      <c r="C44" s="99">
        <v>5.46</v>
      </c>
      <c r="D44" s="99"/>
      <c r="E44" s="99"/>
    </row>
    <row r="45" spans="1:5" x14ac:dyDescent="0.25">
      <c r="A45" s="98">
        <v>38</v>
      </c>
      <c r="B45" s="99">
        <v>25.47</v>
      </c>
      <c r="C45" s="99">
        <v>5.34</v>
      </c>
      <c r="D45" s="99"/>
      <c r="E45" s="99"/>
    </row>
    <row r="46" spans="1:5" x14ac:dyDescent="0.25">
      <c r="A46" s="98">
        <v>39</v>
      </c>
      <c r="B46" s="99">
        <v>25.24</v>
      </c>
      <c r="C46" s="99">
        <v>5.23</v>
      </c>
      <c r="D46" s="99"/>
      <c r="E46" s="99"/>
    </row>
    <row r="47" spans="1:5" x14ac:dyDescent="0.25">
      <c r="A47" s="98">
        <v>40</v>
      </c>
      <c r="B47" s="99">
        <v>24.99</v>
      </c>
      <c r="C47" s="99">
        <v>5.1100000000000003</v>
      </c>
      <c r="D47" s="99"/>
      <c r="E47" s="99"/>
    </row>
    <row r="48" spans="1:5" x14ac:dyDescent="0.25">
      <c r="A48" s="98">
        <v>41</v>
      </c>
      <c r="B48" s="99">
        <v>24.74</v>
      </c>
      <c r="C48" s="99">
        <v>5</v>
      </c>
      <c r="D48" s="99"/>
      <c r="E48" s="99"/>
    </row>
    <row r="49" spans="1:5" x14ac:dyDescent="0.25">
      <c r="A49" s="98">
        <v>42</v>
      </c>
      <c r="B49" s="99">
        <v>24.48</v>
      </c>
      <c r="C49" s="99">
        <v>4.88</v>
      </c>
      <c r="D49" s="99"/>
      <c r="E49" s="99"/>
    </row>
    <row r="50" spans="1:5" x14ac:dyDescent="0.25">
      <c r="A50" s="98">
        <v>43</v>
      </c>
      <c r="B50" s="99">
        <v>24.21</v>
      </c>
      <c r="C50" s="99">
        <v>4.7699999999999996</v>
      </c>
      <c r="D50" s="99"/>
      <c r="E50" s="99"/>
    </row>
    <row r="51" spans="1:5" x14ac:dyDescent="0.25">
      <c r="A51" s="98">
        <v>44</v>
      </c>
      <c r="B51" s="99">
        <v>23.93</v>
      </c>
      <c r="C51" s="99">
        <v>4.6500000000000004</v>
      </c>
      <c r="D51" s="99"/>
      <c r="E51" s="99"/>
    </row>
    <row r="52" spans="1:5" x14ac:dyDescent="0.25">
      <c r="A52" s="98">
        <v>45</v>
      </c>
      <c r="B52" s="99">
        <v>23.64</v>
      </c>
      <c r="C52" s="99">
        <v>4.54</v>
      </c>
      <c r="D52" s="99"/>
      <c r="E52" s="99"/>
    </row>
    <row r="53" spans="1:5" x14ac:dyDescent="0.25">
      <c r="A53" s="98">
        <v>46</v>
      </c>
      <c r="B53" s="99">
        <v>23.35</v>
      </c>
      <c r="C53" s="99">
        <v>4.43</v>
      </c>
      <c r="D53" s="99"/>
      <c r="E53" s="99"/>
    </row>
    <row r="54" spans="1:5" x14ac:dyDescent="0.25">
      <c r="A54" s="98">
        <v>47</v>
      </c>
      <c r="B54" s="99">
        <v>23.05</v>
      </c>
      <c r="C54" s="99">
        <v>4.3099999999999996</v>
      </c>
      <c r="D54" s="99"/>
      <c r="E54" s="99"/>
    </row>
    <row r="55" spans="1:5" x14ac:dyDescent="0.25">
      <c r="A55" s="98">
        <v>48</v>
      </c>
      <c r="B55" s="99">
        <v>22.74</v>
      </c>
      <c r="C55" s="99">
        <v>4.2</v>
      </c>
      <c r="D55" s="99"/>
      <c r="E55" s="99"/>
    </row>
    <row r="56" spans="1:5" x14ac:dyDescent="0.25">
      <c r="A56" s="98">
        <v>49</v>
      </c>
      <c r="B56" s="99">
        <v>22.41</v>
      </c>
      <c r="C56" s="99">
        <v>4.0999999999999996</v>
      </c>
      <c r="D56" s="99"/>
      <c r="E56" s="99"/>
    </row>
    <row r="57" spans="1:5" x14ac:dyDescent="0.25">
      <c r="A57" s="98">
        <v>50</v>
      </c>
      <c r="B57" s="99">
        <v>22.07</v>
      </c>
      <c r="C57" s="99">
        <v>4</v>
      </c>
      <c r="D57" s="99"/>
      <c r="E57" s="99"/>
    </row>
    <row r="58" spans="1:5" x14ac:dyDescent="0.25">
      <c r="A58" s="98">
        <v>51</v>
      </c>
      <c r="B58" s="99">
        <v>21.71</v>
      </c>
      <c r="C58" s="99">
        <v>3.9</v>
      </c>
      <c r="D58" s="99"/>
      <c r="E58" s="99"/>
    </row>
    <row r="59" spans="1:5" x14ac:dyDescent="0.25">
      <c r="A59" s="98">
        <v>52</v>
      </c>
      <c r="B59" s="99">
        <v>21.34</v>
      </c>
      <c r="C59" s="99">
        <v>3.8</v>
      </c>
      <c r="D59" s="99"/>
      <c r="E59" s="99"/>
    </row>
    <row r="60" spans="1:5" x14ac:dyDescent="0.25">
      <c r="A60" s="98">
        <v>53</v>
      </c>
      <c r="B60" s="99">
        <v>20.96</v>
      </c>
      <c r="C60" s="99">
        <v>3.71</v>
      </c>
      <c r="D60" s="99"/>
      <c r="E60" s="99"/>
    </row>
    <row r="61" spans="1:5" x14ac:dyDescent="0.25">
      <c r="A61" s="98">
        <v>54</v>
      </c>
      <c r="B61" s="99">
        <v>20.56</v>
      </c>
      <c r="C61" s="99">
        <v>3.63</v>
      </c>
      <c r="D61" s="99"/>
      <c r="E61" s="99"/>
    </row>
    <row r="62" spans="1:5" x14ac:dyDescent="0.25">
      <c r="A62" s="98">
        <v>55</v>
      </c>
      <c r="B62" s="99">
        <v>20.149999999999999</v>
      </c>
      <c r="C62" s="99">
        <v>3.55</v>
      </c>
      <c r="D62" s="99"/>
      <c r="E62" s="99"/>
    </row>
    <row r="63" spans="1:5" x14ac:dyDescent="0.25">
      <c r="A63" s="98">
        <v>56</v>
      </c>
      <c r="B63" s="99">
        <v>19.72</v>
      </c>
      <c r="C63" s="99">
        <v>3.47</v>
      </c>
      <c r="D63" s="99"/>
      <c r="E63" s="99"/>
    </row>
    <row r="64" spans="1:5" x14ac:dyDescent="0.25">
      <c r="A64" s="98">
        <v>57</v>
      </c>
      <c r="B64" s="99">
        <v>19.28</v>
      </c>
      <c r="C64" s="99">
        <v>3.4</v>
      </c>
      <c r="D64" s="99"/>
      <c r="E64" s="99"/>
    </row>
    <row r="65" spans="1:5" x14ac:dyDescent="0.25">
      <c r="A65" s="98">
        <v>58</v>
      </c>
      <c r="B65" s="99">
        <v>18.82</v>
      </c>
      <c r="C65" s="99">
        <v>3.33</v>
      </c>
      <c r="D65" s="99"/>
      <c r="E65" s="99"/>
    </row>
    <row r="66" spans="1:5" x14ac:dyDescent="0.25">
      <c r="A66" s="98">
        <v>59</v>
      </c>
      <c r="B66" s="99">
        <v>18.350000000000001</v>
      </c>
      <c r="C66" s="99">
        <v>3.26</v>
      </c>
      <c r="D66" s="99"/>
      <c r="E66" s="99"/>
    </row>
    <row r="67" spans="1:5" x14ac:dyDescent="0.25">
      <c r="A67" s="98">
        <v>60</v>
      </c>
      <c r="B67" s="99">
        <v>17.87</v>
      </c>
      <c r="C67" s="99">
        <v>3.2</v>
      </c>
      <c r="D67" s="99"/>
      <c r="E67" s="99"/>
    </row>
    <row r="68" spans="1:5" x14ac:dyDescent="0.25">
      <c r="A68" s="98">
        <v>61</v>
      </c>
      <c r="B68" s="99">
        <v>17.37</v>
      </c>
      <c r="C68" s="99">
        <v>3.14</v>
      </c>
      <c r="D68" s="99"/>
      <c r="E68" s="99"/>
    </row>
    <row r="69" spans="1:5" x14ac:dyDescent="0.25">
      <c r="A69" s="98">
        <v>62</v>
      </c>
      <c r="B69" s="99">
        <v>16.86</v>
      </c>
      <c r="C69" s="99">
        <v>3.08</v>
      </c>
      <c r="D69" s="99"/>
      <c r="E69" s="99"/>
    </row>
    <row r="70" spans="1:5" x14ac:dyDescent="0.25">
      <c r="A70" s="98">
        <v>63</v>
      </c>
      <c r="B70" s="99">
        <v>16.329999999999998</v>
      </c>
      <c r="C70" s="99">
        <v>3.03</v>
      </c>
      <c r="D70" s="99"/>
      <c r="E70" s="99"/>
    </row>
    <row r="71" spans="1:5" x14ac:dyDescent="0.25">
      <c r="A71" s="98">
        <v>64</v>
      </c>
      <c r="B71" s="99">
        <v>15.79</v>
      </c>
      <c r="C71" s="99">
        <v>2.98</v>
      </c>
      <c r="D71" s="99"/>
      <c r="E71" s="99"/>
    </row>
    <row r="72" spans="1:5" x14ac:dyDescent="0.25">
      <c r="A72" s="98">
        <v>65</v>
      </c>
      <c r="B72" s="99">
        <v>15.24</v>
      </c>
      <c r="C72" s="99">
        <v>2.93</v>
      </c>
      <c r="D72" s="99"/>
      <c r="E72" s="99"/>
    </row>
    <row r="73" spans="1:5" x14ac:dyDescent="0.25">
      <c r="A73" s="98">
        <v>66</v>
      </c>
      <c r="B73" s="99">
        <v>14.68</v>
      </c>
      <c r="C73" s="99">
        <v>2.88</v>
      </c>
      <c r="D73" s="99"/>
      <c r="E73" s="99"/>
    </row>
    <row r="74" spans="1:5" x14ac:dyDescent="0.25">
      <c r="A74" s="98">
        <v>67</v>
      </c>
      <c r="B74" s="99">
        <v>14.11</v>
      </c>
      <c r="C74" s="99">
        <v>2.84</v>
      </c>
      <c r="D74" s="99"/>
      <c r="E74" s="99"/>
    </row>
    <row r="75" spans="1:5" x14ac:dyDescent="0.25">
      <c r="A75" s="98">
        <v>68</v>
      </c>
      <c r="B75" s="99">
        <v>13.53</v>
      </c>
      <c r="C75" s="99">
        <v>2.8</v>
      </c>
      <c r="D75" s="99"/>
      <c r="E75" s="99"/>
    </row>
    <row r="76" spans="1:5" x14ac:dyDescent="0.25">
      <c r="A76" s="98">
        <v>69</v>
      </c>
      <c r="B76" s="99">
        <v>12.95</v>
      </c>
      <c r="C76" s="99">
        <v>2.67</v>
      </c>
      <c r="D76" s="99">
        <v>2.37</v>
      </c>
      <c r="E76" s="99">
        <v>2.12</v>
      </c>
    </row>
    <row r="77" spans="1:5" x14ac:dyDescent="0.25">
      <c r="A77" s="98">
        <v>70</v>
      </c>
      <c r="B77" s="99">
        <v>12.36</v>
      </c>
      <c r="C77" s="99">
        <v>2.54</v>
      </c>
      <c r="D77" s="99">
        <v>2.19</v>
      </c>
      <c r="E77" s="99">
        <v>1.95</v>
      </c>
    </row>
    <row r="78" spans="1:5" x14ac:dyDescent="0.25">
      <c r="A78" s="98">
        <v>71</v>
      </c>
      <c r="B78" s="99">
        <v>11.76</v>
      </c>
      <c r="C78" s="99">
        <v>2.5</v>
      </c>
      <c r="D78" s="99">
        <v>2.02</v>
      </c>
      <c r="E78" s="99">
        <v>1.78</v>
      </c>
    </row>
    <row r="79" spans="1:5" x14ac:dyDescent="0.25">
      <c r="A79" s="98">
        <v>72</v>
      </c>
      <c r="B79" s="99">
        <v>11.18</v>
      </c>
      <c r="C79" s="99">
        <v>2.46</v>
      </c>
      <c r="D79" s="99">
        <v>1.87</v>
      </c>
      <c r="E79" s="99">
        <v>1.63</v>
      </c>
    </row>
    <row r="80" spans="1:5" x14ac:dyDescent="0.25">
      <c r="A80" s="98">
        <v>73</v>
      </c>
      <c r="B80" s="99">
        <v>10.59</v>
      </c>
      <c r="C80" s="99">
        <v>2.41</v>
      </c>
      <c r="D80" s="99">
        <v>1.72</v>
      </c>
      <c r="E80" s="99">
        <v>1.48</v>
      </c>
    </row>
    <row r="81" spans="1:5" x14ac:dyDescent="0.25">
      <c r="A81" s="98">
        <v>74</v>
      </c>
      <c r="B81" s="99">
        <v>10.01</v>
      </c>
      <c r="C81" s="99">
        <v>2.2200000000000002</v>
      </c>
      <c r="D81" s="99">
        <v>1.55</v>
      </c>
      <c r="E81" s="99">
        <v>1.34</v>
      </c>
    </row>
    <row r="82" spans="1:5" x14ac:dyDescent="0.25">
      <c r="A82" s="98">
        <v>75</v>
      </c>
      <c r="B82" s="99">
        <v>9.44</v>
      </c>
      <c r="C82" s="99">
        <v>2.0299999999999998</v>
      </c>
      <c r="D82" s="99">
        <v>1.4</v>
      </c>
      <c r="E82" s="99">
        <v>1.21</v>
      </c>
    </row>
    <row r="83" spans="1:5" x14ac:dyDescent="0.25">
      <c r="A83" s="98">
        <v>76</v>
      </c>
      <c r="B83" s="99">
        <v>8.8699999999999992</v>
      </c>
      <c r="C83" s="99">
        <v>1.98</v>
      </c>
      <c r="D83" s="99">
        <v>1.27</v>
      </c>
      <c r="E83" s="99">
        <v>1.08</v>
      </c>
    </row>
    <row r="84" spans="1:5" x14ac:dyDescent="0.25">
      <c r="A84" s="98">
        <v>77</v>
      </c>
      <c r="B84" s="99">
        <v>8.32</v>
      </c>
      <c r="C84" s="99">
        <v>1.93</v>
      </c>
      <c r="D84" s="99">
        <v>1.1499999999999999</v>
      </c>
      <c r="E84" s="99">
        <v>0.97</v>
      </c>
    </row>
    <row r="85" spans="1:5" x14ac:dyDescent="0.25">
      <c r="A85" s="98">
        <v>78</v>
      </c>
      <c r="B85" s="99">
        <v>7.79</v>
      </c>
      <c r="C85" s="99">
        <v>1.88</v>
      </c>
      <c r="D85" s="99">
        <v>1.04</v>
      </c>
      <c r="E85" s="99">
        <v>0.86</v>
      </c>
    </row>
    <row r="86" spans="1:5" x14ac:dyDescent="0.25">
      <c r="A86" s="98">
        <v>79</v>
      </c>
      <c r="B86" s="99">
        <v>7.27</v>
      </c>
      <c r="C86" s="99">
        <v>1.66</v>
      </c>
      <c r="D86" s="99">
        <v>0.91</v>
      </c>
      <c r="E86" s="99">
        <v>0.76</v>
      </c>
    </row>
    <row r="87" spans="1:5" x14ac:dyDescent="0.25">
      <c r="A87" s="98">
        <v>80</v>
      </c>
      <c r="B87" s="99">
        <v>6.77</v>
      </c>
      <c r="C87" s="99">
        <v>1.44</v>
      </c>
      <c r="D87" s="99">
        <v>0.79</v>
      </c>
      <c r="E87" s="99">
        <v>0.67</v>
      </c>
    </row>
    <row r="88" spans="1:5" x14ac:dyDescent="0.25">
      <c r="A88" s="98">
        <v>81</v>
      </c>
      <c r="B88" s="99">
        <v>6.3</v>
      </c>
      <c r="C88" s="99">
        <v>1.39</v>
      </c>
      <c r="D88" s="99">
        <v>0.71</v>
      </c>
      <c r="E88" s="99">
        <v>0.59</v>
      </c>
    </row>
    <row r="89" spans="1:5" x14ac:dyDescent="0.25">
      <c r="A89" s="98">
        <v>82</v>
      </c>
      <c r="B89" s="99">
        <v>5.84</v>
      </c>
      <c r="C89" s="99">
        <v>1.33</v>
      </c>
      <c r="D89" s="99">
        <v>0.63</v>
      </c>
      <c r="E89" s="99">
        <v>0.51</v>
      </c>
    </row>
    <row r="90" spans="1:5" x14ac:dyDescent="0.25">
      <c r="A90" s="98">
        <v>83</v>
      </c>
      <c r="B90" s="99">
        <v>5.4</v>
      </c>
      <c r="C90" s="99">
        <v>1.28</v>
      </c>
      <c r="D90" s="99">
        <v>0.56000000000000005</v>
      </c>
      <c r="E90" s="99">
        <v>0.45</v>
      </c>
    </row>
    <row r="91" spans="1:5" x14ac:dyDescent="0.25">
      <c r="A91" s="98">
        <v>84</v>
      </c>
      <c r="B91" s="99">
        <v>4.99</v>
      </c>
      <c r="C91" s="99">
        <v>1.08</v>
      </c>
      <c r="D91" s="99">
        <v>0.47</v>
      </c>
      <c r="E91" s="99">
        <v>0.39</v>
      </c>
    </row>
    <row r="92" spans="1:5" x14ac:dyDescent="0.25">
      <c r="A92" s="98">
        <v>85</v>
      </c>
      <c r="B92" s="99">
        <v>4.5999999999999996</v>
      </c>
      <c r="C92" s="99">
        <v>0.88</v>
      </c>
      <c r="D92" s="99">
        <v>0.39</v>
      </c>
      <c r="E92" s="99">
        <v>0.33</v>
      </c>
    </row>
    <row r="93" spans="1:5" x14ac:dyDescent="0.25">
      <c r="A93" s="98">
        <v>86</v>
      </c>
      <c r="B93" s="99">
        <v>4.2300000000000004</v>
      </c>
      <c r="C93" s="99">
        <v>0.84</v>
      </c>
      <c r="D93" s="99">
        <v>0.34</v>
      </c>
      <c r="E93" s="99">
        <v>0.28999999999999998</v>
      </c>
    </row>
    <row r="94" spans="1:5" x14ac:dyDescent="0.25">
      <c r="A94" s="98">
        <v>87</v>
      </c>
      <c r="B94" s="99">
        <v>3.88</v>
      </c>
      <c r="C94" s="99">
        <v>0.79</v>
      </c>
      <c r="D94" s="99">
        <v>0.3</v>
      </c>
      <c r="E94" s="99">
        <v>0.24</v>
      </c>
    </row>
    <row r="95" spans="1:5" x14ac:dyDescent="0.25">
      <c r="A95" s="98">
        <v>88</v>
      </c>
      <c r="B95" s="99">
        <v>3.56</v>
      </c>
      <c r="C95" s="99">
        <v>0.75</v>
      </c>
      <c r="D95" s="99">
        <v>0.26</v>
      </c>
      <c r="E95" s="99">
        <v>0.21</v>
      </c>
    </row>
    <row r="96" spans="1:5" x14ac:dyDescent="0.25">
      <c r="A96" s="98">
        <v>89</v>
      </c>
      <c r="B96" s="99">
        <v>3.25</v>
      </c>
      <c r="C96" s="99">
        <v>0.59</v>
      </c>
      <c r="D96" s="99">
        <v>0.21</v>
      </c>
      <c r="E96" s="99">
        <v>0.18</v>
      </c>
    </row>
    <row r="97" spans="1:5" x14ac:dyDescent="0.25">
      <c r="A97" s="98">
        <v>90</v>
      </c>
      <c r="B97" s="99">
        <v>2.97</v>
      </c>
      <c r="C97" s="99">
        <v>0.44</v>
      </c>
      <c r="D97" s="99">
        <v>0.17</v>
      </c>
      <c r="E97" s="99">
        <v>0.15</v>
      </c>
    </row>
    <row r="98" spans="1:5" x14ac:dyDescent="0.25">
      <c r="A98" s="98">
        <v>91</v>
      </c>
      <c r="B98" s="99">
        <v>2.72</v>
      </c>
      <c r="C98" s="99">
        <v>0.41</v>
      </c>
      <c r="D98" s="99">
        <v>0.15</v>
      </c>
      <c r="E98" s="99">
        <v>0.13</v>
      </c>
    </row>
    <row r="99" spans="1:5" x14ac:dyDescent="0.25">
      <c r="A99" s="98">
        <v>92</v>
      </c>
      <c r="B99" s="99">
        <v>2.48</v>
      </c>
      <c r="C99" s="99">
        <v>0.38</v>
      </c>
      <c r="D99" s="99">
        <v>0.12</v>
      </c>
      <c r="E99" s="99">
        <v>0.11</v>
      </c>
    </row>
    <row r="100" spans="1:5" x14ac:dyDescent="0.25">
      <c r="A100" s="98">
        <v>93</v>
      </c>
      <c r="B100" s="99">
        <v>2.27</v>
      </c>
      <c r="C100" s="99">
        <v>0.36</v>
      </c>
      <c r="D100" s="99">
        <v>0.11</v>
      </c>
      <c r="E100" s="99">
        <v>0.09</v>
      </c>
    </row>
    <row r="101" spans="1:5" x14ac:dyDescent="0.25">
      <c r="A101" s="98">
        <v>94</v>
      </c>
      <c r="B101" s="99">
        <v>2.08</v>
      </c>
      <c r="C101" s="99">
        <v>0.33</v>
      </c>
      <c r="D101" s="99">
        <v>0.09</v>
      </c>
      <c r="E101" s="99">
        <v>7.0000000000000007E-2</v>
      </c>
    </row>
    <row r="102" spans="1:5" x14ac:dyDescent="0.25">
      <c r="A102" s="98">
        <v>95</v>
      </c>
      <c r="B102" s="99">
        <v>1.9</v>
      </c>
      <c r="C102" s="99">
        <v>0.31</v>
      </c>
      <c r="D102" s="99">
        <v>0.08</v>
      </c>
      <c r="E102" s="99">
        <v>0.06</v>
      </c>
    </row>
  </sheetData>
  <sheetProtection algorithmName="SHA-512" hashValue="vlymFDOWd7RXSTQl8CRz1SUIV4LZ9f9nsO5g7CE4c2TFmZrYKRtGh/7ECul07wvqN5d/cLjapOv9OQGEmCMlxA==" saltValue="LJfyKF+r7g894YXNNLg6Yw==" spinCount="100000" sheet="1" objects="1" scenarios="1"/>
  <conditionalFormatting sqref="A6:A21">
    <cfRule type="expression" dxfId="969" priority="13" stopIfTrue="1">
      <formula>MOD(ROW(),2)=0</formula>
    </cfRule>
    <cfRule type="expression" dxfId="968" priority="14" stopIfTrue="1">
      <formula>MOD(ROW(),2)&lt;&gt;0</formula>
    </cfRule>
  </conditionalFormatting>
  <conditionalFormatting sqref="A26:A102">
    <cfRule type="expression" dxfId="967" priority="5" stopIfTrue="1">
      <formula>MOD(ROW(),2)=0</formula>
    </cfRule>
    <cfRule type="expression" dxfId="966" priority="6" stopIfTrue="1">
      <formula>MOD(ROW(),2)&lt;&gt;0</formula>
    </cfRule>
  </conditionalFormatting>
  <conditionalFormatting sqref="B17:B21">
    <cfRule type="expression" dxfId="965" priority="1" stopIfTrue="1">
      <formula>MOD(ROW(),2)=0</formula>
    </cfRule>
    <cfRule type="expression" dxfId="964" priority="2" stopIfTrue="1">
      <formula>MOD(ROW(),2)&lt;&gt;0</formula>
    </cfRule>
  </conditionalFormatting>
  <conditionalFormatting sqref="B6:E21">
    <cfRule type="expression" dxfId="963" priority="21" stopIfTrue="1">
      <formula>MOD(ROW(),2)=0</formula>
    </cfRule>
    <cfRule type="expression" dxfId="962" priority="22" stopIfTrue="1">
      <formula>MOD(ROW(),2)&lt;&gt;0</formula>
    </cfRule>
  </conditionalFormatting>
  <conditionalFormatting sqref="B26:E102">
    <cfRule type="expression" dxfId="961" priority="7" stopIfTrue="1">
      <formula>MOD(ROW(),2)=0</formula>
    </cfRule>
    <cfRule type="expression" dxfId="960" priority="8" stopIfTrue="1">
      <formula>MOD(ROW(),2)&lt;&gt;0</formula>
    </cfRule>
  </conditionalFormatting>
  <hyperlinks>
    <hyperlink ref="B24" location="Assumptions!A1" display="Assumptions" xr:uid="{74BC89CB-C03D-4897-93AF-B00EA31369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7"/>
  <dimension ref="A1:I67"/>
  <sheetViews>
    <sheetView showGridLines="0" zoomScale="85" zoomScaleNormal="85" workbookViewId="0">
      <selection activeCell="A4" sqref="A4"/>
    </sheetView>
  </sheetViews>
  <sheetFormatPr defaultColWidth="10" defaultRowHeight="12.5" x14ac:dyDescent="0.25"/>
  <cols>
    <col min="1" max="1" width="31.54296875" style="26" customWidth="1"/>
    <col min="2" max="4" width="22.54296875"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Pension Credit - x-306</v>
      </c>
      <c r="B3" s="40"/>
      <c r="C3" s="40"/>
      <c r="D3" s="40"/>
      <c r="E3" s="40"/>
      <c r="F3" s="40"/>
      <c r="G3" s="40"/>
      <c r="H3" s="40"/>
      <c r="I3" s="40"/>
    </row>
    <row r="4" spans="1:9" x14ac:dyDescent="0.25">
      <c r="A4" s="42"/>
    </row>
    <row r="6" spans="1:9" ht="13" x14ac:dyDescent="0.3">
      <c r="A6" s="75" t="s">
        <v>274</v>
      </c>
      <c r="B6" s="161" t="s">
        <v>275</v>
      </c>
      <c r="C6" s="161"/>
      <c r="D6" s="161"/>
    </row>
    <row r="7" spans="1:9" x14ac:dyDescent="0.25">
      <c r="A7" s="77" t="s">
        <v>276</v>
      </c>
      <c r="B7" s="161" t="s">
        <v>72</v>
      </c>
      <c r="C7" s="161"/>
      <c r="D7" s="161"/>
    </row>
    <row r="8" spans="1:9" x14ac:dyDescent="0.25">
      <c r="A8" s="77" t="s">
        <v>278</v>
      </c>
      <c r="B8" s="161" t="s">
        <v>74</v>
      </c>
      <c r="C8" s="161"/>
      <c r="D8" s="161"/>
    </row>
    <row r="9" spans="1:9" x14ac:dyDescent="0.25">
      <c r="A9" s="77" t="s">
        <v>280</v>
      </c>
      <c r="B9" s="161" t="s">
        <v>396</v>
      </c>
      <c r="C9" s="161"/>
      <c r="D9" s="161"/>
    </row>
    <row r="10" spans="1:9" x14ac:dyDescent="0.25">
      <c r="A10" s="77" t="s">
        <v>6</v>
      </c>
      <c r="B10" s="161" t="s">
        <v>397</v>
      </c>
      <c r="C10" s="161"/>
      <c r="D10" s="161"/>
    </row>
    <row r="11" spans="1:9" x14ac:dyDescent="0.25">
      <c r="A11" s="77" t="s">
        <v>283</v>
      </c>
      <c r="B11" s="161" t="s">
        <v>355</v>
      </c>
      <c r="C11" s="161"/>
      <c r="D11" s="161"/>
    </row>
    <row r="12" spans="1:9" x14ac:dyDescent="0.25">
      <c r="A12" s="77" t="s">
        <v>285</v>
      </c>
      <c r="B12" s="161" t="s">
        <v>398</v>
      </c>
      <c r="C12" s="161"/>
      <c r="D12" s="161"/>
    </row>
    <row r="13" spans="1:9" x14ac:dyDescent="0.25">
      <c r="A13" s="77" t="s">
        <v>287</v>
      </c>
      <c r="B13" s="161">
        <v>1</v>
      </c>
      <c r="C13" s="161"/>
      <c r="D13" s="161"/>
    </row>
    <row r="14" spans="1:9" x14ac:dyDescent="0.25">
      <c r="A14" s="77" t="s">
        <v>289</v>
      </c>
      <c r="B14" s="161">
        <v>306</v>
      </c>
      <c r="C14" s="161"/>
      <c r="D14" s="161"/>
    </row>
    <row r="15" spans="1:9" x14ac:dyDescent="0.25">
      <c r="A15" s="77" t="s">
        <v>291</v>
      </c>
      <c r="B15" s="161" t="s">
        <v>399</v>
      </c>
      <c r="C15" s="161"/>
      <c r="D15" s="161"/>
    </row>
    <row r="16" spans="1:9" x14ac:dyDescent="0.25">
      <c r="A16" s="77" t="s">
        <v>293</v>
      </c>
      <c r="B16" s="161" t="s">
        <v>400</v>
      </c>
      <c r="C16" s="161"/>
      <c r="D16" s="161"/>
    </row>
    <row r="17" spans="1:4" x14ac:dyDescent="0.25">
      <c r="A17" s="74" t="s">
        <v>760</v>
      </c>
      <c r="B17" s="161"/>
      <c r="C17" s="161"/>
      <c r="D17" s="161"/>
    </row>
    <row r="18" spans="1:4" x14ac:dyDescent="0.25">
      <c r="A18" s="77" t="s">
        <v>297</v>
      </c>
      <c r="B18" s="163" t="str">
        <f>"26 May 2023"</f>
        <v>26 May 2023</v>
      </c>
      <c r="C18" s="161"/>
      <c r="D18" s="161"/>
    </row>
    <row r="19" spans="1:4" x14ac:dyDescent="0.25">
      <c r="A19" s="77" t="s">
        <v>299</v>
      </c>
      <c r="B19" s="163">
        <v>45014</v>
      </c>
      <c r="C19" s="161"/>
      <c r="D19" s="161"/>
    </row>
    <row r="20" spans="1:4" x14ac:dyDescent="0.25">
      <c r="A20" s="77" t="s">
        <v>301</v>
      </c>
      <c r="B20" s="161" t="s">
        <v>314</v>
      </c>
      <c r="C20" s="161"/>
      <c r="D20" s="161"/>
    </row>
    <row r="21" spans="1:4" x14ac:dyDescent="0.25">
      <c r="A21" s="77" t="s">
        <v>307</v>
      </c>
      <c r="B21" s="161" t="s">
        <v>315</v>
      </c>
      <c r="C21" s="161"/>
      <c r="D21" s="161"/>
    </row>
    <row r="23" spans="1:4" x14ac:dyDescent="0.25">
      <c r="B23" s="100" t="str">
        <f>HYPERLINK("#'Factor List'!A1","Back to Factor List")</f>
        <v>Back to Factor List</v>
      </c>
    </row>
    <row r="24" spans="1:4" x14ac:dyDescent="0.25">
      <c r="B24" s="100" t="s">
        <v>13</v>
      </c>
    </row>
    <row r="26" spans="1:4" ht="26" x14ac:dyDescent="0.25">
      <c r="A26" s="97" t="s">
        <v>417</v>
      </c>
      <c r="B26" s="97" t="s">
        <v>797</v>
      </c>
      <c r="C26" s="97" t="s">
        <v>798</v>
      </c>
      <c r="D26" s="97" t="s">
        <v>799</v>
      </c>
    </row>
    <row r="27" spans="1:4" x14ac:dyDescent="0.25">
      <c r="A27" s="98">
        <v>60</v>
      </c>
      <c r="B27" s="99">
        <v>21.27</v>
      </c>
      <c r="C27" s="99">
        <v>1</v>
      </c>
      <c r="D27" s="99"/>
    </row>
    <row r="28" spans="1:4" x14ac:dyDescent="0.25">
      <c r="A28" s="98">
        <v>61</v>
      </c>
      <c r="B28" s="99">
        <v>20.64</v>
      </c>
      <c r="C28" s="99">
        <v>1</v>
      </c>
      <c r="D28" s="99"/>
    </row>
    <row r="29" spans="1:4" x14ac:dyDescent="0.25">
      <c r="A29" s="98">
        <v>62</v>
      </c>
      <c r="B29" s="99">
        <v>20.010000000000002</v>
      </c>
      <c r="C29" s="99">
        <v>1</v>
      </c>
      <c r="D29" s="99"/>
    </row>
    <row r="30" spans="1:4" x14ac:dyDescent="0.25">
      <c r="A30" s="98">
        <v>63</v>
      </c>
      <c r="B30" s="99">
        <v>19.38</v>
      </c>
      <c r="C30" s="99">
        <v>1</v>
      </c>
      <c r="D30" s="99"/>
    </row>
    <row r="31" spans="1:4" x14ac:dyDescent="0.25">
      <c r="A31" s="98">
        <v>64</v>
      </c>
      <c r="B31" s="99">
        <v>18.739999999999998</v>
      </c>
      <c r="C31" s="99">
        <v>1</v>
      </c>
      <c r="D31" s="99"/>
    </row>
    <row r="32" spans="1:4" x14ac:dyDescent="0.25">
      <c r="A32" s="98">
        <v>65</v>
      </c>
      <c r="B32" s="99">
        <v>18.100000000000001</v>
      </c>
      <c r="C32" s="99">
        <v>1</v>
      </c>
      <c r="D32" s="99">
        <v>18.170000000000002</v>
      </c>
    </row>
    <row r="33" spans="1:4" x14ac:dyDescent="0.25">
      <c r="A33" s="98">
        <v>66</v>
      </c>
      <c r="B33" s="99">
        <v>17.46</v>
      </c>
      <c r="C33" s="99">
        <v>1</v>
      </c>
      <c r="D33" s="99">
        <v>17.5</v>
      </c>
    </row>
    <row r="34" spans="1:4" x14ac:dyDescent="0.25">
      <c r="A34" s="98">
        <v>67</v>
      </c>
      <c r="B34" s="99">
        <v>16.809999999999999</v>
      </c>
      <c r="C34" s="99">
        <v>1</v>
      </c>
      <c r="D34" s="99">
        <v>16.84</v>
      </c>
    </row>
    <row r="35" spans="1:4" x14ac:dyDescent="0.25">
      <c r="A35" s="98">
        <v>68</v>
      </c>
      <c r="B35" s="99">
        <v>16.16</v>
      </c>
      <c r="C35" s="99">
        <v>1</v>
      </c>
      <c r="D35" s="99">
        <v>16.170000000000002</v>
      </c>
    </row>
    <row r="36" spans="1:4" x14ac:dyDescent="0.25">
      <c r="A36" s="98">
        <v>69</v>
      </c>
      <c r="B36" s="99">
        <v>15.51</v>
      </c>
      <c r="C36" s="99">
        <v>1</v>
      </c>
      <c r="D36" s="99">
        <v>15.52</v>
      </c>
    </row>
    <row r="37" spans="1:4" x14ac:dyDescent="0.25">
      <c r="A37" s="98">
        <v>70</v>
      </c>
      <c r="B37" s="99">
        <v>14.86</v>
      </c>
      <c r="C37" s="99">
        <v>1</v>
      </c>
      <c r="D37" s="99">
        <v>14.86</v>
      </c>
    </row>
    <row r="38" spans="1:4" x14ac:dyDescent="0.25">
      <c r="A38" s="98">
        <v>71</v>
      </c>
      <c r="B38" s="99">
        <v>14.21</v>
      </c>
      <c r="C38" s="99">
        <v>1</v>
      </c>
      <c r="D38" s="99">
        <v>14.21</v>
      </c>
    </row>
    <row r="39" spans="1:4" x14ac:dyDescent="0.25">
      <c r="A39" s="98">
        <v>72</v>
      </c>
      <c r="B39" s="99">
        <v>13.56</v>
      </c>
      <c r="C39" s="99">
        <v>1</v>
      </c>
      <c r="D39" s="99">
        <v>13.56</v>
      </c>
    </row>
    <row r="40" spans="1:4" x14ac:dyDescent="0.25">
      <c r="A40" s="98">
        <v>73</v>
      </c>
      <c r="B40" s="99">
        <v>12.92</v>
      </c>
      <c r="C40" s="99">
        <v>1</v>
      </c>
      <c r="D40" s="99">
        <v>12.92</v>
      </c>
    </row>
    <row r="41" spans="1:4" x14ac:dyDescent="0.25">
      <c r="A41" s="98">
        <v>74</v>
      </c>
      <c r="B41" s="99">
        <v>12.28</v>
      </c>
      <c r="C41" s="99">
        <v>1</v>
      </c>
      <c r="D41" s="99">
        <v>12.28</v>
      </c>
    </row>
    <row r="42" spans="1:4" x14ac:dyDescent="0.25">
      <c r="A42" s="98">
        <v>75</v>
      </c>
      <c r="B42" s="99">
        <v>11.64</v>
      </c>
      <c r="C42" s="99">
        <v>1</v>
      </c>
      <c r="D42" s="99">
        <v>11.64</v>
      </c>
    </row>
    <row r="43" spans="1:4" x14ac:dyDescent="0.25">
      <c r="A43" s="98">
        <v>76</v>
      </c>
      <c r="B43" s="99">
        <v>11.01</v>
      </c>
      <c r="C43" s="99">
        <v>1</v>
      </c>
      <c r="D43" s="99">
        <v>11.01</v>
      </c>
    </row>
    <row r="44" spans="1:4" x14ac:dyDescent="0.25">
      <c r="A44" s="98">
        <v>77</v>
      </c>
      <c r="B44" s="99">
        <v>10.39</v>
      </c>
      <c r="C44" s="99">
        <v>1</v>
      </c>
      <c r="D44" s="99">
        <v>10.39</v>
      </c>
    </row>
    <row r="45" spans="1:4" x14ac:dyDescent="0.25">
      <c r="A45" s="98">
        <v>78</v>
      </c>
      <c r="B45" s="99">
        <v>9.7799999999999994</v>
      </c>
      <c r="C45" s="99">
        <v>1</v>
      </c>
      <c r="D45" s="99">
        <v>9.7799999999999994</v>
      </c>
    </row>
    <row r="46" spans="1:4" x14ac:dyDescent="0.25">
      <c r="A46" s="98">
        <v>79</v>
      </c>
      <c r="B46" s="99">
        <v>9.19</v>
      </c>
      <c r="C46" s="99">
        <v>1</v>
      </c>
      <c r="D46" s="99">
        <v>9.19</v>
      </c>
    </row>
    <row r="47" spans="1:4" x14ac:dyDescent="0.25">
      <c r="A47" s="98">
        <v>80</v>
      </c>
      <c r="B47" s="99">
        <v>8.61</v>
      </c>
      <c r="C47" s="99">
        <v>1</v>
      </c>
      <c r="D47" s="99">
        <v>8.61</v>
      </c>
    </row>
    <row r="48" spans="1:4" x14ac:dyDescent="0.25">
      <c r="A48" s="98">
        <v>81</v>
      </c>
      <c r="B48" s="99">
        <v>8.0399999999999991</v>
      </c>
      <c r="C48" s="99">
        <v>1</v>
      </c>
      <c r="D48" s="99">
        <v>8.0399999999999991</v>
      </c>
    </row>
    <row r="49" spans="1:4" x14ac:dyDescent="0.25">
      <c r="A49" s="98">
        <v>82</v>
      </c>
      <c r="B49" s="99">
        <v>7.5</v>
      </c>
      <c r="C49" s="99">
        <v>1</v>
      </c>
      <c r="D49" s="99">
        <v>7.5</v>
      </c>
    </row>
    <row r="50" spans="1:4" x14ac:dyDescent="0.25">
      <c r="A50" s="98">
        <v>83</v>
      </c>
      <c r="B50" s="99">
        <v>6.98</v>
      </c>
      <c r="C50" s="99">
        <v>1</v>
      </c>
      <c r="D50" s="99">
        <v>6.98</v>
      </c>
    </row>
    <row r="51" spans="1:4" x14ac:dyDescent="0.25">
      <c r="A51" s="98">
        <v>84</v>
      </c>
      <c r="B51" s="99">
        <v>6.48</v>
      </c>
      <c r="C51" s="99">
        <v>1</v>
      </c>
      <c r="D51" s="99">
        <v>6.48</v>
      </c>
    </row>
    <row r="52" spans="1:4" x14ac:dyDescent="0.25">
      <c r="A52" s="98">
        <v>85</v>
      </c>
      <c r="B52" s="99">
        <v>6</v>
      </c>
      <c r="C52" s="99">
        <v>1</v>
      </c>
      <c r="D52" s="99">
        <v>6</v>
      </c>
    </row>
    <row r="53" spans="1:4" x14ac:dyDescent="0.25">
      <c r="A53" s="98">
        <v>86</v>
      </c>
      <c r="B53" s="99">
        <v>5.55</v>
      </c>
      <c r="C53" s="99">
        <v>1</v>
      </c>
      <c r="D53" s="99">
        <v>5.55</v>
      </c>
    </row>
    <row r="54" spans="1:4" x14ac:dyDescent="0.25">
      <c r="A54" s="98">
        <v>87</v>
      </c>
      <c r="B54" s="99">
        <v>5.12</v>
      </c>
      <c r="C54" s="99">
        <v>1</v>
      </c>
      <c r="D54" s="99">
        <v>5.12</v>
      </c>
    </row>
    <row r="55" spans="1:4" x14ac:dyDescent="0.25">
      <c r="A55" s="98">
        <v>88</v>
      </c>
      <c r="B55" s="99">
        <v>4.72</v>
      </c>
      <c r="C55" s="99">
        <v>1</v>
      </c>
      <c r="D55" s="99">
        <v>4.72</v>
      </c>
    </row>
    <row r="56" spans="1:4" x14ac:dyDescent="0.25">
      <c r="A56" s="98">
        <v>89</v>
      </c>
      <c r="B56" s="99">
        <v>4.34</v>
      </c>
      <c r="C56" s="99">
        <v>1</v>
      </c>
      <c r="D56" s="99">
        <v>4.34</v>
      </c>
    </row>
    <row r="57" spans="1:4" x14ac:dyDescent="0.25">
      <c r="A57" s="98">
        <v>90</v>
      </c>
      <c r="B57" s="99">
        <v>3.99</v>
      </c>
      <c r="C57" s="99">
        <v>1</v>
      </c>
      <c r="D57" s="99">
        <v>3.99</v>
      </c>
    </row>
    <row r="58" spans="1:4" x14ac:dyDescent="0.25">
      <c r="A58" s="98">
        <v>91</v>
      </c>
      <c r="B58" s="99">
        <v>3.67</v>
      </c>
      <c r="C58" s="99">
        <v>1</v>
      </c>
      <c r="D58" s="99">
        <v>3.67</v>
      </c>
    </row>
    <row r="59" spans="1:4" x14ac:dyDescent="0.25">
      <c r="A59" s="98">
        <v>92</v>
      </c>
      <c r="B59" s="99">
        <v>3.38</v>
      </c>
      <c r="C59" s="99">
        <v>1</v>
      </c>
      <c r="D59" s="99">
        <v>3.38</v>
      </c>
    </row>
    <row r="60" spans="1:4" x14ac:dyDescent="0.25">
      <c r="A60" s="98">
        <v>93</v>
      </c>
      <c r="B60" s="99">
        <v>3.12</v>
      </c>
      <c r="C60" s="99">
        <v>1</v>
      </c>
      <c r="D60" s="99">
        <v>3.12</v>
      </c>
    </row>
    <row r="61" spans="1:4" x14ac:dyDescent="0.25">
      <c r="A61" s="98">
        <v>94</v>
      </c>
      <c r="B61" s="99">
        <v>2.88</v>
      </c>
      <c r="C61" s="99">
        <v>1</v>
      </c>
      <c r="D61" s="99">
        <v>2.88</v>
      </c>
    </row>
    <row r="62" spans="1:4" x14ac:dyDescent="0.25">
      <c r="A62" s="98">
        <v>95</v>
      </c>
      <c r="B62" s="99">
        <v>2.66</v>
      </c>
      <c r="C62" s="99">
        <v>1</v>
      </c>
      <c r="D62" s="99">
        <v>2.66</v>
      </c>
    </row>
    <row r="63" spans="1:4" x14ac:dyDescent="0.25">
      <c r="A63" s="98">
        <v>96</v>
      </c>
      <c r="B63" s="99">
        <v>2.4700000000000002</v>
      </c>
      <c r="C63" s="99">
        <v>1</v>
      </c>
      <c r="D63" s="99">
        <v>2.4700000000000002</v>
      </c>
    </row>
    <row r="64" spans="1:4" x14ac:dyDescent="0.25">
      <c r="A64" s="98">
        <v>97</v>
      </c>
      <c r="B64" s="99">
        <v>2.31</v>
      </c>
      <c r="C64" s="99">
        <v>1</v>
      </c>
      <c r="D64" s="99">
        <v>2.31</v>
      </c>
    </row>
    <row r="65" spans="1:4" x14ac:dyDescent="0.25">
      <c r="A65" s="98">
        <v>98</v>
      </c>
      <c r="B65" s="99">
        <v>2.16</v>
      </c>
      <c r="C65" s="99">
        <v>1</v>
      </c>
      <c r="D65" s="99">
        <v>2.16</v>
      </c>
    </row>
    <row r="66" spans="1:4" x14ac:dyDescent="0.25">
      <c r="A66" s="98">
        <v>99</v>
      </c>
      <c r="B66" s="99">
        <v>2.04</v>
      </c>
      <c r="C66" s="99">
        <v>1</v>
      </c>
      <c r="D66" s="99">
        <v>2.04</v>
      </c>
    </row>
    <row r="67" spans="1:4" x14ac:dyDescent="0.25">
      <c r="A67" s="98">
        <v>100</v>
      </c>
      <c r="B67" s="99">
        <v>1.96</v>
      </c>
      <c r="C67" s="99">
        <v>1</v>
      </c>
      <c r="D67" s="99">
        <v>1.96</v>
      </c>
    </row>
  </sheetData>
  <sheetProtection algorithmName="SHA-512" hashValue="hqQ+XcbXYeexvn9apvDumuUvWtjciYJMQPXqyAAlQGPTJgLWvpQqaVIqyq8mEHQ7LSUBIoc7pSOpcnJp7WqJSA==" saltValue="2YBcvGdQ/FHiC1GpYPpSeg==" spinCount="100000" sheet="1" objects="1" scenarios="1"/>
  <conditionalFormatting sqref="A6:A21">
    <cfRule type="expression" dxfId="959" priority="13" stopIfTrue="1">
      <formula>MOD(ROW(),2)=0</formula>
    </cfRule>
    <cfRule type="expression" dxfId="958" priority="14" stopIfTrue="1">
      <formula>MOD(ROW(),2)&lt;&gt;0</formula>
    </cfRule>
  </conditionalFormatting>
  <conditionalFormatting sqref="A26:A67">
    <cfRule type="expression" dxfId="957" priority="5" stopIfTrue="1">
      <formula>MOD(ROW(),2)=0</formula>
    </cfRule>
    <cfRule type="expression" dxfId="956" priority="6" stopIfTrue="1">
      <formula>MOD(ROW(),2)&lt;&gt;0</formula>
    </cfRule>
  </conditionalFormatting>
  <conditionalFormatting sqref="B17:B21">
    <cfRule type="expression" dxfId="955" priority="1" stopIfTrue="1">
      <formula>MOD(ROW(),2)=0</formula>
    </cfRule>
    <cfRule type="expression" dxfId="954" priority="2" stopIfTrue="1">
      <formula>MOD(ROW(),2)&lt;&gt;0</formula>
    </cfRule>
  </conditionalFormatting>
  <conditionalFormatting sqref="B6:D21">
    <cfRule type="expression" dxfId="953" priority="21" stopIfTrue="1">
      <formula>MOD(ROW(),2)=0</formula>
    </cfRule>
    <cfRule type="expression" dxfId="952" priority="22" stopIfTrue="1">
      <formula>MOD(ROW(),2)&lt;&gt;0</formula>
    </cfRule>
  </conditionalFormatting>
  <conditionalFormatting sqref="B26:D67">
    <cfRule type="expression" dxfId="951" priority="7" stopIfTrue="1">
      <formula>MOD(ROW(),2)=0</formula>
    </cfRule>
    <cfRule type="expression" dxfId="950" priority="8" stopIfTrue="1">
      <formula>MOD(ROW(),2)&lt;&gt;0</formula>
    </cfRule>
  </conditionalFormatting>
  <hyperlinks>
    <hyperlink ref="B24" location="Assumptions!A1" display="Assumptions" xr:uid="{9068E6DF-710E-4C38-B35E-CD532C65013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8"/>
  <dimension ref="A1:I62"/>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Pension Credit - x-307</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73</v>
      </c>
    </row>
    <row r="9" spans="1:9" x14ac:dyDescent="0.25">
      <c r="A9" s="77" t="s">
        <v>280</v>
      </c>
      <c r="B9" s="161" t="s">
        <v>396</v>
      </c>
    </row>
    <row r="10" spans="1:9" x14ac:dyDescent="0.25">
      <c r="A10" s="77" t="s">
        <v>6</v>
      </c>
      <c r="B10" s="161" t="s">
        <v>401</v>
      </c>
    </row>
    <row r="11" spans="1:9" x14ac:dyDescent="0.25">
      <c r="A11" s="77" t="s">
        <v>283</v>
      </c>
      <c r="B11" s="161" t="s">
        <v>355</v>
      </c>
    </row>
    <row r="12" spans="1:9" x14ac:dyDescent="0.25">
      <c r="A12" s="77" t="s">
        <v>285</v>
      </c>
      <c r="B12" s="161" t="s">
        <v>398</v>
      </c>
    </row>
    <row r="13" spans="1:9" x14ac:dyDescent="0.25">
      <c r="A13" s="77" t="s">
        <v>287</v>
      </c>
      <c r="B13" s="161">
        <v>0</v>
      </c>
    </row>
    <row r="14" spans="1:9" x14ac:dyDescent="0.25">
      <c r="A14" s="77" t="s">
        <v>289</v>
      </c>
      <c r="B14" s="161">
        <v>307</v>
      </c>
    </row>
    <row r="15" spans="1:9" x14ac:dyDescent="0.25">
      <c r="A15" s="77" t="s">
        <v>291</v>
      </c>
      <c r="B15" s="161" t="s">
        <v>402</v>
      </c>
    </row>
    <row r="16" spans="1:9" x14ac:dyDescent="0.25">
      <c r="A16" s="77" t="s">
        <v>293</v>
      </c>
      <c r="B16" s="161" t="s">
        <v>400</v>
      </c>
    </row>
    <row r="17" spans="1:2" x14ac:dyDescent="0.25">
      <c r="A17" s="74" t="s">
        <v>760</v>
      </c>
      <c r="B17" s="161"/>
    </row>
    <row r="18" spans="1:2" x14ac:dyDescent="0.25">
      <c r="A18" s="77" t="s">
        <v>297</v>
      </c>
      <c r="B18" s="163" t="str">
        <f>"26 May 2023"</f>
        <v>26 May 2023</v>
      </c>
    </row>
    <row r="19" spans="1:2" x14ac:dyDescent="0.25">
      <c r="A19" s="77" t="s">
        <v>299</v>
      </c>
      <c r="B19" s="163">
        <v>45014</v>
      </c>
    </row>
    <row r="20" spans="1:2" x14ac:dyDescent="0.25">
      <c r="A20" s="77" t="s">
        <v>301</v>
      </c>
      <c r="B20" s="161" t="s">
        <v>314</v>
      </c>
    </row>
    <row r="21" spans="1:2" x14ac:dyDescent="0.25">
      <c r="A21" s="77" t="s">
        <v>307</v>
      </c>
      <c r="B21" s="161" t="s">
        <v>315</v>
      </c>
    </row>
    <row r="23" spans="1:2" x14ac:dyDescent="0.25">
      <c r="B23" s="100" t="str">
        <f>HYPERLINK("#'Factor List'!A1","Back to Factor List")</f>
        <v>Back to Factor List</v>
      </c>
    </row>
    <row r="24" spans="1:2" x14ac:dyDescent="0.25">
      <c r="B24" s="100" t="s">
        <v>13</v>
      </c>
    </row>
    <row r="26" spans="1:2" ht="13" x14ac:dyDescent="0.25">
      <c r="A26" s="97" t="s">
        <v>417</v>
      </c>
      <c r="B26" s="97" t="s">
        <v>779</v>
      </c>
    </row>
    <row r="27" spans="1:2" x14ac:dyDescent="0.25">
      <c r="A27" s="98">
        <v>65</v>
      </c>
      <c r="B27" s="99">
        <v>18.18</v>
      </c>
    </row>
    <row r="28" spans="1:2" x14ac:dyDescent="0.25">
      <c r="A28" s="98">
        <v>66</v>
      </c>
      <c r="B28" s="99">
        <v>17.55</v>
      </c>
    </row>
    <row r="29" spans="1:2" x14ac:dyDescent="0.25">
      <c r="A29" s="98">
        <v>67</v>
      </c>
      <c r="B29" s="99">
        <v>16.91</v>
      </c>
    </row>
    <row r="30" spans="1:2" x14ac:dyDescent="0.25">
      <c r="A30" s="98">
        <v>68</v>
      </c>
      <c r="B30" s="99">
        <v>16.25</v>
      </c>
    </row>
    <row r="31" spans="1:2" x14ac:dyDescent="0.25">
      <c r="A31" s="98">
        <v>69</v>
      </c>
      <c r="B31" s="99">
        <v>15.57</v>
      </c>
    </row>
    <row r="32" spans="1:2" x14ac:dyDescent="0.25">
      <c r="A32" s="98">
        <v>70</v>
      </c>
      <c r="B32" s="99">
        <v>14.89</v>
      </c>
    </row>
    <row r="33" spans="1:2" x14ac:dyDescent="0.25">
      <c r="A33" s="98">
        <v>71</v>
      </c>
      <c r="B33" s="99">
        <v>14.22</v>
      </c>
    </row>
    <row r="34" spans="1:2" x14ac:dyDescent="0.25">
      <c r="A34" s="98">
        <v>72</v>
      </c>
      <c r="B34" s="99">
        <v>13.57</v>
      </c>
    </row>
    <row r="35" spans="1:2" x14ac:dyDescent="0.25">
      <c r="A35" s="98">
        <v>73</v>
      </c>
      <c r="B35" s="99">
        <v>12.92</v>
      </c>
    </row>
    <row r="36" spans="1:2" x14ac:dyDescent="0.25">
      <c r="A36" s="98">
        <v>74</v>
      </c>
      <c r="B36" s="99">
        <v>12.28</v>
      </c>
    </row>
    <row r="37" spans="1:2" x14ac:dyDescent="0.25">
      <c r="A37" s="98">
        <v>75</v>
      </c>
      <c r="B37" s="99">
        <v>11.64</v>
      </c>
    </row>
    <row r="38" spans="1:2" x14ac:dyDescent="0.25">
      <c r="A38" s="98">
        <v>76</v>
      </c>
      <c r="B38" s="99">
        <v>11.01</v>
      </c>
    </row>
    <row r="39" spans="1:2" x14ac:dyDescent="0.25">
      <c r="A39" s="98">
        <v>77</v>
      </c>
      <c r="B39" s="99">
        <v>10.39</v>
      </c>
    </row>
    <row r="40" spans="1:2" x14ac:dyDescent="0.25">
      <c r="A40" s="98">
        <v>78</v>
      </c>
      <c r="B40" s="99">
        <v>9.7799999999999994</v>
      </c>
    </row>
    <row r="41" spans="1:2" x14ac:dyDescent="0.25">
      <c r="A41" s="98">
        <v>79</v>
      </c>
      <c r="B41" s="99">
        <v>9.19</v>
      </c>
    </row>
    <row r="42" spans="1:2" x14ac:dyDescent="0.25">
      <c r="A42" s="98">
        <v>80</v>
      </c>
      <c r="B42" s="99">
        <v>8.61</v>
      </c>
    </row>
    <row r="43" spans="1:2" x14ac:dyDescent="0.25">
      <c r="A43" s="98">
        <v>81</v>
      </c>
      <c r="B43" s="99">
        <v>8.0399999999999991</v>
      </c>
    </row>
    <row r="44" spans="1:2" x14ac:dyDescent="0.25">
      <c r="A44" s="98">
        <v>82</v>
      </c>
      <c r="B44" s="99">
        <v>7.5</v>
      </c>
    </row>
    <row r="45" spans="1:2" x14ac:dyDescent="0.25">
      <c r="A45" s="98">
        <v>83</v>
      </c>
      <c r="B45" s="99">
        <v>6.98</v>
      </c>
    </row>
    <row r="46" spans="1:2" x14ac:dyDescent="0.25">
      <c r="A46" s="98">
        <v>84</v>
      </c>
      <c r="B46" s="99">
        <v>6.48</v>
      </c>
    </row>
    <row r="47" spans="1:2" x14ac:dyDescent="0.25">
      <c r="A47" s="98">
        <v>85</v>
      </c>
      <c r="B47" s="99">
        <v>6</v>
      </c>
    </row>
    <row r="48" spans="1:2" x14ac:dyDescent="0.25">
      <c r="A48" s="98">
        <v>86</v>
      </c>
      <c r="B48" s="99">
        <v>5.55</v>
      </c>
    </row>
    <row r="49" spans="1:2" x14ac:dyDescent="0.25">
      <c r="A49" s="98">
        <v>87</v>
      </c>
      <c r="B49" s="99">
        <v>5.12</v>
      </c>
    </row>
    <row r="50" spans="1:2" x14ac:dyDescent="0.25">
      <c r="A50" s="98">
        <v>88</v>
      </c>
      <c r="B50" s="99">
        <v>4.72</v>
      </c>
    </row>
    <row r="51" spans="1:2" x14ac:dyDescent="0.25">
      <c r="A51" s="98">
        <v>89</v>
      </c>
      <c r="B51" s="99">
        <v>4.34</v>
      </c>
    </row>
    <row r="52" spans="1:2" x14ac:dyDescent="0.25">
      <c r="A52" s="98">
        <v>90</v>
      </c>
      <c r="B52" s="99">
        <v>3.99</v>
      </c>
    </row>
    <row r="53" spans="1:2" x14ac:dyDescent="0.25">
      <c r="A53" s="98">
        <v>91</v>
      </c>
      <c r="B53" s="99">
        <v>3.67</v>
      </c>
    </row>
    <row r="54" spans="1:2" x14ac:dyDescent="0.25">
      <c r="A54" s="98">
        <v>92</v>
      </c>
      <c r="B54" s="99">
        <v>3.38</v>
      </c>
    </row>
    <row r="55" spans="1:2" x14ac:dyDescent="0.25">
      <c r="A55" s="98">
        <v>93</v>
      </c>
      <c r="B55" s="99">
        <v>3.12</v>
      </c>
    </row>
    <row r="56" spans="1:2" x14ac:dyDescent="0.25">
      <c r="A56" s="98">
        <v>94</v>
      </c>
      <c r="B56" s="99">
        <v>2.88</v>
      </c>
    </row>
    <row r="57" spans="1:2" x14ac:dyDescent="0.25">
      <c r="A57" s="98">
        <v>95</v>
      </c>
      <c r="B57" s="99">
        <v>2.66</v>
      </c>
    </row>
    <row r="58" spans="1:2" x14ac:dyDescent="0.25">
      <c r="A58" s="98">
        <v>96</v>
      </c>
      <c r="B58" s="99">
        <v>2.4700000000000002</v>
      </c>
    </row>
    <row r="59" spans="1:2" x14ac:dyDescent="0.25">
      <c r="A59" s="98">
        <v>97</v>
      </c>
      <c r="B59" s="99">
        <v>2.31</v>
      </c>
    </row>
    <row r="60" spans="1:2" x14ac:dyDescent="0.25">
      <c r="A60" s="98">
        <v>98</v>
      </c>
      <c r="B60" s="99">
        <v>2.16</v>
      </c>
    </row>
    <row r="61" spans="1:2" x14ac:dyDescent="0.25">
      <c r="A61" s="98">
        <v>99</v>
      </c>
      <c r="B61" s="99">
        <v>2.04</v>
      </c>
    </row>
    <row r="62" spans="1:2" x14ac:dyDescent="0.25">
      <c r="A62" s="98">
        <v>100</v>
      </c>
      <c r="B62" s="99">
        <v>1.96</v>
      </c>
    </row>
  </sheetData>
  <sheetProtection algorithmName="SHA-512" hashValue="M769dGcsyFuGwbJCgg985kew2frr/R/uD1jPRAnyNpZwy4eGMFZ/XARF2TC1caMEEFrij8KGFsNCL33rykc+rQ==" saltValue="UY+B0Cv5VXR5SsaJKzZvRA==" spinCount="100000" sheet="1" objects="1" scenarios="1"/>
  <conditionalFormatting sqref="A6:A21">
    <cfRule type="expression" dxfId="949" priority="13" stopIfTrue="1">
      <formula>MOD(ROW(),2)=0</formula>
    </cfRule>
    <cfRule type="expression" dxfId="948" priority="14" stopIfTrue="1">
      <formula>MOD(ROW(),2)&lt;&gt;0</formula>
    </cfRule>
  </conditionalFormatting>
  <conditionalFormatting sqref="A26:A62">
    <cfRule type="expression" dxfId="947" priority="5" stopIfTrue="1">
      <formula>MOD(ROW(),2)=0</formula>
    </cfRule>
    <cfRule type="expression" dxfId="946" priority="6" stopIfTrue="1">
      <formula>MOD(ROW(),2)&lt;&gt;0</formula>
    </cfRule>
  </conditionalFormatting>
  <conditionalFormatting sqref="B6:B21">
    <cfRule type="expression" dxfId="945" priority="21" stopIfTrue="1">
      <formula>MOD(ROW(),2)=0</formula>
    </cfRule>
    <cfRule type="expression" dxfId="944" priority="22" stopIfTrue="1">
      <formula>MOD(ROW(),2)&lt;&gt;0</formula>
    </cfRule>
  </conditionalFormatting>
  <conditionalFormatting sqref="B17:B21">
    <cfRule type="expression" dxfId="943" priority="1" stopIfTrue="1">
      <formula>MOD(ROW(),2)=0</formula>
    </cfRule>
    <cfRule type="expression" dxfId="942" priority="2" stopIfTrue="1">
      <formula>MOD(ROW(),2)&lt;&gt;0</formula>
    </cfRule>
  </conditionalFormatting>
  <conditionalFormatting sqref="B26:B62">
    <cfRule type="expression" dxfId="941" priority="7" stopIfTrue="1">
      <formula>MOD(ROW(),2)=0</formula>
    </cfRule>
    <cfRule type="expression" dxfId="940" priority="8" stopIfTrue="1">
      <formula>MOD(ROW(),2)&lt;&gt;0</formula>
    </cfRule>
  </conditionalFormatting>
  <hyperlinks>
    <hyperlink ref="B24" location="Assumptions!A1" display="Assumptions" xr:uid="{2D40E696-7752-4E8B-91DA-3E5DD6026E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E08E3-3F0C-4D1F-BC76-E4315B59F5B1}">
  <sheetPr codeName="Sheet86"/>
  <dimension ref="A1:I27"/>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PenCE - x-308</v>
      </c>
      <c r="B3" s="40"/>
      <c r="C3" s="40"/>
      <c r="D3" s="40"/>
      <c r="E3" s="40"/>
      <c r="F3" s="40"/>
      <c r="G3" s="40"/>
      <c r="H3" s="40"/>
      <c r="I3" s="40"/>
    </row>
    <row r="4" spans="1:9" x14ac:dyDescent="0.25">
      <c r="A4" s="42"/>
    </row>
    <row r="6" spans="1:9" ht="13" x14ac:dyDescent="0.3">
      <c r="A6" s="75" t="s">
        <v>274</v>
      </c>
      <c r="B6" s="114" t="s">
        <v>275</v>
      </c>
    </row>
    <row r="7" spans="1:9" x14ac:dyDescent="0.25">
      <c r="A7" s="77" t="s">
        <v>276</v>
      </c>
      <c r="B7" s="114" t="s">
        <v>72</v>
      </c>
    </row>
    <row r="8" spans="1:9" x14ac:dyDescent="0.25">
      <c r="A8" s="77" t="s">
        <v>278</v>
      </c>
      <c r="B8" s="114" t="s">
        <v>74</v>
      </c>
    </row>
    <row r="9" spans="1:9" x14ac:dyDescent="0.25">
      <c r="A9" s="77" t="s">
        <v>280</v>
      </c>
      <c r="B9" s="114" t="s">
        <v>383</v>
      </c>
    </row>
    <row r="10" spans="1:9" x14ac:dyDescent="0.25">
      <c r="A10" s="77" t="s">
        <v>6</v>
      </c>
      <c r="B10" s="114" t="s">
        <v>384</v>
      </c>
    </row>
    <row r="11" spans="1:9" x14ac:dyDescent="0.25">
      <c r="A11" s="77" t="s">
        <v>283</v>
      </c>
      <c r="B11" s="114" t="s">
        <v>355</v>
      </c>
    </row>
    <row r="12" spans="1:9" x14ac:dyDescent="0.25">
      <c r="A12" s="77" t="s">
        <v>285</v>
      </c>
      <c r="B12" s="114" t="s">
        <v>385</v>
      </c>
    </row>
    <row r="13" spans="1:9" x14ac:dyDescent="0.25">
      <c r="A13" s="77" t="s">
        <v>287</v>
      </c>
      <c r="B13" s="114">
        <v>1</v>
      </c>
    </row>
    <row r="14" spans="1:9" x14ac:dyDescent="0.25">
      <c r="A14" s="77" t="s">
        <v>289</v>
      </c>
      <c r="B14" s="114">
        <v>308</v>
      </c>
    </row>
    <row r="15" spans="1:9" x14ac:dyDescent="0.25">
      <c r="A15" s="77" t="s">
        <v>291</v>
      </c>
      <c r="B15" s="114" t="s">
        <v>403</v>
      </c>
    </row>
    <row r="16" spans="1:9" x14ac:dyDescent="0.25">
      <c r="A16" s="77" t="s">
        <v>293</v>
      </c>
      <c r="B16" s="114" t="s">
        <v>404</v>
      </c>
    </row>
    <row r="17" spans="1:3" x14ac:dyDescent="0.25">
      <c r="A17" s="74" t="s">
        <v>760</v>
      </c>
      <c r="B17" s="114"/>
    </row>
    <row r="18" spans="1:3" x14ac:dyDescent="0.25">
      <c r="A18" s="77" t="s">
        <v>297</v>
      </c>
      <c r="B18" s="162" t="str">
        <f>"26 May 2023"</f>
        <v>26 May 2023</v>
      </c>
    </row>
    <row r="19" spans="1:3" x14ac:dyDescent="0.25">
      <c r="A19" s="77" t="s">
        <v>299</v>
      </c>
      <c r="B19" s="162">
        <v>45014</v>
      </c>
    </row>
    <row r="20" spans="1:3" x14ac:dyDescent="0.25">
      <c r="A20" s="77" t="s">
        <v>301</v>
      </c>
      <c r="B20" s="114" t="s">
        <v>314</v>
      </c>
    </row>
    <row r="21" spans="1:3" x14ac:dyDescent="0.25">
      <c r="A21" s="77" t="s">
        <v>307</v>
      </c>
      <c r="B21" s="114" t="s">
        <v>315</v>
      </c>
    </row>
    <row r="23" spans="1:3" ht="13" x14ac:dyDescent="0.3">
      <c r="A23" s="145"/>
      <c r="B23" s="100" t="str">
        <f>HYPERLINK("#'Factor List'!A1","Back to Factor List")</f>
        <v>Back to Factor List</v>
      </c>
      <c r="C23" s="144" t="s">
        <v>800</v>
      </c>
    </row>
    <row r="24" spans="1:3" x14ac:dyDescent="0.25">
      <c r="A24" s="145"/>
      <c r="B24" s="100" t="s">
        <v>13</v>
      </c>
      <c r="C24" s="145"/>
    </row>
    <row r="25" spans="1:3" x14ac:dyDescent="0.25">
      <c r="A25" s="145"/>
      <c r="B25" s="145"/>
      <c r="C25" s="145"/>
    </row>
    <row r="26" spans="1:3" ht="13" x14ac:dyDescent="0.25">
      <c r="A26" s="146" t="s">
        <v>801</v>
      </c>
      <c r="B26" s="147" t="s">
        <v>802</v>
      </c>
      <c r="C26" s="145"/>
    </row>
    <row r="27" spans="1:3" x14ac:dyDescent="0.25">
      <c r="A27" s="148" t="s">
        <v>404</v>
      </c>
      <c r="B27" s="149">
        <v>1.2500000000000001E-2</v>
      </c>
      <c r="C27" s="145"/>
    </row>
  </sheetData>
  <sheetProtection algorithmName="SHA-512" hashValue="xf8wrP2MVITCTK7sn/Kj79qFeuSrw01t/ADHkuYiK5h329auAsfRUVgtflGFb5XR8XS0k0//n0uSf9ac6qhq8A==" saltValue="i3mvYUeKdMg/TY6YKQejKg==" spinCount="100000" sheet="1" objects="1" scenarios="1"/>
  <conditionalFormatting sqref="A6:A21">
    <cfRule type="expression" dxfId="939" priority="23" stopIfTrue="1">
      <formula>MOD(ROW(),2)=0</formula>
    </cfRule>
    <cfRule type="expression" dxfId="938" priority="24" stopIfTrue="1">
      <formula>MOD(ROW(),2)&lt;&gt;0</formula>
    </cfRule>
  </conditionalFormatting>
  <conditionalFormatting sqref="A26:A27">
    <cfRule type="expression" dxfId="937" priority="1" stopIfTrue="1">
      <formula>MOD(ROW(),2)=0</formula>
    </cfRule>
    <cfRule type="expression" dxfId="936" priority="2" stopIfTrue="1">
      <formula>MOD(ROW(),2)&lt;&gt;0</formula>
    </cfRule>
  </conditionalFormatting>
  <conditionalFormatting sqref="B6 B14:B15">
    <cfRule type="expression" dxfId="935" priority="27" stopIfTrue="1">
      <formula>MOD(ROW(),2)=0</formula>
    </cfRule>
    <cfRule type="expression" dxfId="934" priority="28" stopIfTrue="1">
      <formula>MOD(ROW(),2)&lt;&gt;0</formula>
    </cfRule>
  </conditionalFormatting>
  <conditionalFormatting sqref="B6:B21">
    <cfRule type="expression" dxfId="933" priority="9" stopIfTrue="1">
      <formula>MOD(ROW(),2)=0</formula>
    </cfRule>
    <cfRule type="expression" dxfId="932" priority="10" stopIfTrue="1">
      <formula>MOD(ROW(),2)&lt;&gt;0</formula>
    </cfRule>
  </conditionalFormatting>
  <conditionalFormatting sqref="B16">
    <cfRule type="expression" dxfId="931" priority="5" stopIfTrue="1">
      <formula>MOD(ROW(),2)=0</formula>
    </cfRule>
    <cfRule type="expression" dxfId="930" priority="6" stopIfTrue="1">
      <formula>MOD(ROW(),2)&lt;&gt;0</formula>
    </cfRule>
  </conditionalFormatting>
  <conditionalFormatting sqref="B17">
    <cfRule type="expression" dxfId="929" priority="21" stopIfTrue="1">
      <formula>MOD(ROW(),2)=0</formula>
    </cfRule>
    <cfRule type="expression" dxfId="928" priority="22" stopIfTrue="1">
      <formula>MOD(ROW(),2)&lt;&gt;0</formula>
    </cfRule>
  </conditionalFormatting>
  <conditionalFormatting sqref="B18:B19">
    <cfRule type="expression" dxfId="927" priority="7" stopIfTrue="1">
      <formula>MOD(ROW(),2)=0</formula>
    </cfRule>
    <cfRule type="expression" dxfId="926" priority="8" stopIfTrue="1">
      <formula>MOD(ROW(),2)&lt;&gt;0</formula>
    </cfRule>
  </conditionalFormatting>
  <conditionalFormatting sqref="B20:B21">
    <cfRule type="expression" dxfId="925" priority="15" stopIfTrue="1">
      <formula>MOD(ROW(),2)=0</formula>
    </cfRule>
    <cfRule type="expression" dxfId="924" priority="16" stopIfTrue="1">
      <formula>MOD(ROW(),2)&lt;&gt;0</formula>
    </cfRule>
  </conditionalFormatting>
  <conditionalFormatting sqref="B26:B27">
    <cfRule type="expression" dxfId="923" priority="3" stopIfTrue="1">
      <formula>MOD(ROW(),2)=0</formula>
    </cfRule>
    <cfRule type="expression" dxfId="922" priority="4" stopIfTrue="1">
      <formula>MOD(ROW(),2)&lt;&gt;0</formula>
    </cfRule>
  </conditionalFormatting>
  <hyperlinks>
    <hyperlink ref="B24" location="Assumptions!A1" display="Assumptions" xr:uid="{7C9F8992-039B-4D63-8458-569F386326E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5"/>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x-401</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406</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401</v>
      </c>
      <c r="C14" s="161"/>
      <c r="D14" s="161"/>
      <c r="E14" s="161"/>
      <c r="F14" s="161"/>
      <c r="G14" s="161"/>
      <c r="H14" s="161"/>
      <c r="I14" s="161"/>
      <c r="J14" s="161"/>
      <c r="K14" s="161"/>
      <c r="L14" s="161"/>
      <c r="M14" s="161"/>
    </row>
    <row r="15" spans="1:13" x14ac:dyDescent="0.25">
      <c r="A15" s="77" t="s">
        <v>291</v>
      </c>
      <c r="B15" s="161" t="s">
        <v>408</v>
      </c>
      <c r="C15" s="161"/>
      <c r="D15" s="161"/>
      <c r="E15" s="161"/>
      <c r="F15" s="161"/>
      <c r="G15" s="161"/>
      <c r="H15" s="161"/>
      <c r="I15" s="161"/>
      <c r="J15" s="161"/>
      <c r="K15" s="161"/>
      <c r="L15" s="161"/>
      <c r="M15" s="161"/>
    </row>
    <row r="16" spans="1:13" x14ac:dyDescent="0.25">
      <c r="A16" s="77" t="s">
        <v>293</v>
      </c>
      <c r="B16" s="161" t="s">
        <v>409</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50</v>
      </c>
      <c r="B27" s="81">
        <v>0.67600000000000005</v>
      </c>
      <c r="C27" s="81">
        <v>0.67800000000000005</v>
      </c>
      <c r="D27" s="81">
        <v>0.68</v>
      </c>
      <c r="E27" s="81">
        <v>0.68200000000000005</v>
      </c>
      <c r="F27" s="81">
        <v>0.68400000000000005</v>
      </c>
      <c r="G27" s="81">
        <v>0.68600000000000005</v>
      </c>
      <c r="H27" s="81">
        <v>0.68799999999999994</v>
      </c>
      <c r="I27" s="81">
        <v>0.68899999999999995</v>
      </c>
      <c r="J27" s="81">
        <v>0.69099999999999995</v>
      </c>
      <c r="K27" s="81">
        <v>0.69299999999999995</v>
      </c>
      <c r="L27" s="81">
        <v>0.69499999999999995</v>
      </c>
      <c r="M27" s="81">
        <v>0.69699999999999995</v>
      </c>
    </row>
    <row r="28" spans="1:13" x14ac:dyDescent="0.25">
      <c r="A28" s="80">
        <v>51</v>
      </c>
      <c r="B28" s="81">
        <v>0.69899999999999995</v>
      </c>
      <c r="C28" s="81">
        <v>0.70099999999999996</v>
      </c>
      <c r="D28" s="81">
        <v>0.70299999999999996</v>
      </c>
      <c r="E28" s="81">
        <v>0.70499999999999996</v>
      </c>
      <c r="F28" s="81">
        <v>0.70699999999999996</v>
      </c>
      <c r="G28" s="81">
        <v>0.70899999999999996</v>
      </c>
      <c r="H28" s="81">
        <v>0.71099999999999997</v>
      </c>
      <c r="I28" s="81">
        <v>0.71299999999999997</v>
      </c>
      <c r="J28" s="81">
        <v>0.71499999999999997</v>
      </c>
      <c r="K28" s="81">
        <v>0.71699999999999997</v>
      </c>
      <c r="L28" s="81">
        <v>0.71899999999999997</v>
      </c>
      <c r="M28" s="81">
        <v>0.72099999999999997</v>
      </c>
    </row>
    <row r="29" spans="1:13" x14ac:dyDescent="0.25">
      <c r="A29" s="80">
        <v>52</v>
      </c>
      <c r="B29" s="81">
        <v>0.72299999999999998</v>
      </c>
      <c r="C29" s="81">
        <v>0.72499999999999998</v>
      </c>
      <c r="D29" s="81">
        <v>0.72799999999999998</v>
      </c>
      <c r="E29" s="81">
        <v>0.73</v>
      </c>
      <c r="F29" s="81">
        <v>0.73199999999999998</v>
      </c>
      <c r="G29" s="81">
        <v>0.73399999999999999</v>
      </c>
      <c r="H29" s="81">
        <v>0.73599999999999999</v>
      </c>
      <c r="I29" s="81">
        <v>0.73899999999999999</v>
      </c>
      <c r="J29" s="81">
        <v>0.74099999999999999</v>
      </c>
      <c r="K29" s="81">
        <v>0.74299999999999999</v>
      </c>
      <c r="L29" s="81">
        <v>0.745</v>
      </c>
      <c r="M29" s="81">
        <v>0.747</v>
      </c>
    </row>
    <row r="30" spans="1:13" x14ac:dyDescent="0.25">
      <c r="A30" s="80">
        <v>53</v>
      </c>
      <c r="B30" s="81">
        <v>0.749</v>
      </c>
      <c r="C30" s="81">
        <v>0.752</v>
      </c>
      <c r="D30" s="81">
        <v>0.754</v>
      </c>
      <c r="E30" s="81">
        <v>0.75700000000000001</v>
      </c>
      <c r="F30" s="81">
        <v>0.75900000000000001</v>
      </c>
      <c r="G30" s="81">
        <v>0.76100000000000001</v>
      </c>
      <c r="H30" s="81">
        <v>0.76400000000000001</v>
      </c>
      <c r="I30" s="81">
        <v>0.76600000000000001</v>
      </c>
      <c r="J30" s="81">
        <v>0.76800000000000002</v>
      </c>
      <c r="K30" s="81">
        <v>0.77100000000000002</v>
      </c>
      <c r="L30" s="81">
        <v>0.77300000000000002</v>
      </c>
      <c r="M30" s="81">
        <v>0.77500000000000002</v>
      </c>
    </row>
    <row r="31" spans="1:13" x14ac:dyDescent="0.25">
      <c r="A31" s="80">
        <v>54</v>
      </c>
      <c r="B31" s="81">
        <v>0.77800000000000002</v>
      </c>
      <c r="C31" s="81">
        <v>0.78</v>
      </c>
      <c r="D31" s="81">
        <v>0.78300000000000003</v>
      </c>
      <c r="E31" s="81">
        <v>0.78600000000000003</v>
      </c>
      <c r="F31" s="81">
        <v>0.78800000000000003</v>
      </c>
      <c r="G31" s="81">
        <v>0.79100000000000004</v>
      </c>
      <c r="H31" s="81">
        <v>0.79300000000000004</v>
      </c>
      <c r="I31" s="81">
        <v>0.79600000000000004</v>
      </c>
      <c r="J31" s="81">
        <v>0.79800000000000004</v>
      </c>
      <c r="K31" s="81">
        <v>0.80100000000000005</v>
      </c>
      <c r="L31" s="81">
        <v>0.80300000000000005</v>
      </c>
      <c r="M31" s="81">
        <v>0.80600000000000005</v>
      </c>
    </row>
    <row r="32" spans="1:13" x14ac:dyDescent="0.25">
      <c r="A32" s="80">
        <v>55</v>
      </c>
      <c r="B32" s="81">
        <v>0.80900000000000005</v>
      </c>
      <c r="C32" s="81">
        <v>0.81100000000000005</v>
      </c>
      <c r="D32" s="81">
        <v>0.81399999999999995</v>
      </c>
      <c r="E32" s="81">
        <v>0.81699999999999995</v>
      </c>
      <c r="F32" s="81">
        <v>0.82</v>
      </c>
      <c r="G32" s="81">
        <v>0.82199999999999995</v>
      </c>
      <c r="H32" s="81">
        <v>0.82499999999999996</v>
      </c>
      <c r="I32" s="81">
        <v>0.82799999999999996</v>
      </c>
      <c r="J32" s="81">
        <v>0.83099999999999996</v>
      </c>
      <c r="K32" s="81">
        <v>0.83399999999999996</v>
      </c>
      <c r="L32" s="81">
        <v>0.83599999999999997</v>
      </c>
      <c r="M32" s="81">
        <v>0.83899999999999997</v>
      </c>
    </row>
    <row r="33" spans="1:13" x14ac:dyDescent="0.25">
      <c r="A33" s="80">
        <v>56</v>
      </c>
      <c r="B33" s="81">
        <v>0.84199999999999997</v>
      </c>
      <c r="C33" s="81">
        <v>0.84499999999999997</v>
      </c>
      <c r="D33" s="81">
        <v>0.84799999999999998</v>
      </c>
      <c r="E33" s="81">
        <v>0.85099999999999998</v>
      </c>
      <c r="F33" s="81">
        <v>0.85399999999999998</v>
      </c>
      <c r="G33" s="81">
        <v>0.85699999999999998</v>
      </c>
      <c r="H33" s="81">
        <v>0.86</v>
      </c>
      <c r="I33" s="81">
        <v>0.86299999999999999</v>
      </c>
      <c r="J33" s="81">
        <v>0.86599999999999999</v>
      </c>
      <c r="K33" s="81">
        <v>0.86899999999999999</v>
      </c>
      <c r="L33" s="81">
        <v>0.871</v>
      </c>
      <c r="M33" s="81">
        <v>0.874</v>
      </c>
    </row>
    <row r="34" spans="1:13" x14ac:dyDescent="0.25">
      <c r="A34" s="80">
        <v>57</v>
      </c>
      <c r="B34" s="81">
        <v>0.877</v>
      </c>
      <c r="C34" s="81">
        <v>0.88100000000000001</v>
      </c>
      <c r="D34" s="81">
        <v>0.88400000000000001</v>
      </c>
      <c r="E34" s="81">
        <v>0.88700000000000001</v>
      </c>
      <c r="F34" s="81">
        <v>0.89</v>
      </c>
      <c r="G34" s="81">
        <v>0.89300000000000002</v>
      </c>
      <c r="H34" s="81">
        <v>0.89600000000000002</v>
      </c>
      <c r="I34" s="81">
        <v>0.9</v>
      </c>
      <c r="J34" s="81">
        <v>0.90300000000000002</v>
      </c>
      <c r="K34" s="81">
        <v>0.90600000000000003</v>
      </c>
      <c r="L34" s="81">
        <v>0.90900000000000003</v>
      </c>
      <c r="M34" s="81">
        <v>0.91200000000000003</v>
      </c>
    </row>
    <row r="35" spans="1:13" x14ac:dyDescent="0.25">
      <c r="A35" s="80">
        <v>58</v>
      </c>
      <c r="B35" s="81">
        <v>0.91500000000000004</v>
      </c>
      <c r="C35" s="81">
        <v>0.91900000000000004</v>
      </c>
      <c r="D35" s="81">
        <v>0.92200000000000004</v>
      </c>
      <c r="E35" s="81">
        <v>0.92600000000000005</v>
      </c>
      <c r="F35" s="81">
        <v>0.92900000000000005</v>
      </c>
      <c r="G35" s="81">
        <v>0.93200000000000005</v>
      </c>
      <c r="H35" s="81">
        <v>0.93600000000000005</v>
      </c>
      <c r="I35" s="81">
        <v>0.93899999999999995</v>
      </c>
      <c r="J35" s="81">
        <v>0.94299999999999995</v>
      </c>
      <c r="K35" s="81">
        <v>0.94599999999999995</v>
      </c>
      <c r="L35" s="81">
        <v>0.94899999999999995</v>
      </c>
      <c r="M35" s="81">
        <v>0.95299999999999996</v>
      </c>
    </row>
    <row r="36" spans="1:13" x14ac:dyDescent="0.25">
      <c r="A36" s="80">
        <v>59</v>
      </c>
      <c r="B36" s="81">
        <v>0.95599999999999996</v>
      </c>
      <c r="C36" s="81">
        <v>0.96</v>
      </c>
      <c r="D36" s="81">
        <v>0.96399999999999997</v>
      </c>
      <c r="E36" s="81">
        <v>0.96699999999999997</v>
      </c>
      <c r="F36" s="81">
        <v>0.97099999999999997</v>
      </c>
      <c r="G36" s="81">
        <v>0.97499999999999998</v>
      </c>
      <c r="H36" s="81">
        <v>0.97799999999999998</v>
      </c>
      <c r="I36" s="81">
        <v>0.98199999999999998</v>
      </c>
      <c r="J36" s="81">
        <v>0.98499999999999999</v>
      </c>
      <c r="K36" s="81">
        <v>0.98899999999999999</v>
      </c>
      <c r="L36" s="81">
        <v>0.99299999999999999</v>
      </c>
      <c r="M36" s="81">
        <v>0.996</v>
      </c>
    </row>
    <row r="37" spans="1:13" x14ac:dyDescent="0.25">
      <c r="A37" s="80">
        <v>60</v>
      </c>
      <c r="B37" s="81">
        <v>1</v>
      </c>
      <c r="C37" s="81"/>
      <c r="D37" s="81"/>
      <c r="E37" s="81"/>
      <c r="F37" s="81"/>
      <c r="G37" s="81"/>
      <c r="H37" s="81"/>
      <c r="I37" s="81"/>
      <c r="J37" s="81"/>
      <c r="K37" s="81"/>
      <c r="L37" s="81"/>
      <c r="M37" s="81"/>
    </row>
    <row r="44" spans="1:13" ht="39.65" customHeight="1" x14ac:dyDescent="0.25"/>
    <row r="46" spans="1:13" ht="27.65" customHeight="1" x14ac:dyDescent="0.25"/>
  </sheetData>
  <sheetProtection algorithmName="SHA-512" hashValue="DoSi8OzlIniWqHyUXmq8HwJLVisG+nQmy0bqcwWFmW4dGDlZzgjcUV2m7Gc7uIe2cnQIorHKCnWear/ppgyLsw==" saltValue="IBkji9ixMUV6WqJLmfQtIw==" spinCount="100000" sheet="1" objects="1" scenarios="1"/>
  <conditionalFormatting sqref="A6:A21">
    <cfRule type="expression" dxfId="921" priority="13" stopIfTrue="1">
      <formula>MOD(ROW(),2)=0</formula>
    </cfRule>
    <cfRule type="expression" dxfId="920" priority="14" stopIfTrue="1">
      <formula>MOD(ROW(),2)&lt;&gt;0</formula>
    </cfRule>
  </conditionalFormatting>
  <conditionalFormatting sqref="A26:A37">
    <cfRule type="expression" dxfId="919" priority="1" stopIfTrue="1">
      <formula>MOD(ROW(),2)=0</formula>
    </cfRule>
    <cfRule type="expression" dxfId="918" priority="2" stopIfTrue="1">
      <formula>MOD(ROW(),2)&lt;&gt;0</formula>
    </cfRule>
  </conditionalFormatting>
  <conditionalFormatting sqref="B17:B21">
    <cfRule type="expression" dxfId="917" priority="9" stopIfTrue="1">
      <formula>MOD(ROW(),2)=0</formula>
    </cfRule>
    <cfRule type="expression" dxfId="916" priority="10" stopIfTrue="1">
      <formula>MOD(ROW(),2)&lt;&gt;0</formula>
    </cfRule>
  </conditionalFormatting>
  <conditionalFormatting sqref="B6:M21">
    <cfRule type="expression" dxfId="915" priority="21" stopIfTrue="1">
      <formula>MOD(ROW(),2)=0</formula>
    </cfRule>
    <cfRule type="expression" dxfId="914" priority="22" stopIfTrue="1">
      <formula>MOD(ROW(),2)&lt;&gt;0</formula>
    </cfRule>
  </conditionalFormatting>
  <conditionalFormatting sqref="B26:M37">
    <cfRule type="expression" dxfId="913" priority="3" stopIfTrue="1">
      <formula>MOD(ROW(),2)=0</formula>
    </cfRule>
    <cfRule type="expression" dxfId="912" priority="4" stopIfTrue="1">
      <formula>MOD(ROW(),2)&lt;&gt;0</formula>
    </cfRule>
  </conditionalFormatting>
  <hyperlinks>
    <hyperlink ref="B24" location="Assumptions!A1" display="Assumptions" xr:uid="{B22FE94B-BDE2-4EE6-8249-D19975FB62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x-402</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410</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402</v>
      </c>
      <c r="C14" s="161"/>
      <c r="D14" s="161"/>
      <c r="E14" s="161"/>
      <c r="F14" s="161"/>
      <c r="G14" s="161"/>
      <c r="H14" s="161"/>
      <c r="I14" s="161"/>
      <c r="J14" s="161"/>
      <c r="K14" s="161"/>
      <c r="L14" s="161"/>
      <c r="M14" s="161"/>
    </row>
    <row r="15" spans="1:13" x14ac:dyDescent="0.25">
      <c r="A15" s="77" t="s">
        <v>291</v>
      </c>
      <c r="B15" s="161" t="s">
        <v>411</v>
      </c>
      <c r="C15" s="161"/>
      <c r="D15" s="161"/>
      <c r="E15" s="161"/>
      <c r="F15" s="161"/>
      <c r="G15" s="161"/>
      <c r="H15" s="161"/>
      <c r="I15" s="161"/>
      <c r="J15" s="161"/>
      <c r="K15" s="161"/>
      <c r="L15" s="161"/>
      <c r="M15" s="161"/>
    </row>
    <row r="16" spans="1:13" x14ac:dyDescent="0.25">
      <c r="A16" s="77" t="s">
        <v>293</v>
      </c>
      <c r="B16" s="161" t="s">
        <v>412</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50</v>
      </c>
      <c r="B27" s="81">
        <v>0.53400000000000003</v>
      </c>
      <c r="C27" s="81">
        <v>0.53500000000000003</v>
      </c>
      <c r="D27" s="81">
        <v>0.53700000000000003</v>
      </c>
      <c r="E27" s="81">
        <v>0.53800000000000003</v>
      </c>
      <c r="F27" s="81">
        <v>0.54</v>
      </c>
      <c r="G27" s="81">
        <v>0.54100000000000004</v>
      </c>
      <c r="H27" s="81">
        <v>0.54300000000000004</v>
      </c>
      <c r="I27" s="81">
        <v>0.54400000000000004</v>
      </c>
      <c r="J27" s="81">
        <v>0.54600000000000004</v>
      </c>
      <c r="K27" s="81">
        <v>0.54700000000000004</v>
      </c>
      <c r="L27" s="81">
        <v>0.54800000000000004</v>
      </c>
      <c r="M27" s="81">
        <v>0.55000000000000004</v>
      </c>
    </row>
    <row r="28" spans="1:13" x14ac:dyDescent="0.25">
      <c r="A28" s="80">
        <v>51</v>
      </c>
      <c r="B28" s="81">
        <v>0.55100000000000005</v>
      </c>
      <c r="C28" s="81">
        <v>0.55300000000000005</v>
      </c>
      <c r="D28" s="81">
        <v>0.55500000000000005</v>
      </c>
      <c r="E28" s="81">
        <v>0.55600000000000005</v>
      </c>
      <c r="F28" s="81">
        <v>0.55800000000000005</v>
      </c>
      <c r="G28" s="81">
        <v>0.55900000000000005</v>
      </c>
      <c r="H28" s="81">
        <v>0.56100000000000005</v>
      </c>
      <c r="I28" s="81">
        <v>0.56200000000000006</v>
      </c>
      <c r="J28" s="81">
        <v>0.56399999999999995</v>
      </c>
      <c r="K28" s="81">
        <v>0.56599999999999995</v>
      </c>
      <c r="L28" s="81">
        <v>0.56699999999999995</v>
      </c>
      <c r="M28" s="81">
        <v>0.56899999999999995</v>
      </c>
    </row>
    <row r="29" spans="1:13" x14ac:dyDescent="0.25">
      <c r="A29" s="80">
        <v>52</v>
      </c>
      <c r="B29" s="81">
        <v>0.56999999999999995</v>
      </c>
      <c r="C29" s="81">
        <v>0.57199999999999995</v>
      </c>
      <c r="D29" s="81">
        <v>0.57399999999999995</v>
      </c>
      <c r="E29" s="81">
        <v>0.57499999999999996</v>
      </c>
      <c r="F29" s="81">
        <v>0.57699999999999996</v>
      </c>
      <c r="G29" s="81">
        <v>0.57899999999999996</v>
      </c>
      <c r="H29" s="81">
        <v>0.57999999999999996</v>
      </c>
      <c r="I29" s="81">
        <v>0.58199999999999996</v>
      </c>
      <c r="J29" s="81">
        <v>0.58399999999999996</v>
      </c>
      <c r="K29" s="81">
        <v>0.58499999999999996</v>
      </c>
      <c r="L29" s="81">
        <v>0.58699999999999997</v>
      </c>
      <c r="M29" s="81">
        <v>0.58899999999999997</v>
      </c>
    </row>
    <row r="30" spans="1:13" x14ac:dyDescent="0.25">
      <c r="A30" s="80">
        <v>53</v>
      </c>
      <c r="B30" s="81">
        <v>0.59099999999999997</v>
      </c>
      <c r="C30" s="81">
        <v>0.59199999999999997</v>
      </c>
      <c r="D30" s="81">
        <v>0.59399999999999997</v>
      </c>
      <c r="E30" s="81">
        <v>0.59599999999999997</v>
      </c>
      <c r="F30" s="81">
        <v>0.59799999999999998</v>
      </c>
      <c r="G30" s="81">
        <v>0.6</v>
      </c>
      <c r="H30" s="81">
        <v>0.60199999999999998</v>
      </c>
      <c r="I30" s="81">
        <v>0.60299999999999998</v>
      </c>
      <c r="J30" s="81">
        <v>0.60499999999999998</v>
      </c>
      <c r="K30" s="81">
        <v>0.60699999999999998</v>
      </c>
      <c r="L30" s="81">
        <v>0.60899999999999999</v>
      </c>
      <c r="M30" s="81">
        <v>0.61099999999999999</v>
      </c>
    </row>
    <row r="31" spans="1:13" x14ac:dyDescent="0.25">
      <c r="A31" s="80">
        <v>54</v>
      </c>
      <c r="B31" s="81">
        <v>0.61299999999999999</v>
      </c>
      <c r="C31" s="81">
        <v>0.61499999999999999</v>
      </c>
      <c r="D31" s="81">
        <v>0.61699999999999999</v>
      </c>
      <c r="E31" s="81">
        <v>0.61899999999999999</v>
      </c>
      <c r="F31" s="81">
        <v>0.62</v>
      </c>
      <c r="G31" s="81">
        <v>0.622</v>
      </c>
      <c r="H31" s="81">
        <v>0.624</v>
      </c>
      <c r="I31" s="81">
        <v>0.626</v>
      </c>
      <c r="J31" s="81">
        <v>0.628</v>
      </c>
      <c r="K31" s="81">
        <v>0.63</v>
      </c>
      <c r="L31" s="81">
        <v>0.63200000000000001</v>
      </c>
      <c r="M31" s="81">
        <v>0.63400000000000001</v>
      </c>
    </row>
    <row r="32" spans="1:13" x14ac:dyDescent="0.25">
      <c r="A32" s="80">
        <v>55</v>
      </c>
      <c r="B32" s="81">
        <v>0.63600000000000001</v>
      </c>
      <c r="C32" s="81">
        <v>0.63900000000000001</v>
      </c>
      <c r="D32" s="81">
        <v>0.64100000000000001</v>
      </c>
      <c r="E32" s="81">
        <v>0.64300000000000002</v>
      </c>
      <c r="F32" s="81">
        <v>0.64500000000000002</v>
      </c>
      <c r="G32" s="81">
        <v>0.64700000000000002</v>
      </c>
      <c r="H32" s="81">
        <v>0.64900000000000002</v>
      </c>
      <c r="I32" s="81">
        <v>0.65200000000000002</v>
      </c>
      <c r="J32" s="81">
        <v>0.65400000000000003</v>
      </c>
      <c r="K32" s="81">
        <v>0.65600000000000003</v>
      </c>
      <c r="L32" s="81">
        <v>0.65800000000000003</v>
      </c>
      <c r="M32" s="81">
        <v>0.66</v>
      </c>
    </row>
    <row r="33" spans="1:13" x14ac:dyDescent="0.25">
      <c r="A33" s="80">
        <v>56</v>
      </c>
      <c r="B33" s="81">
        <v>0.66200000000000003</v>
      </c>
      <c r="C33" s="81">
        <v>0.66500000000000004</v>
      </c>
      <c r="D33" s="81">
        <v>0.66700000000000004</v>
      </c>
      <c r="E33" s="81">
        <v>0.66900000000000004</v>
      </c>
      <c r="F33" s="81">
        <v>0.67200000000000004</v>
      </c>
      <c r="G33" s="81">
        <v>0.67400000000000004</v>
      </c>
      <c r="H33" s="81">
        <v>0.67600000000000005</v>
      </c>
      <c r="I33" s="81">
        <v>0.67900000000000005</v>
      </c>
      <c r="J33" s="81">
        <v>0.68100000000000005</v>
      </c>
      <c r="K33" s="81">
        <v>0.68300000000000005</v>
      </c>
      <c r="L33" s="81">
        <v>0.68500000000000005</v>
      </c>
      <c r="M33" s="81">
        <v>0.68799999999999994</v>
      </c>
    </row>
    <row r="34" spans="1:13" x14ac:dyDescent="0.25">
      <c r="A34" s="80">
        <v>57</v>
      </c>
      <c r="B34" s="81">
        <v>0.69</v>
      </c>
      <c r="C34" s="81">
        <v>0.69299999999999995</v>
      </c>
      <c r="D34" s="81">
        <v>0.69499999999999995</v>
      </c>
      <c r="E34" s="81">
        <v>0.69699999999999995</v>
      </c>
      <c r="F34" s="81">
        <v>0.7</v>
      </c>
      <c r="G34" s="81">
        <v>0.70199999999999996</v>
      </c>
      <c r="H34" s="81">
        <v>0.70499999999999996</v>
      </c>
      <c r="I34" s="81">
        <v>0.70699999999999996</v>
      </c>
      <c r="J34" s="81">
        <v>0.71</v>
      </c>
      <c r="K34" s="81">
        <v>0.71199999999999997</v>
      </c>
      <c r="L34" s="81">
        <v>0.71499999999999997</v>
      </c>
      <c r="M34" s="81">
        <v>0.71699999999999997</v>
      </c>
    </row>
    <row r="35" spans="1:13" x14ac:dyDescent="0.25">
      <c r="A35" s="80">
        <v>58</v>
      </c>
      <c r="B35" s="81">
        <v>0.72</v>
      </c>
      <c r="C35" s="81">
        <v>0.72199999999999998</v>
      </c>
      <c r="D35" s="81">
        <v>0.72499999999999998</v>
      </c>
      <c r="E35" s="81">
        <v>0.72799999999999998</v>
      </c>
      <c r="F35" s="81">
        <v>0.73</v>
      </c>
      <c r="G35" s="81">
        <v>0.73299999999999998</v>
      </c>
      <c r="H35" s="81">
        <v>0.73599999999999999</v>
      </c>
      <c r="I35" s="81">
        <v>0.73799999999999999</v>
      </c>
      <c r="J35" s="81">
        <v>0.74099999999999999</v>
      </c>
      <c r="K35" s="81">
        <v>0.74399999999999999</v>
      </c>
      <c r="L35" s="81">
        <v>0.746</v>
      </c>
      <c r="M35" s="81">
        <v>0.749</v>
      </c>
    </row>
    <row r="36" spans="1:13" x14ac:dyDescent="0.25">
      <c r="A36" s="80">
        <v>59</v>
      </c>
      <c r="B36" s="81">
        <v>0.752</v>
      </c>
      <c r="C36" s="81">
        <v>0.754</v>
      </c>
      <c r="D36" s="81">
        <v>0.75700000000000001</v>
      </c>
      <c r="E36" s="81">
        <v>0.76</v>
      </c>
      <c r="F36" s="81">
        <v>0.76300000000000001</v>
      </c>
      <c r="G36" s="81">
        <v>0.76600000000000001</v>
      </c>
      <c r="H36" s="81">
        <v>0.76900000000000002</v>
      </c>
      <c r="I36" s="81">
        <v>0.77100000000000002</v>
      </c>
      <c r="J36" s="81">
        <v>0.77400000000000002</v>
      </c>
      <c r="K36" s="81">
        <v>0.77700000000000002</v>
      </c>
      <c r="L36" s="81">
        <v>0.78</v>
      </c>
      <c r="M36" s="81">
        <v>0.78300000000000003</v>
      </c>
    </row>
    <row r="37" spans="1:13" x14ac:dyDescent="0.25">
      <c r="A37" s="80">
        <v>60</v>
      </c>
      <c r="B37" s="81">
        <v>0.78600000000000003</v>
      </c>
      <c r="C37" s="81">
        <v>0.78900000000000003</v>
      </c>
      <c r="D37" s="81">
        <v>0.79200000000000004</v>
      </c>
      <c r="E37" s="81">
        <v>0.79500000000000004</v>
      </c>
      <c r="F37" s="81">
        <v>0.79800000000000004</v>
      </c>
      <c r="G37" s="81">
        <v>0.80100000000000005</v>
      </c>
      <c r="H37" s="81">
        <v>0.80400000000000005</v>
      </c>
      <c r="I37" s="81">
        <v>0.80700000000000005</v>
      </c>
      <c r="J37" s="81">
        <v>0.81</v>
      </c>
      <c r="K37" s="81">
        <v>0.81299999999999994</v>
      </c>
      <c r="L37" s="81">
        <v>0.81599999999999995</v>
      </c>
      <c r="M37" s="81">
        <v>0.81899999999999995</v>
      </c>
    </row>
    <row r="38" spans="1:13" x14ac:dyDescent="0.25">
      <c r="A38" s="80">
        <v>61</v>
      </c>
      <c r="B38" s="81">
        <v>0.82199999999999995</v>
      </c>
      <c r="C38" s="81">
        <v>0.82599999999999996</v>
      </c>
      <c r="D38" s="81">
        <v>0.82899999999999996</v>
      </c>
      <c r="E38" s="81">
        <v>0.83199999999999996</v>
      </c>
      <c r="F38" s="81">
        <v>0.83599999999999997</v>
      </c>
      <c r="G38" s="81">
        <v>0.83899999999999997</v>
      </c>
      <c r="H38" s="81">
        <v>0.84199999999999997</v>
      </c>
      <c r="I38" s="81">
        <v>0.84599999999999997</v>
      </c>
      <c r="J38" s="81">
        <v>0.84899999999999998</v>
      </c>
      <c r="K38" s="81">
        <v>0.85199999999999998</v>
      </c>
      <c r="L38" s="81">
        <v>0.85599999999999998</v>
      </c>
      <c r="M38" s="81">
        <v>0.85899999999999999</v>
      </c>
    </row>
    <row r="39" spans="1:13" x14ac:dyDescent="0.25">
      <c r="A39" s="80">
        <v>62</v>
      </c>
      <c r="B39" s="81">
        <v>0.86199999999999999</v>
      </c>
      <c r="C39" s="81">
        <v>0.86599999999999999</v>
      </c>
      <c r="D39" s="81">
        <v>0.86899999999999999</v>
      </c>
      <c r="E39" s="81">
        <v>0.873</v>
      </c>
      <c r="F39" s="81">
        <v>0.877</v>
      </c>
      <c r="G39" s="81">
        <v>0.88</v>
      </c>
      <c r="H39" s="81">
        <v>0.88400000000000001</v>
      </c>
      <c r="I39" s="81">
        <v>0.88700000000000001</v>
      </c>
      <c r="J39" s="81">
        <v>0.89100000000000001</v>
      </c>
      <c r="K39" s="81">
        <v>0.89500000000000002</v>
      </c>
      <c r="L39" s="81">
        <v>0.89800000000000002</v>
      </c>
      <c r="M39" s="81">
        <v>0.90200000000000002</v>
      </c>
    </row>
    <row r="40" spans="1:13" x14ac:dyDescent="0.25">
      <c r="A40" s="80">
        <v>63</v>
      </c>
      <c r="B40" s="81">
        <v>0.90500000000000003</v>
      </c>
      <c r="C40" s="81">
        <v>0.90900000000000003</v>
      </c>
      <c r="D40" s="81">
        <v>0.91300000000000003</v>
      </c>
      <c r="E40" s="81">
        <v>0.91700000000000004</v>
      </c>
      <c r="F40" s="81">
        <v>0.92100000000000004</v>
      </c>
      <c r="G40" s="81">
        <v>0.92500000000000004</v>
      </c>
      <c r="H40" s="81">
        <v>0.92900000000000005</v>
      </c>
      <c r="I40" s="81">
        <v>0.93300000000000005</v>
      </c>
      <c r="J40" s="81">
        <v>0.93700000000000006</v>
      </c>
      <c r="K40" s="81">
        <v>0.94099999999999995</v>
      </c>
      <c r="L40" s="81">
        <v>0.94499999999999995</v>
      </c>
      <c r="M40" s="81">
        <v>0.94799999999999995</v>
      </c>
    </row>
    <row r="41" spans="1:13" x14ac:dyDescent="0.25">
      <c r="A41" s="80">
        <v>64</v>
      </c>
      <c r="B41" s="81">
        <v>0.95199999999999996</v>
      </c>
      <c r="C41" s="81">
        <v>0.95599999999999996</v>
      </c>
      <c r="D41" s="81">
        <v>0.96</v>
      </c>
      <c r="E41" s="81">
        <v>0.96399999999999997</v>
      </c>
      <c r="F41" s="81">
        <v>0.96799999999999997</v>
      </c>
      <c r="G41" s="81">
        <v>0.97199999999999998</v>
      </c>
      <c r="H41" s="81">
        <v>0.97599999999999998</v>
      </c>
      <c r="I41" s="81">
        <v>0.98</v>
      </c>
      <c r="J41" s="81">
        <v>0.98399999999999999</v>
      </c>
      <c r="K41" s="81">
        <v>0.98799999999999999</v>
      </c>
      <c r="L41" s="81">
        <v>0.99199999999999999</v>
      </c>
      <c r="M41" s="81">
        <v>0.996</v>
      </c>
    </row>
    <row r="42" spans="1:13" x14ac:dyDescent="0.25">
      <c r="A42" s="80">
        <v>65</v>
      </c>
      <c r="B42" s="81">
        <v>1</v>
      </c>
      <c r="C42" s="81"/>
      <c r="D42" s="81"/>
      <c r="E42" s="81"/>
      <c r="F42" s="81"/>
      <c r="G42" s="81"/>
      <c r="H42" s="81"/>
      <c r="I42" s="81"/>
      <c r="J42" s="81"/>
      <c r="K42" s="81"/>
      <c r="L42" s="81"/>
      <c r="M42" s="81"/>
    </row>
    <row r="44" spans="1:13" ht="39.65" customHeight="1" x14ac:dyDescent="0.25"/>
    <row r="46" spans="1:13" ht="27.65" customHeight="1" x14ac:dyDescent="0.25"/>
  </sheetData>
  <sheetProtection algorithmName="SHA-512" hashValue="XftPPQwZKN5pM0670sLvq0OE/WOerwapdCVTV5R6uvnish31QMX+DcMNeQrcY+/UimkTUdj1siul5muCgRFG3A==" saltValue="EflYKqTWSK0HlQa4x7Gl/w==" spinCount="100000" sheet="1" objects="1" scenarios="1"/>
  <conditionalFormatting sqref="A6:A21">
    <cfRule type="expression" dxfId="911" priority="13" stopIfTrue="1">
      <formula>MOD(ROW(),2)=0</formula>
    </cfRule>
    <cfRule type="expression" dxfId="910" priority="14" stopIfTrue="1">
      <formula>MOD(ROW(),2)&lt;&gt;0</formula>
    </cfRule>
  </conditionalFormatting>
  <conditionalFormatting sqref="A26:A42">
    <cfRule type="expression" dxfId="909" priority="1" stopIfTrue="1">
      <formula>MOD(ROW(),2)=0</formula>
    </cfRule>
    <cfRule type="expression" dxfId="908" priority="2" stopIfTrue="1">
      <formula>MOD(ROW(),2)&lt;&gt;0</formula>
    </cfRule>
  </conditionalFormatting>
  <conditionalFormatting sqref="B17:B21">
    <cfRule type="expression" dxfId="907" priority="9" stopIfTrue="1">
      <formula>MOD(ROW(),2)=0</formula>
    </cfRule>
    <cfRule type="expression" dxfId="906" priority="10" stopIfTrue="1">
      <formula>MOD(ROW(),2)&lt;&gt;0</formula>
    </cfRule>
  </conditionalFormatting>
  <conditionalFormatting sqref="B6:M21">
    <cfRule type="expression" dxfId="905" priority="21" stopIfTrue="1">
      <formula>MOD(ROW(),2)=0</formula>
    </cfRule>
    <cfRule type="expression" dxfId="904" priority="22" stopIfTrue="1">
      <formula>MOD(ROW(),2)&lt;&gt;0</formula>
    </cfRule>
  </conditionalFormatting>
  <conditionalFormatting sqref="B26:M42">
    <cfRule type="expression" dxfId="903" priority="3" stopIfTrue="1">
      <formula>MOD(ROW(),2)=0</formula>
    </cfRule>
    <cfRule type="expression" dxfId="902" priority="4" stopIfTrue="1">
      <formula>MOD(ROW(),2)&lt;&gt;0</formula>
    </cfRule>
  </conditionalFormatting>
  <hyperlinks>
    <hyperlink ref="B24" location="Assumptions!A1" display="Assumptions" xr:uid="{92164BD0-7B87-4BA3-A12F-89189D03B08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dimension ref="A1:Q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5" width="10" style="26"/>
    <col min="16" max="16" width="31.54296875" style="26" customWidth="1"/>
    <col min="17" max="17" width="49" style="26" customWidth="1"/>
    <col min="18" max="16384" width="10" style="26"/>
  </cols>
  <sheetData>
    <row r="1" spans="1:17" ht="20" x14ac:dyDescent="0.4">
      <c r="A1" s="37" t="s">
        <v>0</v>
      </c>
      <c r="B1" s="38"/>
      <c r="C1" s="38"/>
      <c r="D1" s="38"/>
      <c r="E1" s="38"/>
      <c r="F1" s="38"/>
      <c r="G1" s="38"/>
      <c r="H1" s="38"/>
      <c r="I1" s="38"/>
    </row>
    <row r="2" spans="1:17" ht="15.5" x14ac:dyDescent="0.35">
      <c r="A2" s="39" t="str">
        <f>IF(title="&gt; Enter workbook title here","Enter workbook title in Cover sheet",title)</f>
        <v>NHSPS_S - Consolidated Factor Spreadsheet</v>
      </c>
      <c r="B2" s="40"/>
      <c r="C2" s="40"/>
      <c r="D2" s="40"/>
      <c r="E2" s="40"/>
      <c r="F2" s="40"/>
      <c r="G2" s="40"/>
      <c r="H2" s="40"/>
      <c r="I2" s="40"/>
    </row>
    <row r="3" spans="1:17" ht="15.5" x14ac:dyDescent="0.35">
      <c r="A3" s="41" t="str">
        <f>TABLE_FACTOR_TYPE_1&amp;" - x-"&amp;TABLE_SERIES_NUMBER_1</f>
        <v>ERF - x-403</v>
      </c>
      <c r="B3" s="40"/>
      <c r="C3" s="40"/>
      <c r="D3" s="40"/>
      <c r="E3" s="40"/>
      <c r="F3" s="40"/>
      <c r="G3" s="40"/>
      <c r="H3" s="40"/>
      <c r="I3" s="40"/>
    </row>
    <row r="4" spans="1:17" x14ac:dyDescent="0.25">
      <c r="A4" s="42"/>
    </row>
    <row r="6" spans="1:17" ht="13" x14ac:dyDescent="0.3">
      <c r="A6" s="75" t="s">
        <v>274</v>
      </c>
      <c r="B6" s="161" t="s">
        <v>275</v>
      </c>
      <c r="C6" s="161"/>
      <c r="D6" s="161"/>
      <c r="E6" s="161"/>
      <c r="F6" s="161"/>
      <c r="G6" s="161"/>
      <c r="H6" s="161"/>
      <c r="I6" s="161"/>
      <c r="J6" s="161"/>
      <c r="K6" s="161"/>
      <c r="L6" s="161"/>
      <c r="M6" s="161"/>
      <c r="P6" s="75" t="s">
        <v>274</v>
      </c>
      <c r="Q6" s="161" t="s">
        <v>275</v>
      </c>
    </row>
    <row r="7" spans="1:17" x14ac:dyDescent="0.25">
      <c r="A7" s="77" t="s">
        <v>276</v>
      </c>
      <c r="B7" s="161" t="s">
        <v>72</v>
      </c>
      <c r="C7" s="161"/>
      <c r="D7" s="161"/>
      <c r="E7" s="161"/>
      <c r="F7" s="161"/>
      <c r="G7" s="161"/>
      <c r="H7" s="161"/>
      <c r="I7" s="161"/>
      <c r="J7" s="161"/>
      <c r="K7" s="161"/>
      <c r="L7" s="161"/>
      <c r="M7" s="161"/>
      <c r="P7" s="77" t="s">
        <v>276</v>
      </c>
      <c r="Q7" s="161" t="s">
        <v>72</v>
      </c>
    </row>
    <row r="8" spans="1:17" x14ac:dyDescent="0.25">
      <c r="A8" s="77" t="s">
        <v>278</v>
      </c>
      <c r="B8" s="161" t="s">
        <v>74</v>
      </c>
      <c r="C8" s="161"/>
      <c r="D8" s="161"/>
      <c r="E8" s="161"/>
      <c r="F8" s="161"/>
      <c r="G8" s="161"/>
      <c r="H8" s="161"/>
      <c r="I8" s="161"/>
      <c r="J8" s="161"/>
      <c r="K8" s="161"/>
      <c r="L8" s="161"/>
      <c r="M8" s="161"/>
      <c r="P8" s="77" t="s">
        <v>278</v>
      </c>
      <c r="Q8" s="161" t="s">
        <v>74</v>
      </c>
    </row>
    <row r="9" spans="1:17" x14ac:dyDescent="0.25">
      <c r="A9" s="77" t="s">
        <v>280</v>
      </c>
      <c r="B9" s="161" t="s">
        <v>405</v>
      </c>
      <c r="C9" s="161"/>
      <c r="D9" s="161"/>
      <c r="E9" s="161"/>
      <c r="F9" s="161"/>
      <c r="G9" s="161"/>
      <c r="H9" s="161"/>
      <c r="I9" s="161"/>
      <c r="J9" s="161"/>
      <c r="K9" s="161"/>
      <c r="L9" s="161"/>
      <c r="M9" s="161"/>
      <c r="P9" s="77" t="s">
        <v>280</v>
      </c>
      <c r="Q9" s="161" t="s">
        <v>405</v>
      </c>
    </row>
    <row r="10" spans="1:17" x14ac:dyDescent="0.25">
      <c r="A10" s="77" t="s">
        <v>6</v>
      </c>
      <c r="B10" s="161" t="s">
        <v>413</v>
      </c>
      <c r="C10" s="161"/>
      <c r="D10" s="161"/>
      <c r="E10" s="161"/>
      <c r="F10" s="161"/>
      <c r="G10" s="161"/>
      <c r="H10" s="161"/>
      <c r="I10" s="161"/>
      <c r="J10" s="161"/>
      <c r="K10" s="161"/>
      <c r="L10" s="161"/>
      <c r="M10" s="161"/>
      <c r="P10" s="77" t="s">
        <v>6</v>
      </c>
      <c r="Q10" s="161" t="s">
        <v>416</v>
      </c>
    </row>
    <row r="11" spans="1:17" x14ac:dyDescent="0.25">
      <c r="A11" s="77" t="s">
        <v>283</v>
      </c>
      <c r="B11" s="161" t="s">
        <v>355</v>
      </c>
      <c r="C11" s="161"/>
      <c r="D11" s="161"/>
      <c r="E11" s="161"/>
      <c r="F11" s="161"/>
      <c r="G11" s="161"/>
      <c r="H11" s="161"/>
      <c r="I11" s="161"/>
      <c r="J11" s="161"/>
      <c r="K11" s="161"/>
      <c r="L11" s="161"/>
      <c r="M11" s="161"/>
      <c r="P11" s="77" t="s">
        <v>283</v>
      </c>
      <c r="Q11" s="161" t="s">
        <v>355</v>
      </c>
    </row>
    <row r="12" spans="1:17" x14ac:dyDescent="0.25">
      <c r="A12" s="77" t="s">
        <v>285</v>
      </c>
      <c r="B12" s="161" t="s">
        <v>407</v>
      </c>
      <c r="C12" s="161"/>
      <c r="D12" s="161"/>
      <c r="E12" s="161"/>
      <c r="F12" s="161"/>
      <c r="G12" s="161"/>
      <c r="H12" s="161"/>
      <c r="I12" s="161"/>
      <c r="J12" s="161"/>
      <c r="K12" s="161"/>
      <c r="L12" s="161"/>
      <c r="M12" s="161"/>
      <c r="P12" s="77" t="s">
        <v>285</v>
      </c>
      <c r="Q12" s="161" t="s">
        <v>417</v>
      </c>
    </row>
    <row r="13" spans="1:17" x14ac:dyDescent="0.25">
      <c r="A13" s="77" t="s">
        <v>287</v>
      </c>
      <c r="B13" s="161">
        <v>1</v>
      </c>
      <c r="C13" s="161"/>
      <c r="D13" s="161"/>
      <c r="E13" s="161"/>
      <c r="F13" s="161"/>
      <c r="G13" s="161"/>
      <c r="H13" s="161"/>
      <c r="I13" s="161"/>
      <c r="J13" s="161"/>
      <c r="K13" s="161"/>
      <c r="L13" s="161"/>
      <c r="M13" s="161"/>
      <c r="P13" s="77" t="s">
        <v>287</v>
      </c>
      <c r="Q13" s="161">
        <v>1</v>
      </c>
    </row>
    <row r="14" spans="1:17" x14ac:dyDescent="0.25">
      <c r="A14" s="77" t="s">
        <v>289</v>
      </c>
      <c r="B14" s="161">
        <v>403</v>
      </c>
      <c r="C14" s="161"/>
      <c r="D14" s="161"/>
      <c r="E14" s="161"/>
      <c r="F14" s="161"/>
      <c r="G14" s="161"/>
      <c r="H14" s="161"/>
      <c r="I14" s="161"/>
      <c r="J14" s="161"/>
      <c r="K14" s="161"/>
      <c r="L14" s="161"/>
      <c r="M14" s="161"/>
      <c r="P14" s="77" t="s">
        <v>289</v>
      </c>
      <c r="Q14" s="161">
        <v>403</v>
      </c>
    </row>
    <row r="15" spans="1:17" x14ac:dyDescent="0.25">
      <c r="A15" s="77" t="s">
        <v>291</v>
      </c>
      <c r="B15" s="161" t="s">
        <v>414</v>
      </c>
      <c r="C15" s="161"/>
      <c r="D15" s="161"/>
      <c r="E15" s="161"/>
      <c r="F15" s="161"/>
      <c r="G15" s="161"/>
      <c r="H15" s="161"/>
      <c r="I15" s="161"/>
      <c r="J15" s="161"/>
      <c r="K15" s="161"/>
      <c r="L15" s="161"/>
      <c r="M15" s="161"/>
      <c r="P15" s="77" t="s">
        <v>291</v>
      </c>
      <c r="Q15" s="161" t="s">
        <v>418</v>
      </c>
    </row>
    <row r="16" spans="1:17" x14ac:dyDescent="0.25">
      <c r="A16" s="77" t="s">
        <v>293</v>
      </c>
      <c r="B16" s="161" t="s">
        <v>415</v>
      </c>
      <c r="C16" s="161"/>
      <c r="D16" s="161"/>
      <c r="E16" s="161"/>
      <c r="F16" s="161"/>
      <c r="G16" s="161"/>
      <c r="H16" s="161"/>
      <c r="I16" s="161"/>
      <c r="J16" s="161"/>
      <c r="K16" s="161"/>
      <c r="L16" s="161"/>
      <c r="M16" s="161"/>
      <c r="P16" s="77" t="s">
        <v>293</v>
      </c>
      <c r="Q16" s="161" t="s">
        <v>419</v>
      </c>
    </row>
    <row r="17" spans="1:17" x14ac:dyDescent="0.25">
      <c r="A17" s="74" t="s">
        <v>760</v>
      </c>
      <c r="B17" s="161"/>
      <c r="C17" s="161"/>
      <c r="D17" s="161"/>
      <c r="E17" s="161"/>
      <c r="F17" s="161"/>
      <c r="G17" s="161"/>
      <c r="H17" s="161"/>
      <c r="I17" s="161"/>
      <c r="J17" s="161"/>
      <c r="K17" s="161"/>
      <c r="L17" s="161"/>
      <c r="M17" s="161"/>
      <c r="P17" s="74" t="s">
        <v>760</v>
      </c>
      <c r="Q17" s="161"/>
    </row>
    <row r="18" spans="1:17" x14ac:dyDescent="0.25">
      <c r="A18" s="77" t="s">
        <v>297</v>
      </c>
      <c r="B18" s="163">
        <v>45107</v>
      </c>
      <c r="C18" s="161"/>
      <c r="D18" s="161"/>
      <c r="E18" s="161"/>
      <c r="F18" s="161"/>
      <c r="G18" s="161"/>
      <c r="H18" s="161"/>
      <c r="I18" s="161"/>
      <c r="J18" s="161"/>
      <c r="K18" s="161"/>
      <c r="L18" s="161"/>
      <c r="M18" s="161"/>
      <c r="P18" s="77" t="s">
        <v>297</v>
      </c>
      <c r="Q18" s="163">
        <v>45107</v>
      </c>
    </row>
    <row r="19" spans="1:17" x14ac:dyDescent="0.25">
      <c r="A19" s="77" t="s">
        <v>299</v>
      </c>
      <c r="B19" s="163">
        <v>45110</v>
      </c>
      <c r="C19" s="161"/>
      <c r="D19" s="161"/>
      <c r="E19" s="161"/>
      <c r="F19" s="161"/>
      <c r="G19" s="161"/>
      <c r="H19" s="161"/>
      <c r="I19" s="161"/>
      <c r="J19" s="161"/>
      <c r="K19" s="161"/>
      <c r="L19" s="161"/>
      <c r="M19" s="161"/>
      <c r="P19" s="77" t="s">
        <v>299</v>
      </c>
      <c r="Q19" s="163">
        <v>45110</v>
      </c>
    </row>
    <row r="20" spans="1:17" x14ac:dyDescent="0.25">
      <c r="A20" s="77" t="s">
        <v>301</v>
      </c>
      <c r="B20" s="161" t="s">
        <v>314</v>
      </c>
      <c r="C20" s="161"/>
      <c r="D20" s="161"/>
      <c r="E20" s="161"/>
      <c r="F20" s="161"/>
      <c r="G20" s="161"/>
      <c r="H20" s="161"/>
      <c r="I20" s="161"/>
      <c r="J20" s="161"/>
      <c r="K20" s="161"/>
      <c r="L20" s="161"/>
      <c r="M20" s="161"/>
      <c r="P20" s="77" t="s">
        <v>301</v>
      </c>
      <c r="Q20" s="161" t="s">
        <v>314</v>
      </c>
    </row>
    <row r="21" spans="1:17" x14ac:dyDescent="0.25">
      <c r="A21" s="77" t="s">
        <v>307</v>
      </c>
      <c r="B21" s="161" t="s">
        <v>315</v>
      </c>
      <c r="C21" s="161"/>
      <c r="D21" s="161"/>
      <c r="E21" s="161"/>
      <c r="F21" s="161"/>
      <c r="G21" s="161"/>
      <c r="H21" s="161"/>
      <c r="I21" s="161"/>
      <c r="J21" s="161"/>
      <c r="K21" s="161"/>
      <c r="L21" s="161"/>
      <c r="M21" s="161"/>
      <c r="P21" s="77" t="s">
        <v>307</v>
      </c>
      <c r="Q21" s="161" t="s">
        <v>315</v>
      </c>
    </row>
    <row r="23" spans="1:17" x14ac:dyDescent="0.25">
      <c r="B23" s="100" t="str">
        <f>HYPERLINK("#'Factor List'!A1","Back to Factor List")</f>
        <v>Back to Factor List</v>
      </c>
    </row>
    <row r="24" spans="1:17" x14ac:dyDescent="0.25">
      <c r="B24" s="100" t="s">
        <v>13</v>
      </c>
    </row>
    <row r="26" spans="1:17" ht="13" x14ac:dyDescent="0.25">
      <c r="A26" s="79" t="s">
        <v>803</v>
      </c>
      <c r="B26" s="79">
        <v>0</v>
      </c>
      <c r="C26" s="79">
        <v>1</v>
      </c>
      <c r="D26" s="79">
        <v>2</v>
      </c>
      <c r="E26" s="79">
        <v>3</v>
      </c>
      <c r="F26" s="79">
        <v>4</v>
      </c>
      <c r="G26" s="79">
        <v>5</v>
      </c>
      <c r="H26" s="79">
        <v>6</v>
      </c>
      <c r="I26" s="79">
        <v>7</v>
      </c>
      <c r="J26" s="79">
        <v>8</v>
      </c>
      <c r="K26" s="79">
        <v>9</v>
      </c>
      <c r="L26" s="79">
        <v>10</v>
      </c>
      <c r="M26" s="79">
        <v>11</v>
      </c>
      <c r="P26" s="97" t="s">
        <v>417</v>
      </c>
      <c r="Q26" s="97" t="s">
        <v>804</v>
      </c>
    </row>
    <row r="27" spans="1:17" x14ac:dyDescent="0.25">
      <c r="A27" s="80">
        <v>50</v>
      </c>
      <c r="B27" s="81">
        <v>0.24199999999999999</v>
      </c>
      <c r="C27" s="81">
        <v>0.23799999999999999</v>
      </c>
      <c r="D27" s="81">
        <v>0.23400000000000001</v>
      </c>
      <c r="E27" s="81">
        <v>0.23</v>
      </c>
      <c r="F27" s="81">
        <v>0.22600000000000001</v>
      </c>
      <c r="G27" s="81">
        <v>0.222</v>
      </c>
      <c r="H27" s="81">
        <v>0.218</v>
      </c>
      <c r="I27" s="81">
        <v>0.214</v>
      </c>
      <c r="J27" s="81">
        <v>0.21</v>
      </c>
      <c r="K27" s="81">
        <v>0.20599999999999999</v>
      </c>
      <c r="L27" s="81">
        <v>0.20200000000000001</v>
      </c>
      <c r="M27" s="81">
        <v>0.19800000000000001</v>
      </c>
      <c r="P27" s="98">
        <v>50</v>
      </c>
      <c r="Q27" s="103">
        <v>1.2370000000000001</v>
      </c>
    </row>
    <row r="28" spans="1:17" x14ac:dyDescent="0.25">
      <c r="A28" s="80">
        <v>51</v>
      </c>
      <c r="B28" s="81">
        <v>0.19400000000000001</v>
      </c>
      <c r="C28" s="81">
        <v>0.19</v>
      </c>
      <c r="D28" s="81">
        <v>0.186</v>
      </c>
      <c r="E28" s="81">
        <v>0.182</v>
      </c>
      <c r="F28" s="81">
        <v>0.17799999999999999</v>
      </c>
      <c r="G28" s="81">
        <v>0.17399999999999999</v>
      </c>
      <c r="H28" s="81">
        <v>0.17</v>
      </c>
      <c r="I28" s="81">
        <v>0.16600000000000001</v>
      </c>
      <c r="J28" s="81">
        <v>0.16200000000000001</v>
      </c>
      <c r="K28" s="81">
        <v>0.158</v>
      </c>
      <c r="L28" s="81">
        <v>0.154</v>
      </c>
      <c r="M28" s="81">
        <v>0.15</v>
      </c>
      <c r="P28" s="98">
        <v>51</v>
      </c>
      <c r="Q28" s="103">
        <v>1.2370000000000001</v>
      </c>
    </row>
    <row r="29" spans="1:17" x14ac:dyDescent="0.25">
      <c r="A29" s="80">
        <v>52</v>
      </c>
      <c r="B29" s="81">
        <v>0.14599999999999999</v>
      </c>
      <c r="C29" s="81">
        <v>0.14199999999999999</v>
      </c>
      <c r="D29" s="81">
        <v>0.13800000000000001</v>
      </c>
      <c r="E29" s="81">
        <v>0.13400000000000001</v>
      </c>
      <c r="F29" s="81">
        <v>0.13</v>
      </c>
      <c r="G29" s="81">
        <v>0.126</v>
      </c>
      <c r="H29" s="81">
        <v>0.122</v>
      </c>
      <c r="I29" s="81">
        <v>0.11799999999999999</v>
      </c>
      <c r="J29" s="81">
        <v>0.114</v>
      </c>
      <c r="K29" s="81">
        <v>0.11</v>
      </c>
      <c r="L29" s="81">
        <v>0.106</v>
      </c>
      <c r="M29" s="81">
        <v>0.10199999999999999</v>
      </c>
      <c r="P29" s="98">
        <v>52</v>
      </c>
      <c r="Q29" s="103">
        <v>1.2370000000000001</v>
      </c>
    </row>
    <row r="30" spans="1:17" x14ac:dyDescent="0.25">
      <c r="A30" s="80">
        <v>53</v>
      </c>
      <c r="B30" s="81">
        <v>9.8000000000000004E-2</v>
      </c>
      <c r="C30" s="81">
        <v>9.4E-2</v>
      </c>
      <c r="D30" s="81">
        <v>8.8999999999999996E-2</v>
      </c>
      <c r="E30" s="81">
        <v>8.5000000000000006E-2</v>
      </c>
      <c r="F30" s="81">
        <v>8.1000000000000003E-2</v>
      </c>
      <c r="G30" s="81">
        <v>7.6999999999999999E-2</v>
      </c>
      <c r="H30" s="81">
        <v>7.2999999999999995E-2</v>
      </c>
      <c r="I30" s="81">
        <v>6.9000000000000006E-2</v>
      </c>
      <c r="J30" s="81">
        <v>6.5000000000000002E-2</v>
      </c>
      <c r="K30" s="81">
        <v>6.0999999999999999E-2</v>
      </c>
      <c r="L30" s="81">
        <v>5.7000000000000002E-2</v>
      </c>
      <c r="M30" s="81">
        <v>5.2999999999999999E-2</v>
      </c>
      <c r="P30" s="98">
        <v>53</v>
      </c>
      <c r="Q30" s="103">
        <v>1.2370000000000001</v>
      </c>
    </row>
    <row r="31" spans="1:17" x14ac:dyDescent="0.25">
      <c r="A31" s="80">
        <v>54</v>
      </c>
      <c r="B31" s="81">
        <v>4.9000000000000002E-2</v>
      </c>
      <c r="C31" s="81">
        <v>4.4999999999999998E-2</v>
      </c>
      <c r="D31" s="81">
        <v>4.1000000000000002E-2</v>
      </c>
      <c r="E31" s="81">
        <v>3.6999999999999998E-2</v>
      </c>
      <c r="F31" s="81">
        <v>3.3000000000000002E-2</v>
      </c>
      <c r="G31" s="81">
        <v>2.9000000000000001E-2</v>
      </c>
      <c r="H31" s="81">
        <v>2.4E-2</v>
      </c>
      <c r="I31" s="81">
        <v>0.02</v>
      </c>
      <c r="J31" s="81">
        <v>1.6E-2</v>
      </c>
      <c r="K31" s="81">
        <v>1.2E-2</v>
      </c>
      <c r="L31" s="81">
        <v>8.0000000000000002E-3</v>
      </c>
      <c r="M31" s="81">
        <v>4.0000000000000001E-3</v>
      </c>
      <c r="P31" s="98">
        <v>54</v>
      </c>
      <c r="Q31" s="103">
        <v>1.2370000000000001</v>
      </c>
    </row>
    <row r="32" spans="1:17" x14ac:dyDescent="0.25">
      <c r="A32" s="80">
        <v>55</v>
      </c>
      <c r="B32" s="81">
        <v>0</v>
      </c>
      <c r="C32" s="81"/>
      <c r="D32" s="81"/>
      <c r="E32" s="81"/>
      <c r="F32" s="81"/>
      <c r="G32" s="81"/>
      <c r="H32" s="81"/>
      <c r="I32" s="81"/>
      <c r="J32" s="81"/>
      <c r="K32" s="81"/>
      <c r="L32" s="81"/>
      <c r="M32" s="81"/>
      <c r="P32" s="98">
        <v>55</v>
      </c>
      <c r="Q32" s="103">
        <v>1.2370000000000001</v>
      </c>
    </row>
    <row r="44" ht="39.65" customHeight="1" x14ac:dyDescent="0.25"/>
    <row r="46" ht="27.65" customHeight="1" x14ac:dyDescent="0.25"/>
  </sheetData>
  <sheetProtection algorithmName="SHA-512" hashValue="76RS6FTwNYubQqV+oJhYUy+0gYnrQISBxLzR6EZaNtGDRUFrd20vFEujRXzwRH/d4SpDg4CTcdtXkfHFSpzmXg==" saltValue="wmd4fd2PXxpkdOpfqyF24g==" spinCount="100000" sheet="1" objects="1" scenarios="1"/>
  <conditionalFormatting sqref="A6:A21">
    <cfRule type="expression" dxfId="901" priority="27" stopIfTrue="1">
      <formula>MOD(ROW(),2)=0</formula>
    </cfRule>
    <cfRule type="expression" dxfId="900" priority="28" stopIfTrue="1">
      <formula>MOD(ROW(),2)&lt;&gt;0</formula>
    </cfRule>
  </conditionalFormatting>
  <conditionalFormatting sqref="A26:A32">
    <cfRule type="expression" dxfId="899" priority="11" stopIfTrue="1">
      <formula>MOD(ROW(),2)=0</formula>
    </cfRule>
    <cfRule type="expression" dxfId="898" priority="12" stopIfTrue="1">
      <formula>MOD(ROW(),2)&lt;&gt;0</formula>
    </cfRule>
  </conditionalFormatting>
  <conditionalFormatting sqref="B17:B21">
    <cfRule type="expression" dxfId="897" priority="7" stopIfTrue="1">
      <formula>MOD(ROW(),2)=0</formula>
    </cfRule>
    <cfRule type="expression" dxfId="896" priority="8" stopIfTrue="1">
      <formula>MOD(ROW(),2)&lt;&gt;0</formula>
    </cfRule>
  </conditionalFormatting>
  <conditionalFormatting sqref="B6:M21">
    <cfRule type="expression" dxfId="895" priority="35" stopIfTrue="1">
      <formula>MOD(ROW(),2)=0</formula>
    </cfRule>
    <cfRule type="expression" dxfId="894" priority="36" stopIfTrue="1">
      <formula>MOD(ROW(),2)&lt;&gt;0</formula>
    </cfRule>
  </conditionalFormatting>
  <conditionalFormatting sqref="B26:M32">
    <cfRule type="expression" dxfId="893" priority="13" stopIfTrue="1">
      <formula>MOD(ROW(),2)=0</formula>
    </cfRule>
    <cfRule type="expression" dxfId="892" priority="14" stopIfTrue="1">
      <formula>MOD(ROW(),2)&lt;&gt;0</formula>
    </cfRule>
  </conditionalFormatting>
  <conditionalFormatting sqref="P6:P21">
    <cfRule type="expression" dxfId="891" priority="5" stopIfTrue="1">
      <formula>MOD(ROW(),2)=0</formula>
    </cfRule>
    <cfRule type="expression" dxfId="890" priority="6" stopIfTrue="1">
      <formula>MOD(ROW(),2)&lt;&gt;0</formula>
    </cfRule>
  </conditionalFormatting>
  <conditionalFormatting sqref="P26:P32">
    <cfRule type="expression" dxfId="889" priority="15" stopIfTrue="1">
      <formula>MOD(ROW(),2)=0</formula>
    </cfRule>
    <cfRule type="expression" dxfId="888" priority="16" stopIfTrue="1">
      <formula>MOD(ROW(),2)&lt;&gt;0</formula>
    </cfRule>
  </conditionalFormatting>
  <conditionalFormatting sqref="Q6:Q21">
    <cfRule type="expression" dxfId="887" priority="43" stopIfTrue="1">
      <formula>MOD(ROW(),2)=0</formula>
    </cfRule>
    <cfRule type="expression" dxfId="886" priority="44" stopIfTrue="1">
      <formula>MOD(ROW(),2)&lt;&gt;0</formula>
    </cfRule>
  </conditionalFormatting>
  <conditionalFormatting sqref="Q17:Q19">
    <cfRule type="expression" dxfId="885" priority="1" stopIfTrue="1">
      <formula>MOD(ROW(),2)=0</formula>
    </cfRule>
    <cfRule type="expression" dxfId="884" priority="2" stopIfTrue="1">
      <formula>MOD(ROW(),2)&lt;&gt;0</formula>
    </cfRule>
  </conditionalFormatting>
  <conditionalFormatting sqref="Q26:Q32">
    <cfRule type="expression" dxfId="883" priority="17" stopIfTrue="1">
      <formula>MOD(ROW(),2)=0</formula>
    </cfRule>
    <cfRule type="expression" dxfId="882" priority="18" stopIfTrue="1">
      <formula>MOD(ROW(),2)&lt;&gt;0</formula>
    </cfRule>
  </conditionalFormatting>
  <hyperlinks>
    <hyperlink ref="B24" location="Assumptions!A1" display="Assumptions" xr:uid="{9185D82F-EF4C-4BFB-99A1-6F2C6A97BBC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8"/>
  <dimension ref="A1:Q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5" width="10" style="26"/>
    <col min="16" max="16" width="31.54296875" style="26" customWidth="1"/>
    <col min="17" max="17" width="89.453125" style="26" customWidth="1"/>
    <col min="18" max="16384" width="10" style="26"/>
  </cols>
  <sheetData>
    <row r="1" spans="1:17" ht="20" x14ac:dyDescent="0.4">
      <c r="A1" s="37" t="s">
        <v>0</v>
      </c>
      <c r="B1" s="38"/>
      <c r="C1" s="38"/>
      <c r="D1" s="38"/>
      <c r="E1" s="38"/>
      <c r="F1" s="38"/>
      <c r="G1" s="38"/>
      <c r="H1" s="38"/>
      <c r="I1" s="38"/>
    </row>
    <row r="2" spans="1:17" ht="15.5" x14ac:dyDescent="0.35">
      <c r="A2" s="39" t="str">
        <f>IF(title="&gt; Enter workbook title here","Enter workbook title in Cover sheet",title)</f>
        <v>NHSPS_S - Consolidated Factor Spreadsheet</v>
      </c>
      <c r="B2" s="40"/>
      <c r="C2" s="40"/>
      <c r="D2" s="40"/>
      <c r="E2" s="40"/>
      <c r="F2" s="40"/>
      <c r="G2" s="40"/>
      <c r="H2" s="40"/>
      <c r="I2" s="40"/>
    </row>
    <row r="3" spans="1:17" ht="15.5" x14ac:dyDescent="0.35">
      <c r="A3" s="41" t="str">
        <f>TABLE_FACTOR_TYPE_1&amp;" - x-"&amp;TABLE_SERIES_NUMBER_1</f>
        <v>ERF - x-404</v>
      </c>
      <c r="B3" s="40"/>
      <c r="C3" s="40"/>
      <c r="D3" s="40"/>
      <c r="E3" s="40"/>
      <c r="F3" s="40"/>
      <c r="G3" s="40"/>
      <c r="H3" s="40"/>
      <c r="I3" s="40"/>
    </row>
    <row r="4" spans="1:17" x14ac:dyDescent="0.25">
      <c r="A4" s="42"/>
    </row>
    <row r="6" spans="1:17" ht="13" x14ac:dyDescent="0.3">
      <c r="A6" s="75" t="s">
        <v>274</v>
      </c>
      <c r="B6" s="161" t="s">
        <v>275</v>
      </c>
      <c r="C6" s="161"/>
      <c r="D6" s="161"/>
      <c r="E6" s="161"/>
      <c r="F6" s="161"/>
      <c r="G6" s="161"/>
      <c r="H6" s="161"/>
      <c r="I6" s="161"/>
      <c r="J6" s="161"/>
      <c r="K6" s="161"/>
      <c r="L6" s="161"/>
      <c r="M6" s="161"/>
      <c r="P6" s="75" t="s">
        <v>274</v>
      </c>
      <c r="Q6" s="161" t="s">
        <v>275</v>
      </c>
    </row>
    <row r="7" spans="1:17" x14ac:dyDescent="0.25">
      <c r="A7" s="77" t="s">
        <v>276</v>
      </c>
      <c r="B7" s="161" t="s">
        <v>72</v>
      </c>
      <c r="C7" s="161"/>
      <c r="D7" s="161"/>
      <c r="E7" s="161"/>
      <c r="F7" s="161"/>
      <c r="G7" s="161"/>
      <c r="H7" s="161"/>
      <c r="I7" s="161"/>
      <c r="J7" s="161"/>
      <c r="K7" s="161"/>
      <c r="L7" s="161"/>
      <c r="M7" s="161"/>
      <c r="P7" s="77" t="s">
        <v>276</v>
      </c>
      <c r="Q7" s="161" t="s">
        <v>72</v>
      </c>
    </row>
    <row r="8" spans="1:17" x14ac:dyDescent="0.25">
      <c r="A8" s="77" t="s">
        <v>278</v>
      </c>
      <c r="B8" s="161" t="s">
        <v>74</v>
      </c>
      <c r="C8" s="161"/>
      <c r="D8" s="161"/>
      <c r="E8" s="161"/>
      <c r="F8" s="161"/>
      <c r="G8" s="161"/>
      <c r="H8" s="161"/>
      <c r="I8" s="161"/>
      <c r="J8" s="161"/>
      <c r="K8" s="161"/>
      <c r="L8" s="161"/>
      <c r="M8" s="161"/>
      <c r="P8" s="77" t="s">
        <v>278</v>
      </c>
      <c r="Q8" s="161" t="s">
        <v>74</v>
      </c>
    </row>
    <row r="9" spans="1:17" x14ac:dyDescent="0.25">
      <c r="A9" s="77" t="s">
        <v>280</v>
      </c>
      <c r="B9" s="161" t="s">
        <v>405</v>
      </c>
      <c r="C9" s="161"/>
      <c r="D9" s="161"/>
      <c r="E9" s="161"/>
      <c r="F9" s="161"/>
      <c r="G9" s="161"/>
      <c r="H9" s="161"/>
      <c r="I9" s="161"/>
      <c r="J9" s="161"/>
      <c r="K9" s="161"/>
      <c r="L9" s="161"/>
      <c r="M9" s="161"/>
      <c r="P9" s="77" t="s">
        <v>280</v>
      </c>
      <c r="Q9" s="161" t="s">
        <v>405</v>
      </c>
    </row>
    <row r="10" spans="1:17" x14ac:dyDescent="0.25">
      <c r="A10" s="77" t="s">
        <v>6</v>
      </c>
      <c r="B10" s="161" t="s">
        <v>420</v>
      </c>
      <c r="C10" s="161"/>
      <c r="D10" s="161"/>
      <c r="E10" s="161"/>
      <c r="F10" s="161"/>
      <c r="G10" s="161"/>
      <c r="H10" s="161"/>
      <c r="I10" s="161"/>
      <c r="J10" s="161"/>
      <c r="K10" s="161"/>
      <c r="L10" s="161"/>
      <c r="M10" s="161"/>
      <c r="P10" s="77" t="s">
        <v>6</v>
      </c>
      <c r="Q10" s="161" t="s">
        <v>423</v>
      </c>
    </row>
    <row r="11" spans="1:17" x14ac:dyDescent="0.25">
      <c r="A11" s="77" t="s">
        <v>283</v>
      </c>
      <c r="B11" s="161" t="s">
        <v>355</v>
      </c>
      <c r="C11" s="161"/>
      <c r="D11" s="161"/>
      <c r="E11" s="161"/>
      <c r="F11" s="161"/>
      <c r="G11" s="161"/>
      <c r="H11" s="161"/>
      <c r="I11" s="161"/>
      <c r="J11" s="161"/>
      <c r="K11" s="161"/>
      <c r="L11" s="161"/>
      <c r="M11" s="161"/>
      <c r="P11" s="77" t="s">
        <v>283</v>
      </c>
      <c r="Q11" s="161" t="s">
        <v>355</v>
      </c>
    </row>
    <row r="12" spans="1:17" x14ac:dyDescent="0.25">
      <c r="A12" s="77" t="s">
        <v>285</v>
      </c>
      <c r="B12" s="161" t="s">
        <v>407</v>
      </c>
      <c r="C12" s="161"/>
      <c r="D12" s="161"/>
      <c r="E12" s="161"/>
      <c r="F12" s="161"/>
      <c r="G12" s="161"/>
      <c r="H12" s="161"/>
      <c r="I12" s="161"/>
      <c r="J12" s="161"/>
      <c r="K12" s="161"/>
      <c r="L12" s="161"/>
      <c r="M12" s="161"/>
      <c r="P12" s="77" t="s">
        <v>285</v>
      </c>
      <c r="Q12" s="161" t="s">
        <v>417</v>
      </c>
    </row>
    <row r="13" spans="1:17" x14ac:dyDescent="0.25">
      <c r="A13" s="77" t="s">
        <v>287</v>
      </c>
      <c r="B13" s="161">
        <v>1</v>
      </c>
      <c r="C13" s="161"/>
      <c r="D13" s="161"/>
      <c r="E13" s="161"/>
      <c r="F13" s="161"/>
      <c r="G13" s="161"/>
      <c r="H13" s="161"/>
      <c r="I13" s="161"/>
      <c r="J13" s="161"/>
      <c r="K13" s="161"/>
      <c r="L13" s="161"/>
      <c r="M13" s="161"/>
      <c r="P13" s="77" t="s">
        <v>287</v>
      </c>
      <c r="Q13" s="161">
        <v>1</v>
      </c>
    </row>
    <row r="14" spans="1:17" x14ac:dyDescent="0.25">
      <c r="A14" s="77" t="s">
        <v>289</v>
      </c>
      <c r="B14" s="161">
        <v>404</v>
      </c>
      <c r="C14" s="161"/>
      <c r="D14" s="161"/>
      <c r="E14" s="161"/>
      <c r="F14" s="161"/>
      <c r="G14" s="161"/>
      <c r="H14" s="161"/>
      <c r="I14" s="161"/>
      <c r="J14" s="161"/>
      <c r="K14" s="161"/>
      <c r="L14" s="161"/>
      <c r="M14" s="161"/>
      <c r="P14" s="77" t="s">
        <v>289</v>
      </c>
      <c r="Q14" s="161">
        <v>404</v>
      </c>
    </row>
    <row r="15" spans="1:17" x14ac:dyDescent="0.25">
      <c r="A15" s="77" t="s">
        <v>291</v>
      </c>
      <c r="B15" s="161" t="s">
        <v>421</v>
      </c>
      <c r="C15" s="161"/>
      <c r="D15" s="161"/>
      <c r="E15" s="161"/>
      <c r="F15" s="161"/>
      <c r="G15" s="161"/>
      <c r="H15" s="161"/>
      <c r="I15" s="161"/>
      <c r="J15" s="161"/>
      <c r="K15" s="161"/>
      <c r="L15" s="161"/>
      <c r="M15" s="161"/>
      <c r="P15" s="77" t="s">
        <v>291</v>
      </c>
      <c r="Q15" s="161" t="s">
        <v>424</v>
      </c>
    </row>
    <row r="16" spans="1:17" x14ac:dyDescent="0.25">
      <c r="A16" s="77" t="s">
        <v>293</v>
      </c>
      <c r="B16" s="161" t="s">
        <v>422</v>
      </c>
      <c r="C16" s="161"/>
      <c r="D16" s="161"/>
      <c r="E16" s="161"/>
      <c r="F16" s="161"/>
      <c r="G16" s="161"/>
      <c r="H16" s="161"/>
      <c r="I16" s="161"/>
      <c r="J16" s="161"/>
      <c r="K16" s="161"/>
      <c r="L16" s="161"/>
      <c r="M16" s="161"/>
      <c r="P16" s="77" t="s">
        <v>293</v>
      </c>
      <c r="Q16" s="161" t="s">
        <v>425</v>
      </c>
    </row>
    <row r="17" spans="1:17" x14ac:dyDescent="0.25">
      <c r="A17" s="74" t="s">
        <v>760</v>
      </c>
      <c r="B17" s="161"/>
      <c r="C17" s="161"/>
      <c r="D17" s="161"/>
      <c r="E17" s="161"/>
      <c r="F17" s="161"/>
      <c r="G17" s="161"/>
      <c r="H17" s="161"/>
      <c r="I17" s="161"/>
      <c r="J17" s="161"/>
      <c r="K17" s="161"/>
      <c r="L17" s="161"/>
      <c r="M17" s="161"/>
      <c r="P17" s="74" t="s">
        <v>760</v>
      </c>
      <c r="Q17" s="161"/>
    </row>
    <row r="18" spans="1:17" x14ac:dyDescent="0.25">
      <c r="A18" s="77" t="s">
        <v>297</v>
      </c>
      <c r="B18" s="163">
        <v>45107</v>
      </c>
      <c r="C18" s="161"/>
      <c r="D18" s="161"/>
      <c r="E18" s="161"/>
      <c r="F18" s="161"/>
      <c r="G18" s="161"/>
      <c r="H18" s="161"/>
      <c r="I18" s="161"/>
      <c r="J18" s="161"/>
      <c r="K18" s="161"/>
      <c r="L18" s="161"/>
      <c r="M18" s="161"/>
      <c r="P18" s="77" t="s">
        <v>297</v>
      </c>
      <c r="Q18" s="163">
        <v>45107</v>
      </c>
    </row>
    <row r="19" spans="1:17" x14ac:dyDescent="0.25">
      <c r="A19" s="77" t="s">
        <v>299</v>
      </c>
      <c r="B19" s="163">
        <v>45110</v>
      </c>
      <c r="C19" s="161"/>
      <c r="D19" s="161"/>
      <c r="E19" s="161"/>
      <c r="F19" s="161"/>
      <c r="G19" s="161"/>
      <c r="H19" s="161"/>
      <c r="I19" s="161"/>
      <c r="J19" s="161"/>
      <c r="K19" s="161"/>
      <c r="L19" s="161"/>
      <c r="M19" s="161"/>
      <c r="P19" s="77" t="s">
        <v>299</v>
      </c>
      <c r="Q19" s="163">
        <v>45110</v>
      </c>
    </row>
    <row r="20" spans="1:17" x14ac:dyDescent="0.25">
      <c r="A20" s="77" t="s">
        <v>301</v>
      </c>
      <c r="B20" s="161" t="s">
        <v>314</v>
      </c>
      <c r="C20" s="161"/>
      <c r="D20" s="161"/>
      <c r="E20" s="161"/>
      <c r="F20" s="161"/>
      <c r="G20" s="161"/>
      <c r="H20" s="161"/>
      <c r="I20" s="161"/>
      <c r="J20" s="161"/>
      <c r="K20" s="161"/>
      <c r="L20" s="161"/>
      <c r="M20" s="161"/>
      <c r="P20" s="77" t="s">
        <v>301</v>
      </c>
      <c r="Q20" s="161" t="s">
        <v>314</v>
      </c>
    </row>
    <row r="21" spans="1:17" x14ac:dyDescent="0.25">
      <c r="A21" s="77" t="s">
        <v>307</v>
      </c>
      <c r="B21" s="161" t="s">
        <v>315</v>
      </c>
      <c r="C21" s="161"/>
      <c r="D21" s="161"/>
      <c r="E21" s="161"/>
      <c r="F21" s="161"/>
      <c r="G21" s="161"/>
      <c r="H21" s="161"/>
      <c r="I21" s="161"/>
      <c r="J21" s="161"/>
      <c r="K21" s="161"/>
      <c r="L21" s="161"/>
      <c r="M21" s="161"/>
      <c r="P21" s="77" t="s">
        <v>307</v>
      </c>
      <c r="Q21" s="161" t="s">
        <v>426</v>
      </c>
    </row>
    <row r="23" spans="1:17" x14ac:dyDescent="0.25">
      <c r="B23" s="100" t="str">
        <f>HYPERLINK("#'Factor List'!A1","Back to Factor List")</f>
        <v>Back to Factor List</v>
      </c>
    </row>
    <row r="24" spans="1:17" x14ac:dyDescent="0.25">
      <c r="B24" s="100" t="s">
        <v>13</v>
      </c>
    </row>
    <row r="26" spans="1:17" ht="13" x14ac:dyDescent="0.25">
      <c r="A26" s="79" t="s">
        <v>803</v>
      </c>
      <c r="B26" s="79">
        <v>0</v>
      </c>
      <c r="C26" s="79">
        <v>1</v>
      </c>
      <c r="D26" s="79">
        <v>2</v>
      </c>
      <c r="E26" s="79">
        <v>3</v>
      </c>
      <c r="F26" s="79">
        <v>4</v>
      </c>
      <c r="G26" s="79">
        <v>5</v>
      </c>
      <c r="H26" s="79">
        <v>6</v>
      </c>
      <c r="I26" s="79">
        <v>7</v>
      </c>
      <c r="J26" s="79">
        <v>8</v>
      </c>
      <c r="K26" s="79">
        <v>9</v>
      </c>
      <c r="L26" s="79">
        <v>10</v>
      </c>
      <c r="M26" s="79">
        <v>11</v>
      </c>
      <c r="P26" s="97" t="s">
        <v>417</v>
      </c>
      <c r="Q26" s="97" t="s">
        <v>804</v>
      </c>
    </row>
    <row r="27" spans="1:17" x14ac:dyDescent="0.25">
      <c r="A27" s="80">
        <v>50</v>
      </c>
      <c r="B27" s="81">
        <v>0.30199999999999999</v>
      </c>
      <c r="C27" s="81">
        <v>0.29699999999999999</v>
      </c>
      <c r="D27" s="81">
        <v>0.29199999999999998</v>
      </c>
      <c r="E27" s="81">
        <v>0.28699999999999998</v>
      </c>
      <c r="F27" s="81">
        <v>0.28199999999999997</v>
      </c>
      <c r="G27" s="81">
        <v>0.27700000000000002</v>
      </c>
      <c r="H27" s="81">
        <v>0.27200000000000002</v>
      </c>
      <c r="I27" s="81">
        <v>0.26700000000000002</v>
      </c>
      <c r="J27" s="81">
        <v>0.26200000000000001</v>
      </c>
      <c r="K27" s="81">
        <v>0.25700000000000001</v>
      </c>
      <c r="L27" s="81">
        <v>0.252</v>
      </c>
      <c r="M27" s="81">
        <v>0.247</v>
      </c>
      <c r="P27" s="98">
        <v>50</v>
      </c>
      <c r="Q27" s="103">
        <v>1.571</v>
      </c>
    </row>
    <row r="28" spans="1:17" x14ac:dyDescent="0.25">
      <c r="A28" s="80">
        <v>51</v>
      </c>
      <c r="B28" s="81">
        <v>0.24199999999999999</v>
      </c>
      <c r="C28" s="81">
        <v>0.23699999999999999</v>
      </c>
      <c r="D28" s="81">
        <v>0.23200000000000001</v>
      </c>
      <c r="E28" s="81">
        <v>0.22700000000000001</v>
      </c>
      <c r="F28" s="81">
        <v>0.222</v>
      </c>
      <c r="G28" s="81">
        <v>0.217</v>
      </c>
      <c r="H28" s="81">
        <v>0.21199999999999999</v>
      </c>
      <c r="I28" s="81">
        <v>0.20699999999999999</v>
      </c>
      <c r="J28" s="81">
        <v>0.20200000000000001</v>
      </c>
      <c r="K28" s="81">
        <v>0.19700000000000001</v>
      </c>
      <c r="L28" s="81">
        <v>0.192</v>
      </c>
      <c r="M28" s="81">
        <v>0.187</v>
      </c>
      <c r="P28" s="98">
        <v>51</v>
      </c>
      <c r="Q28" s="103">
        <v>1.571</v>
      </c>
    </row>
    <row r="29" spans="1:17" x14ac:dyDescent="0.25">
      <c r="A29" s="80">
        <v>52</v>
      </c>
      <c r="B29" s="81">
        <v>0.182</v>
      </c>
      <c r="C29" s="81">
        <v>0.17699999999999999</v>
      </c>
      <c r="D29" s="81">
        <v>0.17199999999999999</v>
      </c>
      <c r="E29" s="81">
        <v>0.16700000000000001</v>
      </c>
      <c r="F29" s="81">
        <v>0.16200000000000001</v>
      </c>
      <c r="G29" s="81">
        <v>0.157</v>
      </c>
      <c r="H29" s="81">
        <v>0.152</v>
      </c>
      <c r="I29" s="81">
        <v>0.14699999999999999</v>
      </c>
      <c r="J29" s="81">
        <v>0.14199999999999999</v>
      </c>
      <c r="K29" s="81">
        <v>0.13700000000000001</v>
      </c>
      <c r="L29" s="81">
        <v>0.13200000000000001</v>
      </c>
      <c r="M29" s="81">
        <v>0.127</v>
      </c>
      <c r="P29" s="98">
        <v>52</v>
      </c>
      <c r="Q29" s="103">
        <v>1.571</v>
      </c>
    </row>
    <row r="30" spans="1:17" x14ac:dyDescent="0.25">
      <c r="A30" s="80">
        <v>53</v>
      </c>
      <c r="B30" s="81">
        <v>0.122</v>
      </c>
      <c r="C30" s="81">
        <v>0.11700000000000001</v>
      </c>
      <c r="D30" s="81">
        <v>0.112</v>
      </c>
      <c r="E30" s="81">
        <v>0.107</v>
      </c>
      <c r="F30" s="81">
        <v>0.10199999999999999</v>
      </c>
      <c r="G30" s="81">
        <v>9.7000000000000003E-2</v>
      </c>
      <c r="H30" s="81">
        <v>9.1999999999999998E-2</v>
      </c>
      <c r="I30" s="81">
        <v>8.6999999999999994E-2</v>
      </c>
      <c r="J30" s="81">
        <v>8.1000000000000003E-2</v>
      </c>
      <c r="K30" s="81">
        <v>7.5999999999999998E-2</v>
      </c>
      <c r="L30" s="81">
        <v>7.0999999999999994E-2</v>
      </c>
      <c r="M30" s="81">
        <v>6.6000000000000003E-2</v>
      </c>
      <c r="P30" s="98">
        <v>53</v>
      </c>
      <c r="Q30" s="103">
        <v>1.571</v>
      </c>
    </row>
    <row r="31" spans="1:17" x14ac:dyDescent="0.25">
      <c r="A31" s="80">
        <v>54</v>
      </c>
      <c r="B31" s="81">
        <v>6.0999999999999999E-2</v>
      </c>
      <c r="C31" s="81">
        <v>5.6000000000000001E-2</v>
      </c>
      <c r="D31" s="81">
        <v>5.0999999999999997E-2</v>
      </c>
      <c r="E31" s="81">
        <v>4.5999999999999999E-2</v>
      </c>
      <c r="F31" s="81">
        <v>4.1000000000000002E-2</v>
      </c>
      <c r="G31" s="81">
        <v>3.5999999999999997E-2</v>
      </c>
      <c r="H31" s="81">
        <v>3.1E-2</v>
      </c>
      <c r="I31" s="81">
        <v>2.5999999999999999E-2</v>
      </c>
      <c r="J31" s="81">
        <v>0.02</v>
      </c>
      <c r="K31" s="81">
        <v>1.4999999999999999E-2</v>
      </c>
      <c r="L31" s="81">
        <v>0.01</v>
      </c>
      <c r="M31" s="81">
        <v>5.0000000000000001E-3</v>
      </c>
      <c r="P31" s="98">
        <v>54</v>
      </c>
      <c r="Q31" s="103">
        <v>1.571</v>
      </c>
    </row>
    <row r="32" spans="1:17" x14ac:dyDescent="0.25">
      <c r="A32" s="80">
        <v>55</v>
      </c>
      <c r="B32" s="81">
        <v>0</v>
      </c>
      <c r="C32" s="81"/>
      <c r="D32" s="81"/>
      <c r="E32" s="81"/>
      <c r="F32" s="81"/>
      <c r="G32" s="81"/>
      <c r="H32" s="81"/>
      <c r="I32" s="81"/>
      <c r="J32" s="81"/>
      <c r="K32" s="81"/>
      <c r="L32" s="81"/>
      <c r="M32" s="81"/>
      <c r="P32" s="98">
        <v>55</v>
      </c>
      <c r="Q32" s="103">
        <v>1.571</v>
      </c>
    </row>
    <row r="44" ht="39.65" customHeight="1" x14ac:dyDescent="0.25"/>
    <row r="46" ht="27.65" customHeight="1" x14ac:dyDescent="0.25"/>
  </sheetData>
  <sheetProtection algorithmName="SHA-512" hashValue="e5ia4EexBpG4hgVmc6+jAak6wV7fKvvCpf8amuKnBP6llIRDY1IEMNNWb/j1rWX726DWhXu3EF9HDF6UoGjfdg==" saltValue="kKbrr9elFKpgXFsBDQ15sw==" spinCount="100000" sheet="1" objects="1" scenarios="1"/>
  <conditionalFormatting sqref="A6:A21">
    <cfRule type="expression" dxfId="881" priority="25" stopIfTrue="1">
      <formula>MOD(ROW(),2)=0</formula>
    </cfRule>
    <cfRule type="expression" dxfId="880" priority="26" stopIfTrue="1">
      <formula>MOD(ROW(),2)&lt;&gt;0</formula>
    </cfRule>
  </conditionalFormatting>
  <conditionalFormatting sqref="A26:A32">
    <cfRule type="expression" dxfId="879" priority="9" stopIfTrue="1">
      <formula>MOD(ROW(),2)=0</formula>
    </cfRule>
    <cfRule type="expression" dxfId="878" priority="10" stopIfTrue="1">
      <formula>MOD(ROW(),2)&lt;&gt;0</formula>
    </cfRule>
  </conditionalFormatting>
  <conditionalFormatting sqref="B17:B21">
    <cfRule type="expression" dxfId="877" priority="21" stopIfTrue="1">
      <formula>MOD(ROW(),2)=0</formula>
    </cfRule>
    <cfRule type="expression" dxfId="876" priority="22" stopIfTrue="1">
      <formula>MOD(ROW(),2)&lt;&gt;0</formula>
    </cfRule>
  </conditionalFormatting>
  <conditionalFormatting sqref="B6:M21">
    <cfRule type="expression" dxfId="875" priority="33" stopIfTrue="1">
      <formula>MOD(ROW(),2)=0</formula>
    </cfRule>
    <cfRule type="expression" dxfId="874" priority="34" stopIfTrue="1">
      <formula>MOD(ROW(),2)&lt;&gt;0</formula>
    </cfRule>
  </conditionalFormatting>
  <conditionalFormatting sqref="B26:M32">
    <cfRule type="expression" dxfId="873" priority="11" stopIfTrue="1">
      <formula>MOD(ROW(),2)=0</formula>
    </cfRule>
    <cfRule type="expression" dxfId="872" priority="12" stopIfTrue="1">
      <formula>MOD(ROW(),2)&lt;&gt;0</formula>
    </cfRule>
  </conditionalFormatting>
  <conditionalFormatting sqref="P6:P21">
    <cfRule type="expression" dxfId="871" priority="5" stopIfTrue="1">
      <formula>MOD(ROW(),2)=0</formula>
    </cfRule>
    <cfRule type="expression" dxfId="870" priority="6" stopIfTrue="1">
      <formula>MOD(ROW(),2)&lt;&gt;0</formula>
    </cfRule>
  </conditionalFormatting>
  <conditionalFormatting sqref="P26:P32">
    <cfRule type="expression" dxfId="869" priority="13" stopIfTrue="1">
      <formula>MOD(ROW(),2)=0</formula>
    </cfRule>
    <cfRule type="expression" dxfId="868" priority="14" stopIfTrue="1">
      <formula>MOD(ROW(),2)&lt;&gt;0</formula>
    </cfRule>
  </conditionalFormatting>
  <conditionalFormatting sqref="Q6:Q21">
    <cfRule type="expression" dxfId="867" priority="41" stopIfTrue="1">
      <formula>MOD(ROW(),2)=0</formula>
    </cfRule>
    <cfRule type="expression" dxfId="866" priority="42" stopIfTrue="1">
      <formula>MOD(ROW(),2)&lt;&gt;0</formula>
    </cfRule>
  </conditionalFormatting>
  <conditionalFormatting sqref="Q17:Q19">
    <cfRule type="expression" dxfId="865" priority="1" stopIfTrue="1">
      <formula>MOD(ROW(),2)=0</formula>
    </cfRule>
    <cfRule type="expression" dxfId="864" priority="2" stopIfTrue="1">
      <formula>MOD(ROW(),2)&lt;&gt;0</formula>
    </cfRule>
  </conditionalFormatting>
  <conditionalFormatting sqref="Q26:Q32">
    <cfRule type="expression" dxfId="863" priority="15" stopIfTrue="1">
      <formula>MOD(ROW(),2)=0</formula>
    </cfRule>
    <cfRule type="expression" dxfId="862" priority="16" stopIfTrue="1">
      <formula>MOD(ROW(),2)&lt;&gt;0</formula>
    </cfRule>
  </conditionalFormatting>
  <hyperlinks>
    <hyperlink ref="B24" location="Assumptions!A1" display="Assumptions" xr:uid="{71136357-07A2-4749-BA28-68DA7E15766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theme="4"/>
  </sheetPr>
  <dimension ref="A1:H224"/>
  <sheetViews>
    <sheetView view="pageBreakPreview" zoomScale="60" zoomScaleNormal="100" workbookViewId="0">
      <selection activeCell="E10" sqref="E10:F224"/>
    </sheetView>
  </sheetViews>
  <sheetFormatPr defaultRowHeight="12.5" x14ac:dyDescent="0.25"/>
  <cols>
    <col min="2" max="2" width="3.453125" style="12" customWidth="1"/>
    <col min="3" max="3" width="7" style="12" customWidth="1"/>
    <col min="4" max="4" width="62" customWidth="1"/>
    <col min="5" max="5" width="16.54296875" style="12" customWidth="1"/>
    <col min="6" max="6" width="19.453125" style="12" customWidth="1"/>
  </cols>
  <sheetData>
    <row r="1" spans="1:8" ht="20" x14ac:dyDescent="0.4">
      <c r="A1" s="4" t="s">
        <v>0</v>
      </c>
      <c r="B1" s="13"/>
      <c r="C1" s="13"/>
      <c r="D1" s="10"/>
      <c r="E1" s="13"/>
      <c r="F1" s="13"/>
      <c r="G1" s="10"/>
      <c r="H1" s="10"/>
    </row>
    <row r="2" spans="1:8" ht="15.5" x14ac:dyDescent="0.35">
      <c r="A2" s="11" t="str">
        <f>IF(title="&gt; Enter workbook title here","Enter workbook title in Cover sheet",title)</f>
        <v>NHSPS_S - Consolidated Factor Spreadsheet</v>
      </c>
      <c r="B2" s="14"/>
      <c r="C2" s="14"/>
      <c r="D2" s="9"/>
      <c r="E2" s="14"/>
      <c r="F2" s="14"/>
      <c r="G2" s="9"/>
      <c r="H2" s="9"/>
    </row>
    <row r="3" spans="1:8" ht="15.5" x14ac:dyDescent="0.35">
      <c r="A3" s="6" t="s">
        <v>69</v>
      </c>
      <c r="B3" s="14"/>
      <c r="C3" s="14"/>
      <c r="D3" s="9"/>
      <c r="E3" s="14"/>
      <c r="F3" s="14"/>
      <c r="G3" s="9"/>
      <c r="H3" s="9"/>
    </row>
    <row r="4" spans="1:8" x14ac:dyDescent="0.25">
      <c r="A4" s="7" t="str">
        <f ca="1">CELL("filename",A1)</f>
        <v>https://tris42.sharepoint.com/sites/gad_wrkgrp_actuarial/pspsactuarialwork/Central/Factors &amp; Guidance/2024 Guidance Review/4. Online portal/3. Import data/3. Factor tables/0_client_friendly/Ready to be uploaded/2025-03/[NHS S Consolidated Factors 2025-02.xlsx]Summary - NHSPS_S</v>
      </c>
    </row>
    <row r="7" spans="1:8" ht="13" x14ac:dyDescent="0.3">
      <c r="E7" s="29" t="s">
        <v>70</v>
      </c>
      <c r="F7" s="29" t="s">
        <v>71</v>
      </c>
    </row>
    <row r="8" spans="1:8" ht="13" x14ac:dyDescent="0.3">
      <c r="B8" s="31" t="s">
        <v>72</v>
      </c>
      <c r="C8" s="20"/>
      <c r="D8" s="15"/>
      <c r="E8" s="30" t="s">
        <v>73</v>
      </c>
      <c r="F8" s="30" t="s">
        <v>74</v>
      </c>
    </row>
    <row r="9" spans="1:8" x14ac:dyDescent="0.25">
      <c r="B9" s="22"/>
      <c r="C9" s="21"/>
      <c r="D9" s="17"/>
      <c r="E9" s="16"/>
      <c r="F9" s="16"/>
    </row>
    <row r="10" spans="1:8" ht="13" x14ac:dyDescent="0.3">
      <c r="B10" s="32" t="s">
        <v>75</v>
      </c>
      <c r="D10" s="18"/>
      <c r="E10" s="33"/>
      <c r="F10" s="33"/>
    </row>
    <row r="11" spans="1:8" x14ac:dyDescent="0.25">
      <c r="B11" s="23" t="s">
        <v>76</v>
      </c>
      <c r="C11" s="12">
        <v>101</v>
      </c>
      <c r="D11" s="18"/>
      <c r="E11" s="33"/>
      <c r="F11" s="33"/>
    </row>
    <row r="12" spans="1:8" x14ac:dyDescent="0.25">
      <c r="B12" s="23" t="s">
        <v>76</v>
      </c>
      <c r="C12" s="12">
        <v>102</v>
      </c>
      <c r="D12" s="18"/>
      <c r="E12" s="33"/>
      <c r="F12" s="33"/>
    </row>
    <row r="13" spans="1:8" x14ac:dyDescent="0.25">
      <c r="B13" s="23" t="s">
        <v>76</v>
      </c>
      <c r="C13" s="12">
        <v>103</v>
      </c>
      <c r="D13" s="18"/>
      <c r="E13" s="33"/>
      <c r="F13" s="33"/>
    </row>
    <row r="14" spans="1:8" x14ac:dyDescent="0.25">
      <c r="B14" s="23" t="s">
        <v>76</v>
      </c>
      <c r="C14" s="12">
        <v>104</v>
      </c>
      <c r="D14" s="18"/>
      <c r="E14" s="33"/>
      <c r="F14" s="33"/>
    </row>
    <row r="15" spans="1:8" x14ac:dyDescent="0.25">
      <c r="B15" s="23" t="s">
        <v>76</v>
      </c>
      <c r="C15" s="12">
        <v>105</v>
      </c>
      <c r="D15" s="18"/>
      <c r="E15" s="33"/>
      <c r="F15" s="33"/>
    </row>
    <row r="16" spans="1:8" x14ac:dyDescent="0.25">
      <c r="B16" s="23" t="s">
        <v>76</v>
      </c>
      <c r="C16" s="12">
        <v>106</v>
      </c>
      <c r="D16" s="18"/>
      <c r="E16" s="33"/>
      <c r="F16" s="33"/>
    </row>
    <row r="17" spans="2:7" x14ac:dyDescent="0.25">
      <c r="B17" s="23" t="s">
        <v>76</v>
      </c>
      <c r="C17" s="12">
        <v>107</v>
      </c>
      <c r="D17" s="18"/>
      <c r="E17" s="33"/>
      <c r="F17" s="33"/>
    </row>
    <row r="18" spans="2:7" x14ac:dyDescent="0.25">
      <c r="B18" s="23" t="s">
        <v>76</v>
      </c>
      <c r="C18" s="12">
        <v>108</v>
      </c>
      <c r="D18" s="18"/>
      <c r="E18" s="33"/>
      <c r="F18" s="33"/>
    </row>
    <row r="19" spans="2:7" x14ac:dyDescent="0.25">
      <c r="B19" s="23" t="s">
        <v>76</v>
      </c>
      <c r="C19" s="12">
        <v>109</v>
      </c>
      <c r="D19" s="18"/>
      <c r="E19" s="33"/>
      <c r="F19" s="33"/>
    </row>
    <row r="20" spans="2:7" x14ac:dyDescent="0.25">
      <c r="B20" s="23" t="s">
        <v>76</v>
      </c>
      <c r="C20" s="12">
        <v>110</v>
      </c>
      <c r="D20" s="18"/>
      <c r="E20" s="33"/>
      <c r="F20" s="33"/>
    </row>
    <row r="21" spans="2:7" x14ac:dyDescent="0.25">
      <c r="B21" s="23" t="s">
        <v>76</v>
      </c>
      <c r="C21" s="12">
        <v>111</v>
      </c>
      <c r="D21" s="18"/>
      <c r="E21" s="33"/>
      <c r="F21" s="33"/>
    </row>
    <row r="22" spans="2:7" x14ac:dyDescent="0.25">
      <c r="B22" s="23" t="s">
        <v>76</v>
      </c>
      <c r="C22" s="12">
        <v>112</v>
      </c>
      <c r="D22" s="18"/>
      <c r="E22" s="33"/>
      <c r="F22" s="33"/>
    </row>
    <row r="23" spans="2:7" x14ac:dyDescent="0.25">
      <c r="B23" s="23" t="s">
        <v>76</v>
      </c>
      <c r="C23" s="12">
        <v>113</v>
      </c>
      <c r="D23" s="18"/>
      <c r="E23" s="33"/>
      <c r="F23" s="33"/>
    </row>
    <row r="24" spans="2:7" x14ac:dyDescent="0.25">
      <c r="B24" s="23" t="s">
        <v>76</v>
      </c>
      <c r="C24" s="12">
        <v>114</v>
      </c>
      <c r="D24" s="18"/>
      <c r="E24" s="33"/>
      <c r="F24" s="33"/>
    </row>
    <row r="25" spans="2:7" x14ac:dyDescent="0.25">
      <c r="B25" s="23" t="s">
        <v>76</v>
      </c>
      <c r="C25" s="12">
        <v>115</v>
      </c>
      <c r="D25" s="18"/>
      <c r="E25" s="33"/>
      <c r="F25" s="33"/>
    </row>
    <row r="26" spans="2:7" x14ac:dyDescent="0.25">
      <c r="B26" s="23" t="s">
        <v>76</v>
      </c>
      <c r="C26" s="12">
        <v>116</v>
      </c>
      <c r="D26" s="18"/>
      <c r="E26" s="33"/>
      <c r="F26" s="33"/>
    </row>
    <row r="27" spans="2:7" x14ac:dyDescent="0.25">
      <c r="B27" s="23" t="s">
        <v>76</v>
      </c>
      <c r="C27" s="12">
        <v>117</v>
      </c>
      <c r="D27" s="18"/>
      <c r="E27" s="33"/>
      <c r="F27" s="33"/>
    </row>
    <row r="28" spans="2:7" x14ac:dyDescent="0.25">
      <c r="B28" s="23" t="s">
        <v>76</v>
      </c>
      <c r="C28" s="12">
        <v>118</v>
      </c>
      <c r="D28" s="18"/>
      <c r="E28" s="33"/>
      <c r="F28" s="33"/>
    </row>
    <row r="29" spans="2:7" x14ac:dyDescent="0.25">
      <c r="B29" s="23" t="s">
        <v>76</v>
      </c>
      <c r="C29" s="12">
        <v>119</v>
      </c>
      <c r="D29" s="18"/>
      <c r="E29" s="33"/>
      <c r="F29" s="33"/>
    </row>
    <row r="30" spans="2:7" x14ac:dyDescent="0.25">
      <c r="B30" s="23" t="s">
        <v>76</v>
      </c>
      <c r="C30" s="12">
        <v>120</v>
      </c>
      <c r="D30" s="18"/>
      <c r="E30" s="33"/>
      <c r="F30" s="33"/>
    </row>
    <row r="31" spans="2:7" x14ac:dyDescent="0.25">
      <c r="B31" s="23" t="s">
        <v>76</v>
      </c>
      <c r="C31" s="12">
        <v>121</v>
      </c>
      <c r="E31" s="34"/>
      <c r="F31" s="34"/>
      <c r="G31" s="28"/>
    </row>
    <row r="32" spans="2:7" x14ac:dyDescent="0.25">
      <c r="B32" s="23" t="s">
        <v>76</v>
      </c>
      <c r="C32" s="12">
        <v>122</v>
      </c>
      <c r="D32" s="18"/>
      <c r="E32" s="33"/>
      <c r="F32" s="33"/>
    </row>
    <row r="33" spans="2:7" x14ac:dyDescent="0.25">
      <c r="B33" s="23" t="s">
        <v>76</v>
      </c>
      <c r="C33" s="12">
        <v>123</v>
      </c>
      <c r="D33" s="18"/>
      <c r="E33" s="33"/>
      <c r="F33" s="33"/>
    </row>
    <row r="34" spans="2:7" x14ac:dyDescent="0.25">
      <c r="B34" s="23" t="s">
        <v>76</v>
      </c>
      <c r="C34" s="12">
        <v>124</v>
      </c>
      <c r="D34" s="18"/>
      <c r="E34" s="33"/>
      <c r="F34" s="33"/>
    </row>
    <row r="35" spans="2:7" x14ac:dyDescent="0.25">
      <c r="B35" s="23" t="s">
        <v>76</v>
      </c>
      <c r="C35" s="12">
        <v>125</v>
      </c>
      <c r="D35" s="18"/>
      <c r="E35" s="33"/>
      <c r="F35" s="33"/>
      <c r="G35" s="27"/>
    </row>
    <row r="36" spans="2:7" x14ac:dyDescent="0.25">
      <c r="B36" s="24"/>
      <c r="C36" s="21"/>
      <c r="D36" s="17"/>
      <c r="E36" s="35"/>
      <c r="F36" s="35"/>
    </row>
    <row r="37" spans="2:7" ht="13" x14ac:dyDescent="0.3">
      <c r="B37" s="32" t="s">
        <v>77</v>
      </c>
      <c r="D37" s="18"/>
      <c r="E37" s="33"/>
      <c r="F37" s="33"/>
    </row>
    <row r="38" spans="2:7" x14ac:dyDescent="0.25">
      <c r="B38" s="23" t="s">
        <v>76</v>
      </c>
      <c r="C38" s="12">
        <v>201</v>
      </c>
      <c r="D38" s="18"/>
      <c r="E38" s="33"/>
      <c r="F38" s="33"/>
    </row>
    <row r="39" spans="2:7" x14ac:dyDescent="0.25">
      <c r="B39" s="23" t="s">
        <v>76</v>
      </c>
      <c r="C39" s="12">
        <v>202</v>
      </c>
      <c r="D39" s="18"/>
      <c r="E39" s="33"/>
      <c r="F39" s="33"/>
    </row>
    <row r="40" spans="2:7" x14ac:dyDescent="0.25">
      <c r="B40" s="23" t="s">
        <v>76</v>
      </c>
      <c r="C40" s="12">
        <v>203</v>
      </c>
      <c r="D40" s="18"/>
      <c r="E40" s="33"/>
      <c r="F40" s="33"/>
    </row>
    <row r="41" spans="2:7" x14ac:dyDescent="0.25">
      <c r="B41" s="23" t="s">
        <v>76</v>
      </c>
      <c r="C41" s="12">
        <v>204</v>
      </c>
      <c r="D41" s="18"/>
      <c r="E41" s="33"/>
      <c r="F41" s="33"/>
    </row>
    <row r="42" spans="2:7" x14ac:dyDescent="0.25">
      <c r="B42" s="23" t="s">
        <v>76</v>
      </c>
      <c r="C42" s="12">
        <v>205</v>
      </c>
      <c r="D42" s="18"/>
      <c r="E42" s="33"/>
      <c r="F42" s="33"/>
    </row>
    <row r="43" spans="2:7" x14ac:dyDescent="0.25">
      <c r="B43" s="23" t="s">
        <v>76</v>
      </c>
      <c r="C43" s="12">
        <v>206</v>
      </c>
      <c r="D43" s="18"/>
      <c r="E43" s="33"/>
      <c r="F43" s="33"/>
    </row>
    <row r="44" spans="2:7" x14ac:dyDescent="0.25">
      <c r="B44" s="23" t="s">
        <v>76</v>
      </c>
      <c r="C44" s="12">
        <v>207</v>
      </c>
      <c r="D44" s="18"/>
      <c r="E44" s="33"/>
      <c r="F44" s="33"/>
    </row>
    <row r="45" spans="2:7" x14ac:dyDescent="0.25">
      <c r="B45" s="23" t="s">
        <v>76</v>
      </c>
      <c r="C45" s="12">
        <v>208</v>
      </c>
      <c r="D45" s="18"/>
      <c r="E45" s="33"/>
      <c r="F45" s="33"/>
    </row>
    <row r="46" spans="2:7" x14ac:dyDescent="0.25">
      <c r="B46" s="23" t="s">
        <v>76</v>
      </c>
      <c r="C46" s="12">
        <v>209</v>
      </c>
      <c r="D46" s="18"/>
      <c r="E46" s="33"/>
      <c r="F46" s="33"/>
    </row>
    <row r="47" spans="2:7" x14ac:dyDescent="0.25">
      <c r="B47" s="23" t="s">
        <v>76</v>
      </c>
      <c r="C47" s="12">
        <v>210</v>
      </c>
      <c r="D47" s="18"/>
      <c r="E47" s="33"/>
      <c r="F47" s="33"/>
    </row>
    <row r="48" spans="2:7" x14ac:dyDescent="0.25">
      <c r="B48" s="23" t="s">
        <v>76</v>
      </c>
      <c r="C48" s="12">
        <v>211</v>
      </c>
      <c r="D48" s="18"/>
      <c r="E48" s="33"/>
      <c r="F48" s="33"/>
    </row>
    <row r="49" spans="2:6" x14ac:dyDescent="0.25">
      <c r="B49" s="23" t="s">
        <v>76</v>
      </c>
      <c r="C49" s="12">
        <v>212</v>
      </c>
      <c r="D49" s="18"/>
      <c r="E49" s="33"/>
      <c r="F49" s="33"/>
    </row>
    <row r="50" spans="2:6" x14ac:dyDescent="0.25">
      <c r="B50" s="23" t="s">
        <v>76</v>
      </c>
      <c r="C50" s="12">
        <v>213</v>
      </c>
      <c r="D50" s="18"/>
      <c r="E50" s="33"/>
      <c r="F50" s="33"/>
    </row>
    <row r="51" spans="2:6" x14ac:dyDescent="0.25">
      <c r="B51" s="23" t="s">
        <v>76</v>
      </c>
      <c r="C51" s="12">
        <v>214</v>
      </c>
      <c r="D51" s="18"/>
      <c r="E51" s="33"/>
      <c r="F51" s="33"/>
    </row>
    <row r="52" spans="2:6" x14ac:dyDescent="0.25">
      <c r="B52" s="23" t="s">
        <v>76</v>
      </c>
      <c r="C52" s="12">
        <v>215</v>
      </c>
      <c r="D52" s="18"/>
      <c r="E52" s="33"/>
      <c r="F52" s="33"/>
    </row>
    <row r="53" spans="2:6" x14ac:dyDescent="0.25">
      <c r="B53" s="23" t="s">
        <v>76</v>
      </c>
      <c r="C53" s="12">
        <v>216</v>
      </c>
      <c r="D53" s="18"/>
      <c r="E53" s="33"/>
      <c r="F53" s="33"/>
    </row>
    <row r="54" spans="2:6" x14ac:dyDescent="0.25">
      <c r="B54" s="23" t="s">
        <v>76</v>
      </c>
      <c r="C54" s="12">
        <v>217</v>
      </c>
      <c r="D54" s="18"/>
      <c r="E54" s="33"/>
      <c r="F54" s="33"/>
    </row>
    <row r="55" spans="2:6" x14ac:dyDescent="0.25">
      <c r="B55" s="23" t="s">
        <v>76</v>
      </c>
      <c r="C55" s="12">
        <v>218</v>
      </c>
      <c r="D55" s="18"/>
      <c r="E55" s="33"/>
      <c r="F55" s="33"/>
    </row>
    <row r="56" spans="2:6" x14ac:dyDescent="0.25">
      <c r="B56" s="23" t="s">
        <v>76</v>
      </c>
      <c r="C56" s="12">
        <v>219</v>
      </c>
      <c r="D56" s="18"/>
      <c r="E56" s="33"/>
      <c r="F56" s="33"/>
    </row>
    <row r="57" spans="2:6" x14ac:dyDescent="0.25">
      <c r="B57" s="23" t="s">
        <v>76</v>
      </c>
      <c r="C57" s="12">
        <v>220</v>
      </c>
      <c r="D57" s="18"/>
      <c r="E57" s="33"/>
      <c r="F57" s="33"/>
    </row>
    <row r="58" spans="2:6" x14ac:dyDescent="0.25">
      <c r="B58" s="23" t="s">
        <v>76</v>
      </c>
      <c r="C58" s="12">
        <v>221</v>
      </c>
      <c r="D58" s="18"/>
      <c r="E58" s="33"/>
      <c r="F58" s="33"/>
    </row>
    <row r="59" spans="2:6" x14ac:dyDescent="0.25">
      <c r="B59" s="23" t="s">
        <v>76</v>
      </c>
      <c r="C59" s="12">
        <v>222</v>
      </c>
      <c r="D59" s="18"/>
      <c r="E59" s="33"/>
      <c r="F59" s="33"/>
    </row>
    <row r="60" spans="2:6" x14ac:dyDescent="0.25">
      <c r="B60" s="23" t="s">
        <v>76</v>
      </c>
      <c r="C60" s="12">
        <v>223</v>
      </c>
      <c r="D60" s="18"/>
      <c r="E60" s="33"/>
      <c r="F60" s="33"/>
    </row>
    <row r="61" spans="2:6" x14ac:dyDescent="0.25">
      <c r="B61" s="23" t="s">
        <v>76</v>
      </c>
      <c r="C61" s="12">
        <v>224</v>
      </c>
      <c r="D61" s="18"/>
      <c r="E61" s="33"/>
      <c r="F61" s="33"/>
    </row>
    <row r="62" spans="2:6" x14ac:dyDescent="0.25">
      <c r="B62" s="23" t="s">
        <v>76</v>
      </c>
      <c r="C62" s="12">
        <v>225</v>
      </c>
      <c r="D62" s="19"/>
      <c r="E62" s="36"/>
      <c r="F62" s="36"/>
    </row>
    <row r="63" spans="2:6" x14ac:dyDescent="0.25">
      <c r="B63" s="24"/>
      <c r="C63" s="21"/>
      <c r="D63" s="17"/>
      <c r="E63" s="35"/>
      <c r="F63" s="35"/>
    </row>
    <row r="64" spans="2:6" ht="13" x14ac:dyDescent="0.3">
      <c r="B64" s="32" t="s">
        <v>78</v>
      </c>
      <c r="D64" s="18"/>
      <c r="E64" s="33"/>
      <c r="F64" s="33"/>
    </row>
    <row r="65" spans="2:6" x14ac:dyDescent="0.25">
      <c r="B65" s="23" t="s">
        <v>76</v>
      </c>
      <c r="C65" s="12">
        <v>301</v>
      </c>
      <c r="D65" s="18"/>
      <c r="E65" s="33"/>
      <c r="F65" s="33"/>
    </row>
    <row r="66" spans="2:6" x14ac:dyDescent="0.25">
      <c r="B66" s="23" t="s">
        <v>76</v>
      </c>
      <c r="C66" s="12">
        <v>302</v>
      </c>
      <c r="D66" s="18"/>
      <c r="E66" s="33"/>
      <c r="F66" s="33"/>
    </row>
    <row r="67" spans="2:6" x14ac:dyDescent="0.25">
      <c r="B67" s="23" t="s">
        <v>76</v>
      </c>
      <c r="C67" s="12">
        <v>303</v>
      </c>
      <c r="D67" s="18"/>
      <c r="E67" s="33"/>
      <c r="F67" s="33"/>
    </row>
    <row r="68" spans="2:6" x14ac:dyDescent="0.25">
      <c r="B68" s="23" t="s">
        <v>76</v>
      </c>
      <c r="C68" s="12">
        <v>304</v>
      </c>
      <c r="D68" s="18"/>
      <c r="E68" s="33"/>
      <c r="F68" s="33"/>
    </row>
    <row r="69" spans="2:6" x14ac:dyDescent="0.25">
      <c r="B69" s="23" t="s">
        <v>76</v>
      </c>
      <c r="C69" s="12">
        <v>305</v>
      </c>
      <c r="D69" s="18"/>
      <c r="E69" s="33"/>
      <c r="F69" s="33"/>
    </row>
    <row r="70" spans="2:6" x14ac:dyDescent="0.25">
      <c r="B70" s="23" t="s">
        <v>76</v>
      </c>
      <c r="C70" s="12">
        <v>306</v>
      </c>
      <c r="D70" s="18"/>
      <c r="E70" s="33"/>
      <c r="F70" s="33"/>
    </row>
    <row r="71" spans="2:6" x14ac:dyDescent="0.25">
      <c r="B71" s="23" t="s">
        <v>76</v>
      </c>
      <c r="C71" s="12">
        <v>307</v>
      </c>
      <c r="D71" s="18"/>
      <c r="E71" s="33"/>
      <c r="F71" s="33"/>
    </row>
    <row r="72" spans="2:6" x14ac:dyDescent="0.25">
      <c r="B72" s="23" t="s">
        <v>76</v>
      </c>
      <c r="C72" s="12">
        <v>308</v>
      </c>
      <c r="D72" s="18"/>
      <c r="E72" s="33"/>
      <c r="F72" s="33"/>
    </row>
    <row r="73" spans="2:6" x14ac:dyDescent="0.25">
      <c r="B73" s="23" t="s">
        <v>76</v>
      </c>
      <c r="C73" s="12">
        <v>309</v>
      </c>
      <c r="D73" s="18"/>
      <c r="E73" s="33"/>
      <c r="F73" s="33"/>
    </row>
    <row r="74" spans="2:6" x14ac:dyDescent="0.25">
      <c r="B74" s="23" t="s">
        <v>76</v>
      </c>
      <c r="C74" s="12">
        <v>310</v>
      </c>
      <c r="D74" s="18"/>
      <c r="E74" s="33"/>
      <c r="F74" s="33"/>
    </row>
    <row r="75" spans="2:6" x14ac:dyDescent="0.25">
      <c r="B75" s="23" t="s">
        <v>76</v>
      </c>
      <c r="C75" s="12">
        <v>311</v>
      </c>
      <c r="D75" s="18"/>
      <c r="E75" s="33"/>
      <c r="F75" s="33"/>
    </row>
    <row r="76" spans="2:6" x14ac:dyDescent="0.25">
      <c r="B76" s="23" t="s">
        <v>76</v>
      </c>
      <c r="C76" s="12">
        <v>312</v>
      </c>
      <c r="D76" s="18"/>
      <c r="E76" s="33"/>
      <c r="F76" s="33"/>
    </row>
    <row r="77" spans="2:6" x14ac:dyDescent="0.25">
      <c r="B77" s="23" t="s">
        <v>76</v>
      </c>
      <c r="C77" s="12">
        <v>313</v>
      </c>
      <c r="D77" s="18"/>
      <c r="E77" s="33"/>
      <c r="F77" s="33"/>
    </row>
    <row r="78" spans="2:6" x14ac:dyDescent="0.25">
      <c r="B78" s="23" t="s">
        <v>76</v>
      </c>
      <c r="C78" s="12">
        <v>314</v>
      </c>
      <c r="D78" s="18"/>
      <c r="E78" s="33"/>
      <c r="F78" s="33"/>
    </row>
    <row r="79" spans="2:6" x14ac:dyDescent="0.25">
      <c r="B79" s="23" t="s">
        <v>76</v>
      </c>
      <c r="C79" s="12">
        <v>315</v>
      </c>
      <c r="D79" s="18"/>
      <c r="E79" s="33"/>
      <c r="F79" s="33"/>
    </row>
    <row r="80" spans="2:6" x14ac:dyDescent="0.25">
      <c r="B80" s="23" t="s">
        <v>76</v>
      </c>
      <c r="C80" s="12">
        <v>316</v>
      </c>
      <c r="D80" s="18"/>
      <c r="E80" s="33"/>
      <c r="F80" s="33"/>
    </row>
    <row r="81" spans="2:6" x14ac:dyDescent="0.25">
      <c r="B81" s="23" t="s">
        <v>76</v>
      </c>
      <c r="C81" s="12">
        <v>317</v>
      </c>
      <c r="D81" s="18"/>
      <c r="E81" s="33"/>
      <c r="F81" s="33"/>
    </row>
    <row r="82" spans="2:6" x14ac:dyDescent="0.25">
      <c r="B82" s="23" t="s">
        <v>76</v>
      </c>
      <c r="C82" s="12">
        <v>318</v>
      </c>
      <c r="D82" s="18"/>
      <c r="E82" s="33"/>
      <c r="F82" s="33"/>
    </row>
    <row r="83" spans="2:6" x14ac:dyDescent="0.25">
      <c r="B83" s="23" t="s">
        <v>76</v>
      </c>
      <c r="C83" s="12">
        <v>319</v>
      </c>
      <c r="D83" s="18"/>
      <c r="E83" s="33"/>
      <c r="F83" s="33"/>
    </row>
    <row r="84" spans="2:6" x14ac:dyDescent="0.25">
      <c r="B84" s="23" t="s">
        <v>76</v>
      </c>
      <c r="C84" s="12">
        <v>320</v>
      </c>
      <c r="D84" s="18"/>
      <c r="E84" s="33"/>
      <c r="F84" s="33"/>
    </row>
    <row r="85" spans="2:6" x14ac:dyDescent="0.25">
      <c r="B85" s="23" t="s">
        <v>76</v>
      </c>
      <c r="C85" s="12">
        <v>321</v>
      </c>
      <c r="D85" s="18"/>
      <c r="E85" s="33"/>
      <c r="F85" s="33"/>
    </row>
    <row r="86" spans="2:6" x14ac:dyDescent="0.25">
      <c r="B86" s="23" t="s">
        <v>76</v>
      </c>
      <c r="C86" s="12">
        <v>322</v>
      </c>
      <c r="D86" s="18"/>
      <c r="E86" s="33"/>
      <c r="F86" s="33"/>
    </row>
    <row r="87" spans="2:6" x14ac:dyDescent="0.25">
      <c r="B87" s="23" t="s">
        <v>76</v>
      </c>
      <c r="C87" s="12">
        <v>323</v>
      </c>
      <c r="D87" s="18"/>
      <c r="E87" s="33"/>
      <c r="F87" s="33"/>
    </row>
    <row r="88" spans="2:6" x14ac:dyDescent="0.25">
      <c r="B88" s="23" t="s">
        <v>76</v>
      </c>
      <c r="C88" s="12">
        <v>324</v>
      </c>
      <c r="D88" s="18"/>
      <c r="E88" s="33"/>
      <c r="F88" s="33"/>
    </row>
    <row r="89" spans="2:6" x14ac:dyDescent="0.25">
      <c r="B89" s="23" t="s">
        <v>76</v>
      </c>
      <c r="C89" s="12">
        <v>325</v>
      </c>
      <c r="D89" s="19"/>
      <c r="E89" s="36"/>
      <c r="F89" s="36"/>
    </row>
    <row r="90" spans="2:6" x14ac:dyDescent="0.25">
      <c r="B90" s="24"/>
      <c r="C90" s="21"/>
      <c r="D90" s="17"/>
      <c r="E90" s="35"/>
      <c r="F90" s="35"/>
    </row>
    <row r="91" spans="2:6" ht="13" x14ac:dyDescent="0.3">
      <c r="B91" s="32" t="s">
        <v>79</v>
      </c>
      <c r="D91" s="18"/>
      <c r="E91" s="33"/>
      <c r="F91" s="33"/>
    </row>
    <row r="92" spans="2:6" x14ac:dyDescent="0.25">
      <c r="B92" s="23" t="s">
        <v>76</v>
      </c>
      <c r="C92" s="12">
        <v>401</v>
      </c>
      <c r="D92" s="18"/>
      <c r="E92" s="33"/>
      <c r="F92" s="33"/>
    </row>
    <row r="93" spans="2:6" x14ac:dyDescent="0.25">
      <c r="B93" s="23" t="s">
        <v>76</v>
      </c>
      <c r="C93" s="12">
        <v>402</v>
      </c>
      <c r="D93" s="18"/>
      <c r="E93" s="33"/>
      <c r="F93" s="33"/>
    </row>
    <row r="94" spans="2:6" x14ac:dyDescent="0.25">
      <c r="B94" s="23" t="s">
        <v>76</v>
      </c>
      <c r="C94" s="12">
        <v>403</v>
      </c>
      <c r="D94" s="18"/>
      <c r="E94" s="33"/>
      <c r="F94" s="33"/>
    </row>
    <row r="95" spans="2:6" x14ac:dyDescent="0.25">
      <c r="B95" s="23" t="s">
        <v>76</v>
      </c>
      <c r="C95" s="12">
        <v>404</v>
      </c>
      <c r="D95" s="18"/>
      <c r="E95" s="33"/>
      <c r="F95" s="33"/>
    </row>
    <row r="96" spans="2:6" x14ac:dyDescent="0.25">
      <c r="B96" s="23" t="s">
        <v>76</v>
      </c>
      <c r="C96" s="12">
        <v>405</v>
      </c>
      <c r="D96" s="18"/>
      <c r="E96" s="33"/>
      <c r="F96" s="33"/>
    </row>
    <row r="97" spans="2:6" x14ac:dyDescent="0.25">
      <c r="B97" s="23" t="s">
        <v>76</v>
      </c>
      <c r="C97" s="12">
        <v>406</v>
      </c>
      <c r="D97" s="18"/>
      <c r="E97" s="33"/>
      <c r="F97" s="33"/>
    </row>
    <row r="98" spans="2:6" x14ac:dyDescent="0.25">
      <c r="B98" s="23" t="s">
        <v>76</v>
      </c>
      <c r="C98" s="12">
        <v>407</v>
      </c>
      <c r="D98" s="18"/>
      <c r="E98" s="33"/>
      <c r="F98" s="33"/>
    </row>
    <row r="99" spans="2:6" x14ac:dyDescent="0.25">
      <c r="B99" s="23" t="s">
        <v>76</v>
      </c>
      <c r="C99" s="12">
        <v>408</v>
      </c>
      <c r="D99" s="18"/>
      <c r="E99" s="33"/>
      <c r="F99" s="33"/>
    </row>
    <row r="100" spans="2:6" x14ac:dyDescent="0.25">
      <c r="B100" s="23" t="s">
        <v>76</v>
      </c>
      <c r="C100" s="12">
        <v>409</v>
      </c>
      <c r="D100" s="18"/>
      <c r="E100" s="33"/>
      <c r="F100" s="33"/>
    </row>
    <row r="101" spans="2:6" x14ac:dyDescent="0.25">
      <c r="B101" s="23" t="s">
        <v>76</v>
      </c>
      <c r="C101" s="12">
        <v>410</v>
      </c>
      <c r="D101" s="18"/>
      <c r="E101" s="33"/>
      <c r="F101" s="33"/>
    </row>
    <row r="102" spans="2:6" x14ac:dyDescent="0.25">
      <c r="B102" s="23" t="s">
        <v>76</v>
      </c>
      <c r="C102" s="12">
        <v>411</v>
      </c>
      <c r="D102" s="18"/>
      <c r="E102" s="33"/>
      <c r="F102" s="33"/>
    </row>
    <row r="103" spans="2:6" x14ac:dyDescent="0.25">
      <c r="B103" s="23" t="s">
        <v>76</v>
      </c>
      <c r="C103" s="12">
        <v>412</v>
      </c>
      <c r="D103" s="18"/>
      <c r="E103" s="33"/>
      <c r="F103" s="33"/>
    </row>
    <row r="104" spans="2:6" x14ac:dyDescent="0.25">
      <c r="B104" s="23" t="s">
        <v>76</v>
      </c>
      <c r="C104" s="12">
        <v>413</v>
      </c>
      <c r="D104" s="18"/>
      <c r="E104" s="33"/>
      <c r="F104" s="33"/>
    </row>
    <row r="105" spans="2:6" x14ac:dyDescent="0.25">
      <c r="B105" s="23" t="s">
        <v>76</v>
      </c>
      <c r="C105" s="12">
        <v>414</v>
      </c>
      <c r="D105" s="18"/>
      <c r="E105" s="33"/>
      <c r="F105" s="33"/>
    </row>
    <row r="106" spans="2:6" x14ac:dyDescent="0.25">
      <c r="B106" s="23" t="s">
        <v>76</v>
      </c>
      <c r="C106" s="12">
        <v>415</v>
      </c>
      <c r="D106" s="18"/>
      <c r="E106" s="33"/>
      <c r="F106" s="33"/>
    </row>
    <row r="107" spans="2:6" x14ac:dyDescent="0.25">
      <c r="B107" s="23" t="s">
        <v>76</v>
      </c>
      <c r="C107" s="12">
        <v>416</v>
      </c>
      <c r="D107" s="18"/>
      <c r="E107" s="33"/>
      <c r="F107" s="33"/>
    </row>
    <row r="108" spans="2:6" x14ac:dyDescent="0.25">
      <c r="B108" s="23" t="s">
        <v>76</v>
      </c>
      <c r="C108" s="12">
        <v>417</v>
      </c>
      <c r="D108" s="18"/>
      <c r="E108" s="33"/>
      <c r="F108" s="33"/>
    </row>
    <row r="109" spans="2:6" x14ac:dyDescent="0.25">
      <c r="B109" s="23" t="s">
        <v>76</v>
      </c>
      <c r="C109" s="12">
        <v>418</v>
      </c>
      <c r="D109" s="18"/>
      <c r="E109" s="33"/>
      <c r="F109" s="33"/>
    </row>
    <row r="110" spans="2:6" x14ac:dyDescent="0.25">
      <c r="B110" s="23" t="s">
        <v>76</v>
      </c>
      <c r="C110" s="12">
        <v>419</v>
      </c>
      <c r="D110" s="18"/>
      <c r="E110" s="33"/>
      <c r="F110" s="33"/>
    </row>
    <row r="111" spans="2:6" x14ac:dyDescent="0.25">
      <c r="B111" s="23" t="s">
        <v>76</v>
      </c>
      <c r="C111" s="12">
        <v>420</v>
      </c>
      <c r="D111" s="18"/>
      <c r="E111" s="33"/>
      <c r="F111" s="33"/>
    </row>
    <row r="112" spans="2:6" x14ac:dyDescent="0.25">
      <c r="B112" s="23" t="s">
        <v>76</v>
      </c>
      <c r="C112" s="12">
        <v>421</v>
      </c>
      <c r="D112" s="18"/>
      <c r="E112" s="33"/>
      <c r="F112" s="33"/>
    </row>
    <row r="113" spans="2:6" x14ac:dyDescent="0.25">
      <c r="B113" s="23" t="s">
        <v>76</v>
      </c>
      <c r="C113" s="12">
        <v>422</v>
      </c>
      <c r="D113" s="18"/>
      <c r="E113" s="33"/>
      <c r="F113" s="33"/>
    </row>
    <row r="114" spans="2:6" x14ac:dyDescent="0.25">
      <c r="B114" s="23" t="s">
        <v>76</v>
      </c>
      <c r="C114" s="12">
        <v>423</v>
      </c>
      <c r="D114" s="18"/>
      <c r="E114" s="33"/>
      <c r="F114" s="33"/>
    </row>
    <row r="115" spans="2:6" x14ac:dyDescent="0.25">
      <c r="B115" s="23" t="s">
        <v>76</v>
      </c>
      <c r="C115" s="12">
        <v>424</v>
      </c>
      <c r="D115" s="18"/>
      <c r="E115" s="33"/>
      <c r="F115" s="33"/>
    </row>
    <row r="116" spans="2:6" x14ac:dyDescent="0.25">
      <c r="B116" s="23" t="s">
        <v>76</v>
      </c>
      <c r="C116" s="12">
        <v>425</v>
      </c>
      <c r="D116" s="19"/>
      <c r="E116" s="36"/>
      <c r="F116" s="36"/>
    </row>
    <row r="117" spans="2:6" x14ac:dyDescent="0.25">
      <c r="B117" s="24"/>
      <c r="C117" s="21"/>
      <c r="D117" s="17"/>
      <c r="E117" s="35"/>
      <c r="F117" s="35"/>
    </row>
    <row r="118" spans="2:6" ht="13" x14ac:dyDescent="0.3">
      <c r="B118" s="32" t="s">
        <v>80</v>
      </c>
      <c r="D118" s="18"/>
      <c r="E118" s="33"/>
      <c r="F118" s="33"/>
    </row>
    <row r="119" spans="2:6" x14ac:dyDescent="0.25">
      <c r="B119" s="23" t="s">
        <v>76</v>
      </c>
      <c r="C119" s="12">
        <v>501</v>
      </c>
      <c r="D119" s="18"/>
      <c r="E119" s="33"/>
      <c r="F119" s="33"/>
    </row>
    <row r="120" spans="2:6" x14ac:dyDescent="0.25">
      <c r="B120" s="23" t="s">
        <v>76</v>
      </c>
      <c r="C120" s="12">
        <v>502</v>
      </c>
      <c r="D120" s="18"/>
      <c r="E120" s="33"/>
      <c r="F120" s="33"/>
    </row>
    <row r="121" spans="2:6" x14ac:dyDescent="0.25">
      <c r="B121" s="23" t="s">
        <v>76</v>
      </c>
      <c r="C121" s="12">
        <v>503</v>
      </c>
      <c r="D121" s="18"/>
      <c r="E121" s="33"/>
      <c r="F121" s="33"/>
    </row>
    <row r="122" spans="2:6" x14ac:dyDescent="0.25">
      <c r="B122" s="23" t="s">
        <v>76</v>
      </c>
      <c r="C122" s="12">
        <v>504</v>
      </c>
      <c r="D122" s="18"/>
      <c r="E122" s="33"/>
      <c r="F122" s="33"/>
    </row>
    <row r="123" spans="2:6" x14ac:dyDescent="0.25">
      <c r="B123" s="23" t="s">
        <v>76</v>
      </c>
      <c r="C123" s="12">
        <v>505</v>
      </c>
      <c r="D123" s="18"/>
      <c r="E123" s="33"/>
      <c r="F123" s="33"/>
    </row>
    <row r="124" spans="2:6" x14ac:dyDescent="0.25">
      <c r="B124" s="23" t="s">
        <v>76</v>
      </c>
      <c r="C124" s="12">
        <v>506</v>
      </c>
      <c r="D124" s="18"/>
      <c r="E124" s="33"/>
      <c r="F124" s="33"/>
    </row>
    <row r="125" spans="2:6" x14ac:dyDescent="0.25">
      <c r="B125" s="23" t="s">
        <v>76</v>
      </c>
      <c r="C125" s="12">
        <v>507</v>
      </c>
      <c r="D125" s="18"/>
      <c r="E125" s="33"/>
      <c r="F125" s="33"/>
    </row>
    <row r="126" spans="2:6" x14ac:dyDescent="0.25">
      <c r="B126" s="23" t="s">
        <v>76</v>
      </c>
      <c r="C126" s="12">
        <v>508</v>
      </c>
      <c r="D126" s="18"/>
      <c r="E126" s="33"/>
      <c r="F126" s="33"/>
    </row>
    <row r="127" spans="2:6" x14ac:dyDescent="0.25">
      <c r="B127" s="23" t="s">
        <v>76</v>
      </c>
      <c r="C127" s="12">
        <v>509</v>
      </c>
      <c r="D127" s="18"/>
      <c r="E127" s="33"/>
      <c r="F127" s="33"/>
    </row>
    <row r="128" spans="2:6" x14ac:dyDescent="0.25">
      <c r="B128" s="23" t="s">
        <v>76</v>
      </c>
      <c r="C128" s="12">
        <v>510</v>
      </c>
      <c r="D128" s="18"/>
      <c r="E128" s="33"/>
      <c r="F128" s="33"/>
    </row>
    <row r="129" spans="2:6" x14ac:dyDescent="0.25">
      <c r="B129" s="23" t="s">
        <v>76</v>
      </c>
      <c r="C129" s="12">
        <v>511</v>
      </c>
      <c r="D129" s="18"/>
      <c r="E129" s="33"/>
      <c r="F129" s="33"/>
    </row>
    <row r="130" spans="2:6" x14ac:dyDescent="0.25">
      <c r="B130" s="23" t="s">
        <v>76</v>
      </c>
      <c r="C130" s="12">
        <v>512</v>
      </c>
      <c r="D130" s="18"/>
      <c r="E130" s="33"/>
      <c r="F130" s="33"/>
    </row>
    <row r="131" spans="2:6" x14ac:dyDescent="0.25">
      <c r="B131" s="23" t="s">
        <v>76</v>
      </c>
      <c r="C131" s="12">
        <v>513</v>
      </c>
      <c r="D131" s="18"/>
      <c r="E131" s="33"/>
      <c r="F131" s="33"/>
    </row>
    <row r="132" spans="2:6" x14ac:dyDescent="0.25">
      <c r="B132" s="23" t="s">
        <v>76</v>
      </c>
      <c r="C132" s="12">
        <v>514</v>
      </c>
      <c r="D132" s="18"/>
      <c r="E132" s="33"/>
      <c r="F132" s="33"/>
    </row>
    <row r="133" spans="2:6" x14ac:dyDescent="0.25">
      <c r="B133" s="23" t="s">
        <v>76</v>
      </c>
      <c r="C133" s="12">
        <v>515</v>
      </c>
      <c r="D133" s="18"/>
      <c r="E133" s="33"/>
      <c r="F133" s="33"/>
    </row>
    <row r="134" spans="2:6" x14ac:dyDescent="0.25">
      <c r="B134" s="23" t="s">
        <v>76</v>
      </c>
      <c r="C134" s="12">
        <v>516</v>
      </c>
      <c r="D134" s="18"/>
      <c r="E134" s="33"/>
      <c r="F134" s="33"/>
    </row>
    <row r="135" spans="2:6" x14ac:dyDescent="0.25">
      <c r="B135" s="23" t="s">
        <v>76</v>
      </c>
      <c r="C135" s="12">
        <v>517</v>
      </c>
      <c r="D135" s="18"/>
      <c r="E135" s="33"/>
      <c r="F135" s="33"/>
    </row>
    <row r="136" spans="2:6" x14ac:dyDescent="0.25">
      <c r="B136" s="23" t="s">
        <v>76</v>
      </c>
      <c r="C136" s="12">
        <v>518</v>
      </c>
      <c r="D136" s="18"/>
      <c r="E136" s="33"/>
      <c r="F136" s="33"/>
    </row>
    <row r="137" spans="2:6" x14ac:dyDescent="0.25">
      <c r="B137" s="23" t="s">
        <v>76</v>
      </c>
      <c r="C137" s="12">
        <v>519</v>
      </c>
      <c r="D137" s="18"/>
      <c r="E137" s="33"/>
      <c r="F137" s="33"/>
    </row>
    <row r="138" spans="2:6" x14ac:dyDescent="0.25">
      <c r="B138" s="23" t="s">
        <v>76</v>
      </c>
      <c r="C138" s="12">
        <v>520</v>
      </c>
      <c r="D138" s="18"/>
      <c r="E138" s="33"/>
      <c r="F138" s="33"/>
    </row>
    <row r="139" spans="2:6" x14ac:dyDescent="0.25">
      <c r="B139" s="23" t="s">
        <v>76</v>
      </c>
      <c r="C139" s="12">
        <v>521</v>
      </c>
      <c r="D139" s="18"/>
      <c r="E139" s="33"/>
      <c r="F139" s="33"/>
    </row>
    <row r="140" spans="2:6" x14ac:dyDescent="0.25">
      <c r="B140" s="23" t="s">
        <v>76</v>
      </c>
      <c r="C140" s="12">
        <v>522</v>
      </c>
      <c r="D140" s="18"/>
      <c r="E140" s="33"/>
      <c r="F140" s="33"/>
    </row>
    <row r="141" spans="2:6" x14ac:dyDescent="0.25">
      <c r="B141" s="23" t="s">
        <v>76</v>
      </c>
      <c r="C141" s="12">
        <v>523</v>
      </c>
      <c r="D141" s="18"/>
      <c r="E141" s="33"/>
      <c r="F141" s="33"/>
    </row>
    <row r="142" spans="2:6" x14ac:dyDescent="0.25">
      <c r="B142" s="23" t="s">
        <v>76</v>
      </c>
      <c r="C142" s="12">
        <v>524</v>
      </c>
      <c r="D142" s="18"/>
      <c r="E142" s="33"/>
      <c r="F142" s="33"/>
    </row>
    <row r="143" spans="2:6" x14ac:dyDescent="0.25">
      <c r="B143" s="23" t="s">
        <v>76</v>
      </c>
      <c r="C143" s="12">
        <v>525</v>
      </c>
      <c r="D143" s="19"/>
      <c r="E143" s="36"/>
      <c r="F143" s="36"/>
    </row>
    <row r="144" spans="2:6" x14ac:dyDescent="0.25">
      <c r="B144" s="24"/>
      <c r="C144" s="21"/>
      <c r="D144" s="17"/>
      <c r="E144" s="35"/>
      <c r="F144" s="35"/>
    </row>
    <row r="145" spans="2:6" ht="13" x14ac:dyDescent="0.3">
      <c r="B145" s="32" t="s">
        <v>81</v>
      </c>
      <c r="D145" s="18"/>
      <c r="E145" s="33"/>
      <c r="F145" s="33"/>
    </row>
    <row r="146" spans="2:6" x14ac:dyDescent="0.25">
      <c r="B146" s="23" t="s">
        <v>76</v>
      </c>
      <c r="C146" s="12">
        <v>601</v>
      </c>
      <c r="D146" s="18"/>
      <c r="E146" s="33"/>
      <c r="F146" s="33"/>
    </row>
    <row r="147" spans="2:6" x14ac:dyDescent="0.25">
      <c r="B147" s="23" t="s">
        <v>76</v>
      </c>
      <c r="C147" s="12">
        <v>602</v>
      </c>
      <c r="D147" s="18"/>
      <c r="E147" s="33"/>
      <c r="F147" s="33"/>
    </row>
    <row r="148" spans="2:6" x14ac:dyDescent="0.25">
      <c r="B148" s="23" t="s">
        <v>76</v>
      </c>
      <c r="C148" s="12">
        <v>603</v>
      </c>
      <c r="D148" s="18"/>
      <c r="E148" s="33"/>
      <c r="F148" s="33"/>
    </row>
    <row r="149" spans="2:6" x14ac:dyDescent="0.25">
      <c r="B149" s="23" t="s">
        <v>76</v>
      </c>
      <c r="C149" s="12">
        <v>604</v>
      </c>
      <c r="D149" s="18"/>
      <c r="E149" s="33"/>
      <c r="F149" s="33"/>
    </row>
    <row r="150" spans="2:6" x14ac:dyDescent="0.25">
      <c r="B150" s="23" t="s">
        <v>76</v>
      </c>
      <c r="C150" s="12">
        <v>605</v>
      </c>
      <c r="D150" s="18"/>
      <c r="E150" s="33"/>
      <c r="F150" s="33"/>
    </row>
    <row r="151" spans="2:6" x14ac:dyDescent="0.25">
      <c r="B151" s="23" t="s">
        <v>76</v>
      </c>
      <c r="C151" s="12">
        <v>606</v>
      </c>
      <c r="D151" s="18"/>
      <c r="E151" s="33"/>
      <c r="F151" s="33"/>
    </row>
    <row r="152" spans="2:6" x14ac:dyDescent="0.25">
      <c r="B152" s="23" t="s">
        <v>76</v>
      </c>
      <c r="C152" s="12">
        <v>607</v>
      </c>
      <c r="D152" s="18"/>
      <c r="E152" s="33"/>
      <c r="F152" s="33"/>
    </row>
    <row r="153" spans="2:6" x14ac:dyDescent="0.25">
      <c r="B153" s="23" t="s">
        <v>76</v>
      </c>
      <c r="C153" s="12">
        <v>608</v>
      </c>
      <c r="D153" s="18"/>
      <c r="E153" s="33"/>
      <c r="F153" s="33"/>
    </row>
    <row r="154" spans="2:6" x14ac:dyDescent="0.25">
      <c r="B154" s="23" t="s">
        <v>76</v>
      </c>
      <c r="C154" s="12">
        <v>609</v>
      </c>
      <c r="D154" s="18"/>
      <c r="E154" s="33"/>
      <c r="F154" s="33"/>
    </row>
    <row r="155" spans="2:6" x14ac:dyDescent="0.25">
      <c r="B155" s="23" t="s">
        <v>76</v>
      </c>
      <c r="C155" s="12">
        <v>610</v>
      </c>
      <c r="D155" s="18"/>
      <c r="E155" s="33"/>
      <c r="F155" s="33"/>
    </row>
    <row r="156" spans="2:6" x14ac:dyDescent="0.25">
      <c r="B156" s="23" t="s">
        <v>76</v>
      </c>
      <c r="C156" s="12">
        <v>611</v>
      </c>
      <c r="D156" s="18"/>
      <c r="E156" s="33"/>
      <c r="F156" s="33"/>
    </row>
    <row r="157" spans="2:6" x14ac:dyDescent="0.25">
      <c r="B157" s="23" t="s">
        <v>76</v>
      </c>
      <c r="C157" s="12">
        <v>612</v>
      </c>
      <c r="D157" s="18"/>
      <c r="E157" s="33"/>
      <c r="F157" s="33"/>
    </row>
    <row r="158" spans="2:6" x14ac:dyDescent="0.25">
      <c r="B158" s="23" t="s">
        <v>76</v>
      </c>
      <c r="C158" s="12">
        <v>613</v>
      </c>
      <c r="D158" s="18"/>
      <c r="E158" s="33"/>
      <c r="F158" s="33"/>
    </row>
    <row r="159" spans="2:6" x14ac:dyDescent="0.25">
      <c r="B159" s="23" t="s">
        <v>76</v>
      </c>
      <c r="C159" s="12">
        <v>614</v>
      </c>
      <c r="D159" s="18"/>
      <c r="E159" s="33"/>
      <c r="F159" s="33"/>
    </row>
    <row r="160" spans="2:6" x14ac:dyDescent="0.25">
      <c r="B160" s="23" t="s">
        <v>76</v>
      </c>
      <c r="C160" s="12">
        <v>615</v>
      </c>
      <c r="D160" s="18"/>
      <c r="E160" s="33"/>
      <c r="F160" s="33"/>
    </row>
    <row r="161" spans="2:6" x14ac:dyDescent="0.25">
      <c r="B161" s="23" t="s">
        <v>76</v>
      </c>
      <c r="C161" s="12">
        <v>616</v>
      </c>
      <c r="D161" s="18"/>
      <c r="E161" s="33"/>
      <c r="F161" s="33"/>
    </row>
    <row r="162" spans="2:6" x14ac:dyDescent="0.25">
      <c r="B162" s="23" t="s">
        <v>76</v>
      </c>
      <c r="C162" s="12">
        <v>617</v>
      </c>
      <c r="D162" s="18"/>
      <c r="E162" s="33"/>
      <c r="F162" s="33"/>
    </row>
    <row r="163" spans="2:6" x14ac:dyDescent="0.25">
      <c r="B163" s="23" t="s">
        <v>76</v>
      </c>
      <c r="C163" s="12">
        <v>618</v>
      </c>
      <c r="D163" s="18"/>
      <c r="E163" s="33"/>
      <c r="F163" s="33"/>
    </row>
    <row r="164" spans="2:6" x14ac:dyDescent="0.25">
      <c r="B164" s="23" t="s">
        <v>76</v>
      </c>
      <c r="C164" s="12">
        <v>619</v>
      </c>
      <c r="D164" s="18"/>
      <c r="E164" s="33"/>
      <c r="F164" s="33"/>
    </row>
    <row r="165" spans="2:6" x14ac:dyDescent="0.25">
      <c r="B165" s="23" t="s">
        <v>76</v>
      </c>
      <c r="C165" s="12">
        <v>620</v>
      </c>
      <c r="D165" s="18"/>
      <c r="E165" s="33"/>
      <c r="F165" s="33"/>
    </row>
    <row r="166" spans="2:6" x14ac:dyDescent="0.25">
      <c r="B166" s="23" t="s">
        <v>76</v>
      </c>
      <c r="C166" s="12">
        <v>621</v>
      </c>
      <c r="D166" s="18"/>
      <c r="E166" s="33"/>
      <c r="F166" s="33"/>
    </row>
    <row r="167" spans="2:6" x14ac:dyDescent="0.25">
      <c r="B167" s="23" t="s">
        <v>76</v>
      </c>
      <c r="C167" s="12">
        <v>622</v>
      </c>
      <c r="D167" s="18"/>
      <c r="E167" s="33"/>
      <c r="F167" s="33"/>
    </row>
    <row r="168" spans="2:6" x14ac:dyDescent="0.25">
      <c r="B168" s="23" t="s">
        <v>76</v>
      </c>
      <c r="C168" s="12">
        <v>623</v>
      </c>
      <c r="D168" s="18"/>
      <c r="E168" s="33"/>
      <c r="F168" s="33"/>
    </row>
    <row r="169" spans="2:6" x14ac:dyDescent="0.25">
      <c r="B169" s="23" t="s">
        <v>76</v>
      </c>
      <c r="C169" s="12">
        <v>624</v>
      </c>
      <c r="D169" s="18"/>
      <c r="E169" s="33"/>
      <c r="F169" s="33"/>
    </row>
    <row r="170" spans="2:6" x14ac:dyDescent="0.25">
      <c r="B170" s="23" t="s">
        <v>76</v>
      </c>
      <c r="C170" s="12">
        <v>625</v>
      </c>
      <c r="D170" s="19"/>
      <c r="E170" s="36"/>
      <c r="F170" s="36"/>
    </row>
    <row r="171" spans="2:6" x14ac:dyDescent="0.25">
      <c r="B171" s="24"/>
      <c r="C171" s="21"/>
      <c r="D171" s="17"/>
      <c r="E171" s="35"/>
      <c r="F171" s="35"/>
    </row>
    <row r="172" spans="2:6" ht="13" x14ac:dyDescent="0.3">
      <c r="B172" s="32" t="s">
        <v>82</v>
      </c>
      <c r="D172" s="18"/>
      <c r="E172" s="33"/>
      <c r="F172" s="33"/>
    </row>
    <row r="173" spans="2:6" x14ac:dyDescent="0.25">
      <c r="B173" s="23" t="s">
        <v>76</v>
      </c>
      <c r="C173" s="12">
        <v>701</v>
      </c>
      <c r="D173" s="18"/>
      <c r="E173" s="33"/>
      <c r="F173" s="33"/>
    </row>
    <row r="174" spans="2:6" x14ac:dyDescent="0.25">
      <c r="B174" s="23" t="s">
        <v>76</v>
      </c>
      <c r="C174" s="12">
        <v>702</v>
      </c>
      <c r="D174" s="18"/>
      <c r="E174" s="33"/>
      <c r="F174" s="33"/>
    </row>
    <row r="175" spans="2:6" x14ac:dyDescent="0.25">
      <c r="B175" s="23" t="s">
        <v>76</v>
      </c>
      <c r="C175" s="12">
        <v>703</v>
      </c>
      <c r="D175" s="18"/>
      <c r="E175" s="33"/>
      <c r="F175" s="33"/>
    </row>
    <row r="176" spans="2:6" x14ac:dyDescent="0.25">
      <c r="B176" s="23" t="s">
        <v>76</v>
      </c>
      <c r="C176" s="12">
        <v>704</v>
      </c>
      <c r="D176" s="18"/>
      <c r="E176" s="33"/>
      <c r="F176" s="33"/>
    </row>
    <row r="177" spans="2:6" x14ac:dyDescent="0.25">
      <c r="B177" s="23" t="s">
        <v>76</v>
      </c>
      <c r="C177" s="12">
        <v>705</v>
      </c>
      <c r="D177" s="18"/>
      <c r="E177" s="33"/>
      <c r="F177" s="33"/>
    </row>
    <row r="178" spans="2:6" x14ac:dyDescent="0.25">
      <c r="B178" s="23" t="s">
        <v>76</v>
      </c>
      <c r="C178" s="12">
        <v>706</v>
      </c>
      <c r="D178" s="18"/>
      <c r="E178" s="33"/>
      <c r="F178" s="33"/>
    </row>
    <row r="179" spans="2:6" x14ac:dyDescent="0.25">
      <c r="B179" s="23" t="s">
        <v>76</v>
      </c>
      <c r="C179" s="12">
        <v>707</v>
      </c>
      <c r="D179" s="18"/>
      <c r="E179" s="33"/>
      <c r="F179" s="33"/>
    </row>
    <row r="180" spans="2:6" x14ac:dyDescent="0.25">
      <c r="B180" s="23" t="s">
        <v>76</v>
      </c>
      <c r="C180" s="12">
        <v>708</v>
      </c>
      <c r="D180" s="18"/>
      <c r="E180" s="33"/>
      <c r="F180" s="33"/>
    </row>
    <row r="181" spans="2:6" x14ac:dyDescent="0.25">
      <c r="B181" s="23" t="s">
        <v>76</v>
      </c>
      <c r="C181" s="12">
        <v>709</v>
      </c>
      <c r="D181" s="18"/>
      <c r="E181" s="33"/>
      <c r="F181" s="33"/>
    </row>
    <row r="182" spans="2:6" x14ac:dyDescent="0.25">
      <c r="B182" s="23" t="s">
        <v>76</v>
      </c>
      <c r="C182" s="12">
        <v>710</v>
      </c>
      <c r="D182" s="18"/>
      <c r="E182" s="33"/>
      <c r="F182" s="33"/>
    </row>
    <row r="183" spans="2:6" x14ac:dyDescent="0.25">
      <c r="B183" s="23" t="s">
        <v>76</v>
      </c>
      <c r="C183" s="12">
        <v>711</v>
      </c>
      <c r="D183" s="18"/>
      <c r="E183" s="33"/>
      <c r="F183" s="33"/>
    </row>
    <row r="184" spans="2:6" x14ac:dyDescent="0.25">
      <c r="B184" s="23" t="s">
        <v>76</v>
      </c>
      <c r="C184" s="12">
        <v>712</v>
      </c>
      <c r="D184" s="18"/>
      <c r="E184" s="33"/>
      <c r="F184" s="33"/>
    </row>
    <row r="185" spans="2:6" x14ac:dyDescent="0.25">
      <c r="B185" s="23" t="s">
        <v>76</v>
      </c>
      <c r="C185" s="12">
        <v>713</v>
      </c>
      <c r="D185" s="18"/>
      <c r="E185" s="33"/>
      <c r="F185" s="33"/>
    </row>
    <row r="186" spans="2:6" x14ac:dyDescent="0.25">
      <c r="B186" s="23" t="s">
        <v>76</v>
      </c>
      <c r="C186" s="12">
        <v>714</v>
      </c>
      <c r="D186" s="18"/>
      <c r="E186" s="33"/>
      <c r="F186" s="33"/>
    </row>
    <row r="187" spans="2:6" x14ac:dyDescent="0.25">
      <c r="B187" s="23" t="s">
        <v>76</v>
      </c>
      <c r="C187" s="12">
        <v>715</v>
      </c>
      <c r="D187" s="18"/>
      <c r="E187" s="33"/>
      <c r="F187" s="33"/>
    </row>
    <row r="188" spans="2:6" x14ac:dyDescent="0.25">
      <c r="B188" s="23" t="s">
        <v>76</v>
      </c>
      <c r="C188" s="12">
        <v>716</v>
      </c>
      <c r="D188" s="18"/>
      <c r="E188" s="33"/>
      <c r="F188" s="33"/>
    </row>
    <row r="189" spans="2:6" x14ac:dyDescent="0.25">
      <c r="B189" s="23" t="s">
        <v>76</v>
      </c>
      <c r="C189" s="12">
        <v>717</v>
      </c>
      <c r="D189" s="18"/>
      <c r="E189" s="33"/>
      <c r="F189" s="33"/>
    </row>
    <row r="190" spans="2:6" x14ac:dyDescent="0.25">
      <c r="B190" s="23" t="s">
        <v>76</v>
      </c>
      <c r="C190" s="12">
        <v>718</v>
      </c>
      <c r="D190" s="18"/>
      <c r="E190" s="33"/>
      <c r="F190" s="33"/>
    </row>
    <row r="191" spans="2:6" x14ac:dyDescent="0.25">
      <c r="B191" s="23" t="s">
        <v>76</v>
      </c>
      <c r="C191" s="12">
        <v>719</v>
      </c>
      <c r="D191" s="18"/>
      <c r="E191" s="33"/>
      <c r="F191" s="33"/>
    </row>
    <row r="192" spans="2:6" x14ac:dyDescent="0.25">
      <c r="B192" s="23" t="s">
        <v>76</v>
      </c>
      <c r="C192" s="12">
        <v>720</v>
      </c>
      <c r="D192" s="18"/>
      <c r="E192" s="33"/>
      <c r="F192" s="33"/>
    </row>
    <row r="193" spans="2:6" x14ac:dyDescent="0.25">
      <c r="B193" s="23" t="s">
        <v>76</v>
      </c>
      <c r="C193" s="12">
        <v>721</v>
      </c>
      <c r="D193" s="18"/>
      <c r="E193" s="33"/>
      <c r="F193" s="33"/>
    </row>
    <row r="194" spans="2:6" x14ac:dyDescent="0.25">
      <c r="B194" s="23" t="s">
        <v>76</v>
      </c>
      <c r="C194" s="12">
        <v>722</v>
      </c>
      <c r="D194" s="18"/>
      <c r="E194" s="33"/>
      <c r="F194" s="33"/>
    </row>
    <row r="195" spans="2:6" x14ac:dyDescent="0.25">
      <c r="B195" s="23" t="s">
        <v>76</v>
      </c>
      <c r="C195" s="12">
        <v>723</v>
      </c>
      <c r="D195" s="18"/>
      <c r="E195" s="33"/>
      <c r="F195" s="33"/>
    </row>
    <row r="196" spans="2:6" x14ac:dyDescent="0.25">
      <c r="B196" s="23" t="s">
        <v>76</v>
      </c>
      <c r="C196" s="12">
        <v>724</v>
      </c>
      <c r="D196" s="18"/>
      <c r="E196" s="33"/>
      <c r="F196" s="33"/>
    </row>
    <row r="197" spans="2:6" x14ac:dyDescent="0.25">
      <c r="B197" s="23" t="s">
        <v>76</v>
      </c>
      <c r="C197" s="12">
        <v>725</v>
      </c>
      <c r="D197" s="18"/>
      <c r="E197" s="33"/>
      <c r="F197" s="33"/>
    </row>
    <row r="198" spans="2:6" x14ac:dyDescent="0.25">
      <c r="B198" s="24"/>
      <c r="C198" s="21"/>
      <c r="D198" s="17"/>
      <c r="E198" s="35"/>
      <c r="F198" s="35"/>
    </row>
    <row r="199" spans="2:6" ht="13" x14ac:dyDescent="0.3">
      <c r="B199" s="32" t="s">
        <v>83</v>
      </c>
      <c r="D199" s="18"/>
      <c r="E199" s="33"/>
      <c r="F199" s="33"/>
    </row>
    <row r="200" spans="2:6" x14ac:dyDescent="0.25">
      <c r="B200" s="23" t="s">
        <v>76</v>
      </c>
      <c r="C200" s="12">
        <v>801</v>
      </c>
      <c r="D200" s="18"/>
      <c r="E200" s="33"/>
      <c r="F200" s="33"/>
    </row>
    <row r="201" spans="2:6" x14ac:dyDescent="0.25">
      <c r="B201" s="23" t="s">
        <v>76</v>
      </c>
      <c r="C201" s="12">
        <v>802</v>
      </c>
      <c r="D201" s="18"/>
      <c r="E201" s="33"/>
      <c r="F201" s="33"/>
    </row>
    <row r="202" spans="2:6" x14ac:dyDescent="0.25">
      <c r="B202" s="23" t="s">
        <v>76</v>
      </c>
      <c r="C202" s="12">
        <v>803</v>
      </c>
      <c r="D202" s="18"/>
      <c r="E202" s="33"/>
      <c r="F202" s="33"/>
    </row>
    <row r="203" spans="2:6" x14ac:dyDescent="0.25">
      <c r="B203" s="23" t="s">
        <v>76</v>
      </c>
      <c r="C203" s="12">
        <v>804</v>
      </c>
      <c r="D203" s="18"/>
      <c r="E203" s="33"/>
      <c r="F203" s="33"/>
    </row>
    <row r="204" spans="2:6" x14ac:dyDescent="0.25">
      <c r="B204" s="23" t="s">
        <v>76</v>
      </c>
      <c r="C204" s="12">
        <v>805</v>
      </c>
      <c r="D204" s="18"/>
      <c r="E204" s="33"/>
      <c r="F204" s="33"/>
    </row>
    <row r="205" spans="2:6" x14ac:dyDescent="0.25">
      <c r="B205" s="23" t="s">
        <v>76</v>
      </c>
      <c r="C205" s="12">
        <v>806</v>
      </c>
      <c r="D205" s="18"/>
      <c r="E205" s="33"/>
      <c r="F205" s="33"/>
    </row>
    <row r="206" spans="2:6" x14ac:dyDescent="0.25">
      <c r="B206" s="23" t="s">
        <v>76</v>
      </c>
      <c r="C206" s="12">
        <v>807</v>
      </c>
      <c r="D206" s="18"/>
      <c r="E206" s="33"/>
      <c r="F206" s="33"/>
    </row>
    <row r="207" spans="2:6" x14ac:dyDescent="0.25">
      <c r="B207" s="23" t="s">
        <v>76</v>
      </c>
      <c r="C207" s="12">
        <v>808</v>
      </c>
      <c r="D207" s="18"/>
      <c r="E207" s="33"/>
      <c r="F207" s="33"/>
    </row>
    <row r="208" spans="2:6" x14ac:dyDescent="0.25">
      <c r="B208" s="23" t="s">
        <v>76</v>
      </c>
      <c r="C208" s="12">
        <v>809</v>
      </c>
      <c r="D208" s="18"/>
      <c r="E208" s="33"/>
      <c r="F208" s="33"/>
    </row>
    <row r="209" spans="2:6" x14ac:dyDescent="0.25">
      <c r="B209" s="23" t="s">
        <v>76</v>
      </c>
      <c r="C209" s="12">
        <v>810</v>
      </c>
      <c r="D209" s="18"/>
      <c r="E209" s="33"/>
      <c r="F209" s="33"/>
    </row>
    <row r="210" spans="2:6" x14ac:dyDescent="0.25">
      <c r="B210" s="23" t="s">
        <v>76</v>
      </c>
      <c r="C210" s="12">
        <v>811</v>
      </c>
      <c r="D210" s="18"/>
      <c r="E210" s="33"/>
      <c r="F210" s="33"/>
    </row>
    <row r="211" spans="2:6" x14ac:dyDescent="0.25">
      <c r="B211" s="23" t="s">
        <v>76</v>
      </c>
      <c r="C211" s="12">
        <v>812</v>
      </c>
      <c r="D211" s="18"/>
      <c r="E211" s="33"/>
      <c r="F211" s="33"/>
    </row>
    <row r="212" spans="2:6" x14ac:dyDescent="0.25">
      <c r="B212" s="23" t="s">
        <v>76</v>
      </c>
      <c r="C212" s="12">
        <v>813</v>
      </c>
      <c r="D212" s="18"/>
      <c r="E212" s="33"/>
      <c r="F212" s="33"/>
    </row>
    <row r="213" spans="2:6" x14ac:dyDescent="0.25">
      <c r="B213" s="23" t="s">
        <v>76</v>
      </c>
      <c r="C213" s="12">
        <v>814</v>
      </c>
      <c r="D213" s="18"/>
      <c r="E213" s="33"/>
      <c r="F213" s="33"/>
    </row>
    <row r="214" spans="2:6" x14ac:dyDescent="0.25">
      <c r="B214" s="23" t="s">
        <v>76</v>
      </c>
      <c r="C214" s="12">
        <v>815</v>
      </c>
      <c r="D214" s="18"/>
      <c r="E214" s="33"/>
      <c r="F214" s="33"/>
    </row>
    <row r="215" spans="2:6" x14ac:dyDescent="0.25">
      <c r="B215" s="23" t="s">
        <v>76</v>
      </c>
      <c r="C215" s="12">
        <v>816</v>
      </c>
      <c r="D215" s="18"/>
      <c r="E215" s="33"/>
      <c r="F215" s="33"/>
    </row>
    <row r="216" spans="2:6" x14ac:dyDescent="0.25">
      <c r="B216" s="23" t="s">
        <v>76</v>
      </c>
      <c r="C216" s="12">
        <v>817</v>
      </c>
      <c r="D216" s="18"/>
      <c r="E216" s="33"/>
      <c r="F216" s="33"/>
    </row>
    <row r="217" spans="2:6" x14ac:dyDescent="0.25">
      <c r="B217" s="23" t="s">
        <v>76</v>
      </c>
      <c r="C217" s="12">
        <v>818</v>
      </c>
      <c r="D217" s="18"/>
      <c r="E217" s="33"/>
      <c r="F217" s="33"/>
    </row>
    <row r="218" spans="2:6" x14ac:dyDescent="0.25">
      <c r="B218" s="23" t="s">
        <v>76</v>
      </c>
      <c r="C218" s="12">
        <v>819</v>
      </c>
      <c r="D218" s="18"/>
      <c r="E218" s="33"/>
      <c r="F218" s="33"/>
    </row>
    <row r="219" spans="2:6" x14ac:dyDescent="0.25">
      <c r="B219" s="23" t="s">
        <v>76</v>
      </c>
      <c r="C219" s="12">
        <v>820</v>
      </c>
      <c r="D219" s="18"/>
      <c r="E219" s="33"/>
      <c r="F219" s="33"/>
    </row>
    <row r="220" spans="2:6" x14ac:dyDescent="0.25">
      <c r="B220" s="23" t="s">
        <v>76</v>
      </c>
      <c r="C220" s="12">
        <v>821</v>
      </c>
      <c r="D220" s="18"/>
      <c r="E220" s="33"/>
      <c r="F220" s="33"/>
    </row>
    <row r="221" spans="2:6" x14ac:dyDescent="0.25">
      <c r="B221" s="23" t="s">
        <v>76</v>
      </c>
      <c r="C221" s="12">
        <v>822</v>
      </c>
      <c r="D221" s="18"/>
      <c r="E221" s="33"/>
      <c r="F221" s="33"/>
    </row>
    <row r="222" spans="2:6" x14ac:dyDescent="0.25">
      <c r="B222" s="23" t="s">
        <v>76</v>
      </c>
      <c r="C222" s="12">
        <v>823</v>
      </c>
      <c r="D222" s="18"/>
      <c r="E222" s="33"/>
      <c r="F222" s="33"/>
    </row>
    <row r="223" spans="2:6" x14ac:dyDescent="0.25">
      <c r="B223" s="23" t="s">
        <v>76</v>
      </c>
      <c r="C223" s="12">
        <v>824</v>
      </c>
      <c r="D223" s="18"/>
      <c r="E223" s="33"/>
      <c r="F223" s="33"/>
    </row>
    <row r="224" spans="2:6" x14ac:dyDescent="0.25">
      <c r="B224" s="23" t="s">
        <v>76</v>
      </c>
      <c r="C224" s="12">
        <v>825</v>
      </c>
      <c r="D224" s="19"/>
      <c r="E224" s="36"/>
      <c r="F224" s="36"/>
    </row>
  </sheetData>
  <sheetProtection algorithmName="SHA-512" hashValue="uXjkAvnbYq/eFGgjD/jfJa6fQjaUdwPDdKxy7gGMs8aapvTi+yw56IxTVD5zmaH8jferRR04rSjFet3x52fF0Q==" saltValue="ZtzzQHsRm0K/qAZFjmj1gA==" spinCount="100000" sheet="1" objects="1" scenarios="1"/>
  <pageMargins left="0.7" right="0.7" top="0.75" bottom="0.75" header="0.3" footer="0.3"/>
  <pageSetup paperSize="9" scale="53"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9"/>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x-405</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427</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405</v>
      </c>
      <c r="C14" s="161"/>
      <c r="D14" s="161"/>
      <c r="E14" s="161"/>
      <c r="F14" s="161"/>
      <c r="G14" s="161"/>
      <c r="H14" s="161"/>
      <c r="I14" s="161"/>
      <c r="J14" s="161"/>
      <c r="K14" s="161"/>
      <c r="L14" s="161"/>
      <c r="M14" s="161"/>
    </row>
    <row r="15" spans="1:13" x14ac:dyDescent="0.25">
      <c r="A15" s="77" t="s">
        <v>291</v>
      </c>
      <c r="B15" s="161" t="s">
        <v>428</v>
      </c>
      <c r="C15" s="161"/>
      <c r="D15" s="161"/>
      <c r="E15" s="161"/>
      <c r="F15" s="161"/>
      <c r="G15" s="161"/>
      <c r="H15" s="161"/>
      <c r="I15" s="161"/>
      <c r="J15" s="161"/>
      <c r="K15" s="161"/>
      <c r="L15" s="161"/>
      <c r="M15" s="161"/>
    </row>
    <row r="16" spans="1:13" x14ac:dyDescent="0.25">
      <c r="A16" s="77" t="s">
        <v>293</v>
      </c>
      <c r="B16" s="161" t="s">
        <v>429</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50</v>
      </c>
      <c r="B27" s="81">
        <v>0.72599999999999998</v>
      </c>
      <c r="C27" s="81">
        <v>0.72799999999999998</v>
      </c>
      <c r="D27" s="81">
        <v>0.73</v>
      </c>
      <c r="E27" s="81">
        <v>0.73199999999999998</v>
      </c>
      <c r="F27" s="81">
        <v>0.73399999999999999</v>
      </c>
      <c r="G27" s="81">
        <v>0.73599999999999999</v>
      </c>
      <c r="H27" s="81">
        <v>0.73799999999999999</v>
      </c>
      <c r="I27" s="81">
        <v>0.74</v>
      </c>
      <c r="J27" s="81">
        <v>0.74199999999999999</v>
      </c>
      <c r="K27" s="81">
        <v>0.74399999999999999</v>
      </c>
      <c r="L27" s="81">
        <v>0.746</v>
      </c>
      <c r="M27" s="81">
        <v>0.748</v>
      </c>
    </row>
    <row r="28" spans="1:13" x14ac:dyDescent="0.25">
      <c r="A28" s="80">
        <v>51</v>
      </c>
      <c r="B28" s="81">
        <v>0.75</v>
      </c>
      <c r="C28" s="81">
        <v>0.752</v>
      </c>
      <c r="D28" s="81">
        <v>0.754</v>
      </c>
      <c r="E28" s="81">
        <v>0.75600000000000001</v>
      </c>
      <c r="F28" s="81">
        <v>0.75800000000000001</v>
      </c>
      <c r="G28" s="81">
        <v>0.76</v>
      </c>
      <c r="H28" s="81">
        <v>0.76200000000000001</v>
      </c>
      <c r="I28" s="81">
        <v>0.76500000000000001</v>
      </c>
      <c r="J28" s="81">
        <v>0.76700000000000002</v>
      </c>
      <c r="K28" s="81">
        <v>0.76900000000000002</v>
      </c>
      <c r="L28" s="81">
        <v>0.77100000000000002</v>
      </c>
      <c r="M28" s="81">
        <v>0.77300000000000002</v>
      </c>
    </row>
    <row r="29" spans="1:13" x14ac:dyDescent="0.25">
      <c r="A29" s="80">
        <v>52</v>
      </c>
      <c r="B29" s="81">
        <v>0.77500000000000002</v>
      </c>
      <c r="C29" s="81">
        <v>0.77700000000000002</v>
      </c>
      <c r="D29" s="81">
        <v>0.78</v>
      </c>
      <c r="E29" s="81">
        <v>0.78200000000000003</v>
      </c>
      <c r="F29" s="81">
        <v>0.78400000000000003</v>
      </c>
      <c r="G29" s="81">
        <v>0.78600000000000003</v>
      </c>
      <c r="H29" s="81">
        <v>0.78900000000000003</v>
      </c>
      <c r="I29" s="81">
        <v>0.79100000000000004</v>
      </c>
      <c r="J29" s="81">
        <v>0.79300000000000004</v>
      </c>
      <c r="K29" s="81">
        <v>0.79600000000000004</v>
      </c>
      <c r="L29" s="81">
        <v>0.79800000000000004</v>
      </c>
      <c r="M29" s="81">
        <v>0.8</v>
      </c>
    </row>
    <row r="30" spans="1:13" x14ac:dyDescent="0.25">
      <c r="A30" s="80">
        <v>53</v>
      </c>
      <c r="B30" s="81">
        <v>0.80200000000000005</v>
      </c>
      <c r="C30" s="81">
        <v>0.80500000000000005</v>
      </c>
      <c r="D30" s="81">
        <v>0.80700000000000005</v>
      </c>
      <c r="E30" s="81">
        <v>0.81</v>
      </c>
      <c r="F30" s="81">
        <v>0.81200000000000006</v>
      </c>
      <c r="G30" s="81">
        <v>0.81499999999999995</v>
      </c>
      <c r="H30" s="81">
        <v>0.81699999999999995</v>
      </c>
      <c r="I30" s="81">
        <v>0.82</v>
      </c>
      <c r="J30" s="81">
        <v>0.82199999999999995</v>
      </c>
      <c r="K30" s="81">
        <v>0.82499999999999996</v>
      </c>
      <c r="L30" s="81">
        <v>0.82699999999999996</v>
      </c>
      <c r="M30" s="81">
        <v>0.83</v>
      </c>
    </row>
    <row r="31" spans="1:13" x14ac:dyDescent="0.25">
      <c r="A31" s="80">
        <v>54</v>
      </c>
      <c r="B31" s="81">
        <v>0.83199999999999996</v>
      </c>
      <c r="C31" s="81">
        <v>0.83399999999999996</v>
      </c>
      <c r="D31" s="81">
        <v>0.83599999999999997</v>
      </c>
      <c r="E31" s="81">
        <v>0.83799999999999997</v>
      </c>
      <c r="F31" s="81">
        <v>0.84</v>
      </c>
      <c r="G31" s="81">
        <v>0.84199999999999997</v>
      </c>
      <c r="H31" s="81">
        <v>0.84399999999999997</v>
      </c>
      <c r="I31" s="81">
        <v>0.84499999999999997</v>
      </c>
      <c r="J31" s="81">
        <v>0.84699999999999998</v>
      </c>
      <c r="K31" s="81">
        <v>0.84899999999999998</v>
      </c>
      <c r="L31" s="81">
        <v>0.85099999999999998</v>
      </c>
      <c r="M31" s="81">
        <v>0.85299999999999998</v>
      </c>
    </row>
    <row r="32" spans="1:13" x14ac:dyDescent="0.25">
      <c r="A32" s="80">
        <v>55</v>
      </c>
      <c r="B32" s="81">
        <v>0.85499999999999998</v>
      </c>
      <c r="C32" s="81">
        <v>0.85699999999999998</v>
      </c>
      <c r="D32" s="81">
        <v>0.85899999999999999</v>
      </c>
      <c r="E32" s="81">
        <v>0.86099999999999999</v>
      </c>
      <c r="F32" s="81">
        <v>0.86399999999999999</v>
      </c>
      <c r="G32" s="81">
        <v>0.86599999999999999</v>
      </c>
      <c r="H32" s="81">
        <v>0.86799999999999999</v>
      </c>
      <c r="I32" s="81">
        <v>0.87</v>
      </c>
      <c r="J32" s="81">
        <v>0.872</v>
      </c>
      <c r="K32" s="81">
        <v>0.874</v>
      </c>
      <c r="L32" s="81">
        <v>0.876</v>
      </c>
      <c r="M32" s="81">
        <v>0.878</v>
      </c>
    </row>
    <row r="33" spans="1:13" x14ac:dyDescent="0.25">
      <c r="A33" s="80">
        <v>56</v>
      </c>
      <c r="B33" s="81">
        <v>0.88100000000000001</v>
      </c>
      <c r="C33" s="81">
        <v>0.88300000000000001</v>
      </c>
      <c r="D33" s="81">
        <v>0.88500000000000001</v>
      </c>
      <c r="E33" s="81">
        <v>0.88700000000000001</v>
      </c>
      <c r="F33" s="81">
        <v>0.88900000000000001</v>
      </c>
      <c r="G33" s="81">
        <v>0.89200000000000002</v>
      </c>
      <c r="H33" s="81">
        <v>0.89400000000000002</v>
      </c>
      <c r="I33" s="81">
        <v>0.89600000000000002</v>
      </c>
      <c r="J33" s="81">
        <v>0.89800000000000002</v>
      </c>
      <c r="K33" s="81">
        <v>0.90100000000000002</v>
      </c>
      <c r="L33" s="81">
        <v>0.90300000000000002</v>
      </c>
      <c r="M33" s="81">
        <v>0.90500000000000003</v>
      </c>
    </row>
    <row r="34" spans="1:13" x14ac:dyDescent="0.25">
      <c r="A34" s="80">
        <v>57</v>
      </c>
      <c r="B34" s="81">
        <v>0.90700000000000003</v>
      </c>
      <c r="C34" s="81">
        <v>0.91</v>
      </c>
      <c r="D34" s="81">
        <v>0.91200000000000003</v>
      </c>
      <c r="E34" s="81">
        <v>0.91500000000000004</v>
      </c>
      <c r="F34" s="81">
        <v>0.91700000000000004</v>
      </c>
      <c r="G34" s="81">
        <v>0.91900000000000004</v>
      </c>
      <c r="H34" s="81">
        <v>0.92200000000000004</v>
      </c>
      <c r="I34" s="81">
        <v>0.92400000000000004</v>
      </c>
      <c r="J34" s="81">
        <v>0.92700000000000005</v>
      </c>
      <c r="K34" s="81">
        <v>0.92900000000000005</v>
      </c>
      <c r="L34" s="81">
        <v>0.93100000000000005</v>
      </c>
      <c r="M34" s="81">
        <v>0.93400000000000005</v>
      </c>
    </row>
    <row r="35" spans="1:13" x14ac:dyDescent="0.25">
      <c r="A35" s="80">
        <v>58</v>
      </c>
      <c r="B35" s="81">
        <v>0.93600000000000005</v>
      </c>
      <c r="C35" s="81">
        <v>0.93899999999999995</v>
      </c>
      <c r="D35" s="81">
        <v>0.94099999999999995</v>
      </c>
      <c r="E35" s="81">
        <v>0.94399999999999995</v>
      </c>
      <c r="F35" s="81">
        <v>0.94699999999999995</v>
      </c>
      <c r="G35" s="81">
        <v>0.94899999999999995</v>
      </c>
      <c r="H35" s="81">
        <v>0.95199999999999996</v>
      </c>
      <c r="I35" s="81">
        <v>0.95399999999999996</v>
      </c>
      <c r="J35" s="81">
        <v>0.95699999999999996</v>
      </c>
      <c r="K35" s="81">
        <v>0.95899999999999996</v>
      </c>
      <c r="L35" s="81">
        <v>0.96199999999999997</v>
      </c>
      <c r="M35" s="81">
        <v>0.96499999999999997</v>
      </c>
    </row>
    <row r="36" spans="1:13" x14ac:dyDescent="0.25">
      <c r="A36" s="80">
        <v>59</v>
      </c>
      <c r="B36" s="81">
        <v>0.96699999999999997</v>
      </c>
      <c r="C36" s="81">
        <v>0.97</v>
      </c>
      <c r="D36" s="81">
        <v>0.97299999999999998</v>
      </c>
      <c r="E36" s="81">
        <v>0.97499999999999998</v>
      </c>
      <c r="F36" s="81">
        <v>0.97799999999999998</v>
      </c>
      <c r="G36" s="81">
        <v>0.98099999999999998</v>
      </c>
      <c r="H36" s="81">
        <v>0.98399999999999999</v>
      </c>
      <c r="I36" s="81">
        <v>0.98599999999999999</v>
      </c>
      <c r="J36" s="81">
        <v>0.98899999999999999</v>
      </c>
      <c r="K36" s="81">
        <v>0.99199999999999999</v>
      </c>
      <c r="L36" s="81">
        <v>0.995</v>
      </c>
      <c r="M36" s="81">
        <v>0.997</v>
      </c>
    </row>
    <row r="37" spans="1:13" x14ac:dyDescent="0.25">
      <c r="A37" s="80">
        <v>60</v>
      </c>
      <c r="B37" s="81">
        <v>1</v>
      </c>
      <c r="C37" s="81"/>
      <c r="D37" s="81"/>
      <c r="E37" s="81"/>
      <c r="F37" s="81"/>
      <c r="G37" s="81"/>
      <c r="H37" s="81"/>
      <c r="I37" s="81"/>
      <c r="J37" s="81"/>
      <c r="K37" s="81"/>
      <c r="L37" s="81"/>
      <c r="M37" s="81"/>
    </row>
    <row r="44" spans="1:13" ht="39.65" customHeight="1" x14ac:dyDescent="0.25"/>
    <row r="46" spans="1:13" ht="27.65" customHeight="1" x14ac:dyDescent="0.25"/>
  </sheetData>
  <sheetProtection algorithmName="SHA-512" hashValue="eWxYWY6mDJeQM2sgF/wot8A0Wft8aI4kzqEv50WuTQtCFFQc1UV98m09GfYUKy46q2FGbad9RfsTfeR46hIz7Q==" saltValue="/RbLCSCc2gEtFhNQ/L03nA==" spinCount="100000" sheet="1" objects="1" scenarios="1"/>
  <conditionalFormatting sqref="A6:A21">
    <cfRule type="expression" dxfId="861" priority="15" stopIfTrue="1">
      <formula>MOD(ROW(),2)=0</formula>
    </cfRule>
    <cfRule type="expression" dxfId="860" priority="16" stopIfTrue="1">
      <formula>MOD(ROW(),2)&lt;&gt;0</formula>
    </cfRule>
  </conditionalFormatting>
  <conditionalFormatting sqref="A26:A37">
    <cfRule type="expression" dxfId="859" priority="3" stopIfTrue="1">
      <formula>MOD(ROW(),2)=0</formula>
    </cfRule>
    <cfRule type="expression" dxfId="858" priority="4" stopIfTrue="1">
      <formula>MOD(ROW(),2)&lt;&gt;0</formula>
    </cfRule>
  </conditionalFormatting>
  <conditionalFormatting sqref="B17:B21">
    <cfRule type="expression" dxfId="857" priority="1" stopIfTrue="1">
      <formula>MOD(ROW(),2)=0</formula>
    </cfRule>
    <cfRule type="expression" dxfId="856" priority="2" stopIfTrue="1">
      <formula>MOD(ROW(),2)&lt;&gt;0</formula>
    </cfRule>
  </conditionalFormatting>
  <conditionalFormatting sqref="B6:M21">
    <cfRule type="expression" dxfId="855" priority="23" stopIfTrue="1">
      <formula>MOD(ROW(),2)=0</formula>
    </cfRule>
    <cfRule type="expression" dxfId="854" priority="24" stopIfTrue="1">
      <formula>MOD(ROW(),2)&lt;&gt;0</formula>
    </cfRule>
  </conditionalFormatting>
  <conditionalFormatting sqref="B26:M37">
    <cfRule type="expression" dxfId="853" priority="5" stopIfTrue="1">
      <formula>MOD(ROW(),2)=0</formula>
    </cfRule>
    <cfRule type="expression" dxfId="852" priority="6" stopIfTrue="1">
      <formula>MOD(ROW(),2)&lt;&gt;0</formula>
    </cfRule>
  </conditionalFormatting>
  <hyperlinks>
    <hyperlink ref="B24" location="Assumptions!A1" display="Assumptions" xr:uid="{74F5A108-18E1-486D-ABF8-EEF6E4398D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0"/>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x-406</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430</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406</v>
      </c>
      <c r="C14" s="161"/>
      <c r="D14" s="161"/>
      <c r="E14" s="161"/>
      <c r="F14" s="161"/>
      <c r="G14" s="161"/>
      <c r="H14" s="161"/>
      <c r="I14" s="161"/>
      <c r="J14" s="161"/>
      <c r="K14" s="161"/>
      <c r="L14" s="161"/>
      <c r="M14" s="161"/>
    </row>
    <row r="15" spans="1:13" x14ac:dyDescent="0.25">
      <c r="A15" s="77" t="s">
        <v>291</v>
      </c>
      <c r="B15" s="161" t="s">
        <v>431</v>
      </c>
      <c r="C15" s="161"/>
      <c r="D15" s="161"/>
      <c r="E15" s="161"/>
      <c r="F15" s="161"/>
      <c r="G15" s="161"/>
      <c r="H15" s="161"/>
      <c r="I15" s="161"/>
      <c r="J15" s="161"/>
      <c r="K15" s="161"/>
      <c r="L15" s="161"/>
      <c r="M15" s="161"/>
    </row>
    <row r="16" spans="1:13" x14ac:dyDescent="0.25">
      <c r="A16" s="77" t="s">
        <v>293</v>
      </c>
      <c r="B16" s="161" t="s">
        <v>432</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0.57599999999999996</v>
      </c>
      <c r="C27" s="103">
        <v>0.57799999999999996</v>
      </c>
      <c r="D27" s="103">
        <v>0.57899999999999996</v>
      </c>
      <c r="E27" s="103">
        <v>0.58099999999999996</v>
      </c>
      <c r="F27" s="103">
        <v>0.58199999999999996</v>
      </c>
      <c r="G27" s="103">
        <v>0.58399999999999996</v>
      </c>
      <c r="H27" s="103">
        <v>0.58499999999999996</v>
      </c>
      <c r="I27" s="103">
        <v>0.58699999999999997</v>
      </c>
      <c r="J27" s="103">
        <v>0.58799999999999997</v>
      </c>
      <c r="K27" s="103">
        <v>0.59</v>
      </c>
      <c r="L27" s="103">
        <v>0.59099999999999997</v>
      </c>
      <c r="M27" s="103">
        <v>0.59299999999999997</v>
      </c>
    </row>
    <row r="28" spans="1:13" x14ac:dyDescent="0.25">
      <c r="A28" s="98">
        <v>51</v>
      </c>
      <c r="B28" s="103">
        <v>0.59399999999999997</v>
      </c>
      <c r="C28" s="103">
        <v>0.59599999999999997</v>
      </c>
      <c r="D28" s="103">
        <v>0.59799999999999998</v>
      </c>
      <c r="E28" s="103">
        <v>0.59899999999999998</v>
      </c>
      <c r="F28" s="103">
        <v>0.60099999999999998</v>
      </c>
      <c r="G28" s="103">
        <v>0.60299999999999998</v>
      </c>
      <c r="H28" s="103">
        <v>0.60399999999999998</v>
      </c>
      <c r="I28" s="103">
        <v>0.60599999999999998</v>
      </c>
      <c r="J28" s="103">
        <v>0.60799999999999998</v>
      </c>
      <c r="K28" s="103">
        <v>0.60899999999999999</v>
      </c>
      <c r="L28" s="103">
        <v>0.61099999999999999</v>
      </c>
      <c r="M28" s="103">
        <v>0.61199999999999999</v>
      </c>
    </row>
    <row r="29" spans="1:13" x14ac:dyDescent="0.25">
      <c r="A29" s="98">
        <v>52</v>
      </c>
      <c r="B29" s="103">
        <v>0.61399999999999999</v>
      </c>
      <c r="C29" s="103">
        <v>0.61599999999999999</v>
      </c>
      <c r="D29" s="103">
        <v>0.61799999999999999</v>
      </c>
      <c r="E29" s="103">
        <v>0.61899999999999999</v>
      </c>
      <c r="F29" s="103">
        <v>0.621</v>
      </c>
      <c r="G29" s="103">
        <v>0.623</v>
      </c>
      <c r="H29" s="103">
        <v>0.625</v>
      </c>
      <c r="I29" s="103">
        <v>0.627</v>
      </c>
      <c r="J29" s="103">
        <v>0.628</v>
      </c>
      <c r="K29" s="103">
        <v>0.63</v>
      </c>
      <c r="L29" s="103">
        <v>0.63200000000000001</v>
      </c>
      <c r="M29" s="103">
        <v>0.63400000000000001</v>
      </c>
    </row>
    <row r="30" spans="1:13" x14ac:dyDescent="0.25">
      <c r="A30" s="98">
        <v>53</v>
      </c>
      <c r="B30" s="103">
        <v>0.63500000000000001</v>
      </c>
      <c r="C30" s="103">
        <v>0.63700000000000001</v>
      </c>
      <c r="D30" s="103">
        <v>0.63900000000000001</v>
      </c>
      <c r="E30" s="103">
        <v>0.64100000000000001</v>
      </c>
      <c r="F30" s="103">
        <v>0.64300000000000002</v>
      </c>
      <c r="G30" s="103">
        <v>0.64500000000000002</v>
      </c>
      <c r="H30" s="103">
        <v>0.64700000000000002</v>
      </c>
      <c r="I30" s="103">
        <v>0.64900000000000002</v>
      </c>
      <c r="J30" s="103">
        <v>0.65100000000000002</v>
      </c>
      <c r="K30" s="103">
        <v>0.65300000000000002</v>
      </c>
      <c r="L30" s="103">
        <v>0.65500000000000003</v>
      </c>
      <c r="M30" s="103">
        <v>0.65600000000000003</v>
      </c>
    </row>
    <row r="31" spans="1:13" x14ac:dyDescent="0.25">
      <c r="A31" s="98">
        <v>54</v>
      </c>
      <c r="B31" s="103">
        <v>0.65800000000000003</v>
      </c>
      <c r="C31" s="103">
        <v>0.66</v>
      </c>
      <c r="D31" s="103">
        <v>0.66300000000000003</v>
      </c>
      <c r="E31" s="103">
        <v>0.66500000000000004</v>
      </c>
      <c r="F31" s="103">
        <v>0.66700000000000004</v>
      </c>
      <c r="G31" s="103">
        <v>0.66900000000000004</v>
      </c>
      <c r="H31" s="103">
        <v>0.67100000000000004</v>
      </c>
      <c r="I31" s="103">
        <v>0.67300000000000004</v>
      </c>
      <c r="J31" s="103">
        <v>0.67500000000000004</v>
      </c>
      <c r="K31" s="103">
        <v>0.67700000000000005</v>
      </c>
      <c r="L31" s="103">
        <v>0.67900000000000005</v>
      </c>
      <c r="M31" s="103">
        <v>0.68100000000000005</v>
      </c>
    </row>
    <row r="32" spans="1:13" x14ac:dyDescent="0.25">
      <c r="A32" s="98">
        <v>55</v>
      </c>
      <c r="B32" s="103">
        <v>0.68300000000000005</v>
      </c>
      <c r="C32" s="103">
        <v>0.68600000000000005</v>
      </c>
      <c r="D32" s="103">
        <v>0.68799999999999994</v>
      </c>
      <c r="E32" s="103">
        <v>0.69</v>
      </c>
      <c r="F32" s="103">
        <v>0.69199999999999995</v>
      </c>
      <c r="G32" s="103">
        <v>0.69499999999999995</v>
      </c>
      <c r="H32" s="103">
        <v>0.69699999999999995</v>
      </c>
      <c r="I32" s="103">
        <v>0.69899999999999995</v>
      </c>
      <c r="J32" s="103">
        <v>0.70099999999999996</v>
      </c>
      <c r="K32" s="103">
        <v>0.70399999999999996</v>
      </c>
      <c r="L32" s="103">
        <v>0.70599999999999996</v>
      </c>
      <c r="M32" s="103">
        <v>0.70799999999999996</v>
      </c>
    </row>
    <row r="33" spans="1:13" x14ac:dyDescent="0.25">
      <c r="A33" s="98">
        <v>56</v>
      </c>
      <c r="B33" s="103">
        <v>0.71099999999999997</v>
      </c>
      <c r="C33" s="103">
        <v>0.71299999999999997</v>
      </c>
      <c r="D33" s="103">
        <v>0.71499999999999997</v>
      </c>
      <c r="E33" s="103">
        <v>0.71799999999999997</v>
      </c>
      <c r="F33" s="103">
        <v>0.72</v>
      </c>
      <c r="G33" s="103">
        <v>0.72299999999999998</v>
      </c>
      <c r="H33" s="103">
        <v>0.72499999999999998</v>
      </c>
      <c r="I33" s="103">
        <v>0.72699999999999998</v>
      </c>
      <c r="J33" s="103">
        <v>0.73</v>
      </c>
      <c r="K33" s="103">
        <v>0.73199999999999998</v>
      </c>
      <c r="L33" s="103">
        <v>0.73499999999999999</v>
      </c>
      <c r="M33" s="103">
        <v>0.73699999999999999</v>
      </c>
    </row>
    <row r="34" spans="1:13" x14ac:dyDescent="0.25">
      <c r="A34" s="98">
        <v>57</v>
      </c>
      <c r="B34" s="103">
        <v>0.74</v>
      </c>
      <c r="C34" s="103">
        <v>0.74199999999999999</v>
      </c>
      <c r="D34" s="103">
        <v>0.745</v>
      </c>
      <c r="E34" s="103">
        <v>0.747</v>
      </c>
      <c r="F34" s="103">
        <v>0.75</v>
      </c>
      <c r="G34" s="103">
        <v>0.752</v>
      </c>
      <c r="H34" s="103">
        <v>0.755</v>
      </c>
      <c r="I34" s="103">
        <v>0.75800000000000001</v>
      </c>
      <c r="J34" s="103">
        <v>0.76</v>
      </c>
      <c r="K34" s="103">
        <v>0.76300000000000001</v>
      </c>
      <c r="L34" s="103">
        <v>0.76500000000000001</v>
      </c>
      <c r="M34" s="103">
        <v>0.76800000000000002</v>
      </c>
    </row>
    <row r="35" spans="1:13" x14ac:dyDescent="0.25">
      <c r="A35" s="98">
        <v>58</v>
      </c>
      <c r="B35" s="103">
        <v>0.77100000000000002</v>
      </c>
      <c r="C35" s="103">
        <v>0.77300000000000002</v>
      </c>
      <c r="D35" s="103">
        <v>0.77600000000000002</v>
      </c>
      <c r="E35" s="103">
        <v>0.77900000000000003</v>
      </c>
      <c r="F35" s="103">
        <v>0.78200000000000003</v>
      </c>
      <c r="G35" s="103">
        <v>0.78400000000000003</v>
      </c>
      <c r="H35" s="103">
        <v>0.78700000000000003</v>
      </c>
      <c r="I35" s="103">
        <v>0.79</v>
      </c>
      <c r="J35" s="103">
        <v>0.79300000000000004</v>
      </c>
      <c r="K35" s="103">
        <v>0.79600000000000004</v>
      </c>
      <c r="L35" s="103">
        <v>0.79800000000000004</v>
      </c>
      <c r="M35" s="103">
        <v>0.80100000000000005</v>
      </c>
    </row>
    <row r="36" spans="1:13" x14ac:dyDescent="0.25">
      <c r="A36" s="98">
        <v>59</v>
      </c>
      <c r="B36" s="103">
        <v>0.80400000000000005</v>
      </c>
      <c r="C36" s="103">
        <v>0.80600000000000005</v>
      </c>
      <c r="D36" s="103">
        <v>0.80800000000000005</v>
      </c>
      <c r="E36" s="103">
        <v>0.81</v>
      </c>
      <c r="F36" s="103">
        <v>0.81299999999999994</v>
      </c>
      <c r="G36" s="103">
        <v>0.81499999999999995</v>
      </c>
      <c r="H36" s="103">
        <v>0.81699999999999995</v>
      </c>
      <c r="I36" s="103">
        <v>0.81899999999999995</v>
      </c>
      <c r="J36" s="103">
        <v>0.82099999999999995</v>
      </c>
      <c r="K36" s="103">
        <v>0.82399999999999995</v>
      </c>
      <c r="L36" s="103">
        <v>0.82599999999999996</v>
      </c>
      <c r="M36" s="103">
        <v>0.82799999999999996</v>
      </c>
    </row>
    <row r="37" spans="1:13" x14ac:dyDescent="0.25">
      <c r="A37" s="98">
        <v>60</v>
      </c>
      <c r="B37" s="103">
        <v>0.83</v>
      </c>
      <c r="C37" s="103">
        <v>0.83299999999999996</v>
      </c>
      <c r="D37" s="103">
        <v>0.83499999999999996</v>
      </c>
      <c r="E37" s="103">
        <v>0.83699999999999997</v>
      </c>
      <c r="F37" s="103">
        <v>0.84</v>
      </c>
      <c r="G37" s="103">
        <v>0.84199999999999997</v>
      </c>
      <c r="H37" s="103">
        <v>0.84499999999999997</v>
      </c>
      <c r="I37" s="103">
        <v>0.84699999999999998</v>
      </c>
      <c r="J37" s="103">
        <v>0.84899999999999998</v>
      </c>
      <c r="K37" s="103">
        <v>0.85199999999999998</v>
      </c>
      <c r="L37" s="103">
        <v>0.85399999999999998</v>
      </c>
      <c r="M37" s="103">
        <v>0.85699999999999998</v>
      </c>
    </row>
    <row r="38" spans="1:13" x14ac:dyDescent="0.25">
      <c r="A38" s="98">
        <v>61</v>
      </c>
      <c r="B38" s="103">
        <v>0.85899999999999999</v>
      </c>
      <c r="C38" s="103">
        <v>0.86199999999999999</v>
      </c>
      <c r="D38" s="103">
        <v>0.86399999999999999</v>
      </c>
      <c r="E38" s="103">
        <v>0.86699999999999999</v>
      </c>
      <c r="F38" s="103">
        <v>0.86899999999999999</v>
      </c>
      <c r="G38" s="103">
        <v>0.872</v>
      </c>
      <c r="H38" s="103">
        <v>0.875</v>
      </c>
      <c r="I38" s="103">
        <v>0.877</v>
      </c>
      <c r="J38" s="103">
        <v>0.88</v>
      </c>
      <c r="K38" s="103">
        <v>0.88200000000000001</v>
      </c>
      <c r="L38" s="103">
        <v>0.88500000000000001</v>
      </c>
      <c r="M38" s="103">
        <v>0.88800000000000001</v>
      </c>
    </row>
    <row r="39" spans="1:13" x14ac:dyDescent="0.25">
      <c r="A39" s="98">
        <v>62</v>
      </c>
      <c r="B39" s="103">
        <v>0.89</v>
      </c>
      <c r="C39" s="103">
        <v>0.89300000000000002</v>
      </c>
      <c r="D39" s="103">
        <v>0.89600000000000002</v>
      </c>
      <c r="E39" s="103">
        <v>0.89900000000000002</v>
      </c>
      <c r="F39" s="103">
        <v>0.90200000000000002</v>
      </c>
      <c r="G39" s="103">
        <v>0.90500000000000003</v>
      </c>
      <c r="H39" s="103">
        <v>0.90800000000000003</v>
      </c>
      <c r="I39" s="103">
        <v>0.91100000000000003</v>
      </c>
      <c r="J39" s="103">
        <v>0.91300000000000003</v>
      </c>
      <c r="K39" s="103">
        <v>0.91600000000000004</v>
      </c>
      <c r="L39" s="103">
        <v>0.91900000000000004</v>
      </c>
      <c r="M39" s="103">
        <v>0.92200000000000004</v>
      </c>
    </row>
    <row r="40" spans="1:13" x14ac:dyDescent="0.25">
      <c r="A40" s="98">
        <v>63</v>
      </c>
      <c r="B40" s="103">
        <v>0.92500000000000004</v>
      </c>
      <c r="C40" s="103">
        <v>0.92800000000000005</v>
      </c>
      <c r="D40" s="103">
        <v>0.93100000000000005</v>
      </c>
      <c r="E40" s="103">
        <v>0.93400000000000005</v>
      </c>
      <c r="F40" s="103">
        <v>0.93799999999999994</v>
      </c>
      <c r="G40" s="103">
        <v>0.94099999999999995</v>
      </c>
      <c r="H40" s="103">
        <v>0.94399999999999995</v>
      </c>
      <c r="I40" s="103">
        <v>0.94699999999999995</v>
      </c>
      <c r="J40" s="103">
        <v>0.95</v>
      </c>
      <c r="K40" s="103">
        <v>0.95399999999999996</v>
      </c>
      <c r="L40" s="103">
        <v>0.95699999999999996</v>
      </c>
      <c r="M40" s="103">
        <v>0.96</v>
      </c>
    </row>
    <row r="41" spans="1:13" x14ac:dyDescent="0.25">
      <c r="A41" s="98">
        <v>64</v>
      </c>
      <c r="B41" s="103">
        <v>0.96299999999999997</v>
      </c>
      <c r="C41" s="103">
        <v>0.96599999999999997</v>
      </c>
      <c r="D41" s="103">
        <v>0.96899999999999997</v>
      </c>
      <c r="E41" s="103">
        <v>0.97199999999999998</v>
      </c>
      <c r="F41" s="103">
        <v>0.97499999999999998</v>
      </c>
      <c r="G41" s="103">
        <v>0.97899999999999998</v>
      </c>
      <c r="H41" s="103">
        <v>0.98199999999999998</v>
      </c>
      <c r="I41" s="103">
        <v>0.98499999999999999</v>
      </c>
      <c r="J41" s="103">
        <v>0.98799999999999999</v>
      </c>
      <c r="K41" s="103">
        <v>0.99099999999999999</v>
      </c>
      <c r="L41" s="103">
        <v>0.99399999999999999</v>
      </c>
      <c r="M41" s="103">
        <v>0.997</v>
      </c>
    </row>
    <row r="42" spans="1:13" x14ac:dyDescent="0.25">
      <c r="A42" s="98">
        <v>65</v>
      </c>
      <c r="B42" s="103">
        <v>1</v>
      </c>
      <c r="C42" s="103"/>
      <c r="D42" s="103"/>
      <c r="E42" s="103"/>
      <c r="F42" s="103"/>
      <c r="G42" s="103"/>
      <c r="H42" s="103"/>
      <c r="I42" s="103"/>
      <c r="J42" s="103"/>
      <c r="K42" s="103"/>
      <c r="L42" s="103"/>
      <c r="M42" s="103"/>
    </row>
    <row r="44" spans="1:13" ht="39.65" customHeight="1" x14ac:dyDescent="0.25"/>
    <row r="46" spans="1:13" ht="27.65" customHeight="1" x14ac:dyDescent="0.25"/>
  </sheetData>
  <sheetProtection algorithmName="SHA-512" hashValue="mNjA6+MmIpheF0FL42Mb0dHgvvpqKYXyI79oIpS48DX/rGerR5IHraWbwjq2xs8CK6bZCw+eCc+DaJDqlSMlwA==" saltValue="1O60Cg6GT7Sxk29hxNR+pg==" spinCount="100000" sheet="1" objects="1" scenarios="1"/>
  <conditionalFormatting sqref="A6:A21">
    <cfRule type="expression" dxfId="851" priority="9" stopIfTrue="1">
      <formula>MOD(ROW(),2)=0</formula>
    </cfRule>
    <cfRule type="expression" dxfId="850" priority="10" stopIfTrue="1">
      <formula>MOD(ROW(),2)&lt;&gt;0</formula>
    </cfRule>
  </conditionalFormatting>
  <conditionalFormatting sqref="A26:A42">
    <cfRule type="expression" dxfId="849" priority="1" stopIfTrue="1">
      <formula>MOD(ROW(),2)=0</formula>
    </cfRule>
    <cfRule type="expression" dxfId="848" priority="2" stopIfTrue="1">
      <formula>MOD(ROW(),2)&lt;&gt;0</formula>
    </cfRule>
  </conditionalFormatting>
  <conditionalFormatting sqref="B17:B21">
    <cfRule type="expression" dxfId="847" priority="5" stopIfTrue="1">
      <formula>MOD(ROW(),2)=0</formula>
    </cfRule>
    <cfRule type="expression" dxfId="846" priority="6" stopIfTrue="1">
      <formula>MOD(ROW(),2)&lt;&gt;0</formula>
    </cfRule>
  </conditionalFormatting>
  <conditionalFormatting sqref="B6:M21">
    <cfRule type="expression" dxfId="845" priority="17" stopIfTrue="1">
      <formula>MOD(ROW(),2)=0</formula>
    </cfRule>
    <cfRule type="expression" dxfId="844" priority="18" stopIfTrue="1">
      <formula>MOD(ROW(),2)&lt;&gt;0</formula>
    </cfRule>
  </conditionalFormatting>
  <conditionalFormatting sqref="B26:M42">
    <cfRule type="expression" dxfId="843" priority="3" stopIfTrue="1">
      <formula>MOD(ROW(),2)=0</formula>
    </cfRule>
    <cfRule type="expression" dxfId="842" priority="4" stopIfTrue="1">
      <formula>MOD(ROW(),2)&lt;&gt;0</formula>
    </cfRule>
  </conditionalFormatting>
  <hyperlinks>
    <hyperlink ref="B24" location="Assumptions!A1" display="Assumptions" xr:uid="{24CB2BF5-9460-480F-86B2-4C3D14BC98A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1"/>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x-407</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433</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407</v>
      </c>
      <c r="C14" s="161"/>
      <c r="D14" s="161"/>
      <c r="E14" s="161"/>
      <c r="F14" s="161"/>
      <c r="G14" s="161"/>
      <c r="H14" s="161"/>
      <c r="I14" s="161"/>
      <c r="J14" s="161"/>
      <c r="K14" s="161"/>
      <c r="L14" s="161"/>
      <c r="M14" s="161"/>
    </row>
    <row r="15" spans="1:13" x14ac:dyDescent="0.25">
      <c r="A15" s="77" t="s">
        <v>291</v>
      </c>
      <c r="B15" s="161" t="s">
        <v>434</v>
      </c>
      <c r="C15" s="161"/>
      <c r="D15" s="161"/>
      <c r="E15" s="161"/>
      <c r="F15" s="161"/>
      <c r="G15" s="161"/>
      <c r="H15" s="161"/>
      <c r="I15" s="161"/>
      <c r="J15" s="161"/>
      <c r="K15" s="161"/>
      <c r="L15" s="161"/>
      <c r="M15" s="161"/>
    </row>
    <row r="16" spans="1:13" x14ac:dyDescent="0.25">
      <c r="A16" s="77" t="s">
        <v>293</v>
      </c>
      <c r="B16" s="161" t="s">
        <v>435</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0.84499999999999997</v>
      </c>
      <c r="C27" s="103">
        <v>0.84599999999999997</v>
      </c>
      <c r="D27" s="103">
        <v>0.84699999999999998</v>
      </c>
      <c r="E27" s="103">
        <v>0.84799999999999998</v>
      </c>
      <c r="F27" s="103">
        <v>0.85</v>
      </c>
      <c r="G27" s="103">
        <v>0.85099999999999998</v>
      </c>
      <c r="H27" s="103">
        <v>0.85199999999999998</v>
      </c>
      <c r="I27" s="103">
        <v>0.85299999999999998</v>
      </c>
      <c r="J27" s="103">
        <v>0.85399999999999998</v>
      </c>
      <c r="K27" s="103">
        <v>0.85599999999999998</v>
      </c>
      <c r="L27" s="103">
        <v>0.85699999999999998</v>
      </c>
      <c r="M27" s="103">
        <v>0.85799999999999998</v>
      </c>
    </row>
    <row r="28" spans="1:13" x14ac:dyDescent="0.25">
      <c r="A28" s="98">
        <v>51</v>
      </c>
      <c r="B28" s="103">
        <v>0.85899999999999999</v>
      </c>
      <c r="C28" s="103">
        <v>0.86</v>
      </c>
      <c r="D28" s="103">
        <v>0.86199999999999999</v>
      </c>
      <c r="E28" s="103">
        <v>0.86299999999999999</v>
      </c>
      <c r="F28" s="103">
        <v>0.86399999999999999</v>
      </c>
      <c r="G28" s="103">
        <v>0.86499999999999999</v>
      </c>
      <c r="H28" s="103">
        <v>0.86699999999999999</v>
      </c>
      <c r="I28" s="103">
        <v>0.86799999999999999</v>
      </c>
      <c r="J28" s="103">
        <v>0.86899999999999999</v>
      </c>
      <c r="K28" s="103">
        <v>0.87</v>
      </c>
      <c r="L28" s="103">
        <v>0.871</v>
      </c>
      <c r="M28" s="103">
        <v>0.873</v>
      </c>
    </row>
    <row r="29" spans="1:13" x14ac:dyDescent="0.25">
      <c r="A29" s="98">
        <v>52</v>
      </c>
      <c r="B29" s="103">
        <v>0.874</v>
      </c>
      <c r="C29" s="103">
        <v>0.875</v>
      </c>
      <c r="D29" s="103">
        <v>0.876</v>
      </c>
      <c r="E29" s="103">
        <v>0.878</v>
      </c>
      <c r="F29" s="103">
        <v>0.879</v>
      </c>
      <c r="G29" s="103">
        <v>0.88</v>
      </c>
      <c r="H29" s="103">
        <v>0.88100000000000001</v>
      </c>
      <c r="I29" s="103">
        <v>0.88300000000000001</v>
      </c>
      <c r="J29" s="103">
        <v>0.88400000000000001</v>
      </c>
      <c r="K29" s="103">
        <v>0.88500000000000001</v>
      </c>
      <c r="L29" s="103">
        <v>0.88600000000000001</v>
      </c>
      <c r="M29" s="103">
        <v>0.88700000000000001</v>
      </c>
    </row>
    <row r="30" spans="1:13" x14ac:dyDescent="0.25">
      <c r="A30" s="98">
        <v>53</v>
      </c>
      <c r="B30" s="103">
        <v>0.88900000000000001</v>
      </c>
      <c r="C30" s="103">
        <v>0.89</v>
      </c>
      <c r="D30" s="103">
        <v>0.89100000000000001</v>
      </c>
      <c r="E30" s="103">
        <v>0.89200000000000002</v>
      </c>
      <c r="F30" s="103">
        <v>0.89400000000000002</v>
      </c>
      <c r="G30" s="103">
        <v>0.89500000000000002</v>
      </c>
      <c r="H30" s="103">
        <v>0.89600000000000002</v>
      </c>
      <c r="I30" s="103">
        <v>0.89800000000000002</v>
      </c>
      <c r="J30" s="103">
        <v>0.89900000000000002</v>
      </c>
      <c r="K30" s="103">
        <v>0.9</v>
      </c>
      <c r="L30" s="103">
        <v>0.90100000000000002</v>
      </c>
      <c r="M30" s="103">
        <v>0.90300000000000002</v>
      </c>
    </row>
    <row r="31" spans="1:13" x14ac:dyDescent="0.25">
      <c r="A31" s="98">
        <v>54</v>
      </c>
      <c r="B31" s="103">
        <v>0.90400000000000003</v>
      </c>
      <c r="C31" s="103">
        <v>0.90500000000000003</v>
      </c>
      <c r="D31" s="103">
        <v>0.90600000000000003</v>
      </c>
      <c r="E31" s="103">
        <v>0.90800000000000003</v>
      </c>
      <c r="F31" s="103">
        <v>0.90900000000000003</v>
      </c>
      <c r="G31" s="103">
        <v>0.91</v>
      </c>
      <c r="H31" s="103">
        <v>0.91100000000000003</v>
      </c>
      <c r="I31" s="103">
        <v>0.91300000000000003</v>
      </c>
      <c r="J31" s="103">
        <v>0.91400000000000003</v>
      </c>
      <c r="K31" s="103">
        <v>0.91500000000000004</v>
      </c>
      <c r="L31" s="103">
        <v>0.91700000000000004</v>
      </c>
      <c r="M31" s="103">
        <v>0.91800000000000004</v>
      </c>
    </row>
    <row r="32" spans="1:13" x14ac:dyDescent="0.25">
      <c r="A32" s="98">
        <v>55</v>
      </c>
      <c r="B32" s="103">
        <v>0.91900000000000004</v>
      </c>
      <c r="C32" s="103">
        <v>0.92</v>
      </c>
      <c r="D32" s="103">
        <v>0.92200000000000004</v>
      </c>
      <c r="E32" s="103">
        <v>0.92300000000000004</v>
      </c>
      <c r="F32" s="103">
        <v>0.92400000000000004</v>
      </c>
      <c r="G32" s="103">
        <v>0.92600000000000005</v>
      </c>
      <c r="H32" s="103">
        <v>0.92700000000000005</v>
      </c>
      <c r="I32" s="103">
        <v>0.92800000000000005</v>
      </c>
      <c r="J32" s="103">
        <v>0.93</v>
      </c>
      <c r="K32" s="103">
        <v>0.93100000000000005</v>
      </c>
      <c r="L32" s="103">
        <v>0.93200000000000005</v>
      </c>
      <c r="M32" s="103">
        <v>0.93300000000000005</v>
      </c>
    </row>
    <row r="33" spans="1:13" x14ac:dyDescent="0.25">
      <c r="A33" s="98">
        <v>56</v>
      </c>
      <c r="B33" s="103">
        <v>0.93500000000000005</v>
      </c>
      <c r="C33" s="103">
        <v>0.93600000000000005</v>
      </c>
      <c r="D33" s="103">
        <v>0.93700000000000006</v>
      </c>
      <c r="E33" s="103">
        <v>0.93899999999999995</v>
      </c>
      <c r="F33" s="103">
        <v>0.94</v>
      </c>
      <c r="G33" s="103">
        <v>0.94099999999999995</v>
      </c>
      <c r="H33" s="103">
        <v>0.94299999999999995</v>
      </c>
      <c r="I33" s="103">
        <v>0.94399999999999995</v>
      </c>
      <c r="J33" s="103">
        <v>0.94499999999999995</v>
      </c>
      <c r="K33" s="103">
        <v>0.94699999999999995</v>
      </c>
      <c r="L33" s="103">
        <v>0.94799999999999995</v>
      </c>
      <c r="M33" s="103">
        <v>0.94899999999999995</v>
      </c>
    </row>
    <row r="34" spans="1:13" x14ac:dyDescent="0.25">
      <c r="A34" s="98">
        <v>57</v>
      </c>
      <c r="B34" s="103">
        <v>0.95099999999999996</v>
      </c>
      <c r="C34" s="103">
        <v>0.95199999999999996</v>
      </c>
      <c r="D34" s="103">
        <v>0.95299999999999996</v>
      </c>
      <c r="E34" s="103">
        <v>0.95499999999999996</v>
      </c>
      <c r="F34" s="103">
        <v>0.95599999999999996</v>
      </c>
      <c r="G34" s="103">
        <v>0.95699999999999996</v>
      </c>
      <c r="H34" s="103">
        <v>0.95899999999999996</v>
      </c>
      <c r="I34" s="103">
        <v>0.96</v>
      </c>
      <c r="J34" s="103">
        <v>0.96099999999999997</v>
      </c>
      <c r="K34" s="103">
        <v>0.96299999999999997</v>
      </c>
      <c r="L34" s="103">
        <v>0.96399999999999997</v>
      </c>
      <c r="M34" s="103">
        <v>0.96599999999999997</v>
      </c>
    </row>
    <row r="35" spans="1:13" x14ac:dyDescent="0.25">
      <c r="A35" s="98">
        <v>58</v>
      </c>
      <c r="B35" s="103">
        <v>0.96699999999999997</v>
      </c>
      <c r="C35" s="103">
        <v>0.96799999999999997</v>
      </c>
      <c r="D35" s="103">
        <v>0.97</v>
      </c>
      <c r="E35" s="103">
        <v>0.97099999999999997</v>
      </c>
      <c r="F35" s="103">
        <v>0.97199999999999998</v>
      </c>
      <c r="G35" s="103">
        <v>0.97399999999999998</v>
      </c>
      <c r="H35" s="103">
        <v>0.97499999999999998</v>
      </c>
      <c r="I35" s="103">
        <v>0.97599999999999998</v>
      </c>
      <c r="J35" s="103">
        <v>0.97799999999999998</v>
      </c>
      <c r="K35" s="103">
        <v>0.97899999999999998</v>
      </c>
      <c r="L35" s="103">
        <v>0.98099999999999998</v>
      </c>
      <c r="M35" s="103">
        <v>0.98199999999999998</v>
      </c>
    </row>
    <row r="36" spans="1:13" x14ac:dyDescent="0.25">
      <c r="A36" s="98">
        <v>59</v>
      </c>
      <c r="B36" s="103">
        <v>0.98299999999999998</v>
      </c>
      <c r="C36" s="103">
        <v>0.98499999999999999</v>
      </c>
      <c r="D36" s="103">
        <v>0.98599999999999999</v>
      </c>
      <c r="E36" s="103">
        <v>0.98699999999999999</v>
      </c>
      <c r="F36" s="103">
        <v>0.98899999999999999</v>
      </c>
      <c r="G36" s="103">
        <v>0.99</v>
      </c>
      <c r="H36" s="103">
        <v>0.99199999999999999</v>
      </c>
      <c r="I36" s="103">
        <v>0.99299999999999999</v>
      </c>
      <c r="J36" s="103">
        <v>0.99399999999999999</v>
      </c>
      <c r="K36" s="103">
        <v>0.996</v>
      </c>
      <c r="L36" s="103">
        <v>0.997</v>
      </c>
      <c r="M36" s="103">
        <v>0.999</v>
      </c>
    </row>
    <row r="37" spans="1:13" x14ac:dyDescent="0.25">
      <c r="A37" s="98">
        <v>60</v>
      </c>
      <c r="B37" s="103">
        <v>1</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lDJZaf2jA5nGwnnyWBD9bCuYTGey/XsL6lgMTrtQJwQEYyCZ3RIilo5++u9ozI/nV8N8ayWhm5R9hU1r1yoCvQ==" saltValue="x5GENbMre2w6IYdzwOepfw==" spinCount="100000" sheet="1" objects="1" scenarios="1"/>
  <conditionalFormatting sqref="A6:A21">
    <cfRule type="expression" dxfId="841" priority="9" stopIfTrue="1">
      <formula>MOD(ROW(),2)=0</formula>
    </cfRule>
    <cfRule type="expression" dxfId="840" priority="10" stopIfTrue="1">
      <formula>MOD(ROW(),2)&lt;&gt;0</formula>
    </cfRule>
  </conditionalFormatting>
  <conditionalFormatting sqref="A26:A37">
    <cfRule type="expression" dxfId="839" priority="1" stopIfTrue="1">
      <formula>MOD(ROW(),2)=0</formula>
    </cfRule>
    <cfRule type="expression" dxfId="838" priority="2" stopIfTrue="1">
      <formula>MOD(ROW(),2)&lt;&gt;0</formula>
    </cfRule>
  </conditionalFormatting>
  <conditionalFormatting sqref="B17:B21">
    <cfRule type="expression" dxfId="837" priority="5" stopIfTrue="1">
      <formula>MOD(ROW(),2)=0</formula>
    </cfRule>
    <cfRule type="expression" dxfId="836" priority="6" stopIfTrue="1">
      <formula>MOD(ROW(),2)&lt;&gt;0</formula>
    </cfRule>
  </conditionalFormatting>
  <conditionalFormatting sqref="B6:M21">
    <cfRule type="expression" dxfId="835" priority="17" stopIfTrue="1">
      <formula>MOD(ROW(),2)=0</formula>
    </cfRule>
    <cfRule type="expression" dxfId="834" priority="18" stopIfTrue="1">
      <formula>MOD(ROW(),2)&lt;&gt;0</formula>
    </cfRule>
  </conditionalFormatting>
  <conditionalFormatting sqref="B26:M37">
    <cfRule type="expression" dxfId="833" priority="3" stopIfTrue="1">
      <formula>MOD(ROW(),2)=0</formula>
    </cfRule>
    <cfRule type="expression" dxfId="832" priority="4" stopIfTrue="1">
      <formula>MOD(ROW(),2)&lt;&gt;0</formula>
    </cfRule>
  </conditionalFormatting>
  <hyperlinks>
    <hyperlink ref="B24" location="Assumptions!A1" display="Assumptions" xr:uid="{ABE054A3-1EC2-454E-9A0C-DD4BC6E28AD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2"/>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x-408</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436</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408</v>
      </c>
      <c r="C14" s="161"/>
      <c r="D14" s="161"/>
      <c r="E14" s="161"/>
      <c r="F14" s="161"/>
      <c r="G14" s="161"/>
      <c r="H14" s="161"/>
      <c r="I14" s="161"/>
      <c r="J14" s="161"/>
      <c r="K14" s="161"/>
      <c r="L14" s="161"/>
      <c r="M14" s="161"/>
    </row>
    <row r="15" spans="1:13" x14ac:dyDescent="0.25">
      <c r="A15" s="77" t="s">
        <v>291</v>
      </c>
      <c r="B15" s="161" t="s">
        <v>437</v>
      </c>
      <c r="C15" s="161"/>
      <c r="D15" s="161"/>
      <c r="E15" s="161"/>
      <c r="F15" s="161"/>
      <c r="G15" s="161"/>
      <c r="H15" s="161"/>
      <c r="I15" s="161"/>
      <c r="J15" s="161"/>
      <c r="K15" s="161"/>
      <c r="L15" s="161"/>
      <c r="M15" s="161"/>
    </row>
    <row r="16" spans="1:13" x14ac:dyDescent="0.25">
      <c r="A16" s="77" t="s">
        <v>293</v>
      </c>
      <c r="B16" s="161" t="s">
        <v>438</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0.77700000000000002</v>
      </c>
      <c r="C27" s="103">
        <v>0.77800000000000002</v>
      </c>
      <c r="D27" s="103">
        <v>0.77900000000000003</v>
      </c>
      <c r="E27" s="103">
        <v>0.78</v>
      </c>
      <c r="F27" s="103">
        <v>0.78100000000000003</v>
      </c>
      <c r="G27" s="103">
        <v>0.78200000000000003</v>
      </c>
      <c r="H27" s="103">
        <v>0.78300000000000003</v>
      </c>
      <c r="I27" s="103">
        <v>0.78400000000000003</v>
      </c>
      <c r="J27" s="103">
        <v>0.78500000000000003</v>
      </c>
      <c r="K27" s="103">
        <v>0.78600000000000003</v>
      </c>
      <c r="L27" s="103">
        <v>0.78800000000000003</v>
      </c>
      <c r="M27" s="103">
        <v>0.78900000000000003</v>
      </c>
    </row>
    <row r="28" spans="1:13" x14ac:dyDescent="0.25">
      <c r="A28" s="98">
        <v>51</v>
      </c>
      <c r="B28" s="103">
        <v>0.79</v>
      </c>
      <c r="C28" s="103">
        <v>0.79100000000000004</v>
      </c>
      <c r="D28" s="103">
        <v>0.79200000000000004</v>
      </c>
      <c r="E28" s="103">
        <v>0.79300000000000004</v>
      </c>
      <c r="F28" s="103">
        <v>0.79400000000000004</v>
      </c>
      <c r="G28" s="103">
        <v>0.79500000000000004</v>
      </c>
      <c r="H28" s="103">
        <v>0.79600000000000004</v>
      </c>
      <c r="I28" s="103">
        <v>0.79800000000000004</v>
      </c>
      <c r="J28" s="103">
        <v>0.79900000000000004</v>
      </c>
      <c r="K28" s="103">
        <v>0.8</v>
      </c>
      <c r="L28" s="103">
        <v>0.80100000000000005</v>
      </c>
      <c r="M28" s="103">
        <v>0.80200000000000005</v>
      </c>
    </row>
    <row r="29" spans="1:13" x14ac:dyDescent="0.25">
      <c r="A29" s="98">
        <v>52</v>
      </c>
      <c r="B29" s="103">
        <v>0.80300000000000005</v>
      </c>
      <c r="C29" s="103">
        <v>0.80400000000000005</v>
      </c>
      <c r="D29" s="103">
        <v>0.80500000000000005</v>
      </c>
      <c r="E29" s="103">
        <v>0.80700000000000005</v>
      </c>
      <c r="F29" s="103">
        <v>0.80800000000000005</v>
      </c>
      <c r="G29" s="103">
        <v>0.80900000000000005</v>
      </c>
      <c r="H29" s="103">
        <v>0.81</v>
      </c>
      <c r="I29" s="103">
        <v>0.81100000000000005</v>
      </c>
      <c r="J29" s="103">
        <v>0.81200000000000006</v>
      </c>
      <c r="K29" s="103">
        <v>0.81299999999999994</v>
      </c>
      <c r="L29" s="103">
        <v>0.81499999999999995</v>
      </c>
      <c r="M29" s="103">
        <v>0.81599999999999995</v>
      </c>
    </row>
    <row r="30" spans="1:13" x14ac:dyDescent="0.25">
      <c r="A30" s="98">
        <v>53</v>
      </c>
      <c r="B30" s="103">
        <v>0.81699999999999995</v>
      </c>
      <c r="C30" s="103">
        <v>0.81799999999999995</v>
      </c>
      <c r="D30" s="103">
        <v>0.81899999999999995</v>
      </c>
      <c r="E30" s="103">
        <v>0.82</v>
      </c>
      <c r="F30" s="103">
        <v>0.82099999999999995</v>
      </c>
      <c r="G30" s="103">
        <v>0.82299999999999995</v>
      </c>
      <c r="H30" s="103">
        <v>0.82399999999999995</v>
      </c>
      <c r="I30" s="103">
        <v>0.82499999999999996</v>
      </c>
      <c r="J30" s="103">
        <v>0.82599999999999996</v>
      </c>
      <c r="K30" s="103">
        <v>0.82699999999999996</v>
      </c>
      <c r="L30" s="103">
        <v>0.82799999999999996</v>
      </c>
      <c r="M30" s="103">
        <v>0.83</v>
      </c>
    </row>
    <row r="31" spans="1:13" x14ac:dyDescent="0.25">
      <c r="A31" s="98">
        <v>54</v>
      </c>
      <c r="B31" s="103">
        <v>0.83099999999999996</v>
      </c>
      <c r="C31" s="103">
        <v>0.83199999999999996</v>
      </c>
      <c r="D31" s="103">
        <v>0.83299999999999996</v>
      </c>
      <c r="E31" s="103">
        <v>0.83399999999999996</v>
      </c>
      <c r="F31" s="103">
        <v>0.83499999999999996</v>
      </c>
      <c r="G31" s="103">
        <v>0.83699999999999997</v>
      </c>
      <c r="H31" s="103">
        <v>0.83799999999999997</v>
      </c>
      <c r="I31" s="103">
        <v>0.83899999999999997</v>
      </c>
      <c r="J31" s="103">
        <v>0.84</v>
      </c>
      <c r="K31" s="103">
        <v>0.84099999999999997</v>
      </c>
      <c r="L31" s="103">
        <v>0.84299999999999997</v>
      </c>
      <c r="M31" s="103">
        <v>0.84399999999999997</v>
      </c>
    </row>
    <row r="32" spans="1:13" x14ac:dyDescent="0.25">
      <c r="A32" s="98">
        <v>55</v>
      </c>
      <c r="B32" s="103">
        <v>0.84499999999999997</v>
      </c>
      <c r="C32" s="103">
        <v>0.84599999999999997</v>
      </c>
      <c r="D32" s="103">
        <v>0.84699999999999998</v>
      </c>
      <c r="E32" s="103">
        <v>0.84799999999999998</v>
      </c>
      <c r="F32" s="103">
        <v>0.85</v>
      </c>
      <c r="G32" s="103">
        <v>0.85099999999999998</v>
      </c>
      <c r="H32" s="103">
        <v>0.85199999999999998</v>
      </c>
      <c r="I32" s="103">
        <v>0.85299999999999998</v>
      </c>
      <c r="J32" s="103">
        <v>0.85399999999999998</v>
      </c>
      <c r="K32" s="103">
        <v>0.85599999999999998</v>
      </c>
      <c r="L32" s="103">
        <v>0.85699999999999998</v>
      </c>
      <c r="M32" s="103">
        <v>0.85799999999999998</v>
      </c>
    </row>
    <row r="33" spans="1:13" x14ac:dyDescent="0.25">
      <c r="A33" s="98">
        <v>56</v>
      </c>
      <c r="B33" s="103">
        <v>0.85899999999999999</v>
      </c>
      <c r="C33" s="103">
        <v>0.86</v>
      </c>
      <c r="D33" s="103">
        <v>0.86199999999999999</v>
      </c>
      <c r="E33" s="103">
        <v>0.86299999999999999</v>
      </c>
      <c r="F33" s="103">
        <v>0.86399999999999999</v>
      </c>
      <c r="G33" s="103">
        <v>0.86499999999999999</v>
      </c>
      <c r="H33" s="103">
        <v>0.86699999999999999</v>
      </c>
      <c r="I33" s="103">
        <v>0.86799999999999999</v>
      </c>
      <c r="J33" s="103">
        <v>0.86899999999999999</v>
      </c>
      <c r="K33" s="103">
        <v>0.87</v>
      </c>
      <c r="L33" s="103">
        <v>0.871</v>
      </c>
      <c r="M33" s="103">
        <v>0.873</v>
      </c>
    </row>
    <row r="34" spans="1:13" x14ac:dyDescent="0.25">
      <c r="A34" s="98">
        <v>57</v>
      </c>
      <c r="B34" s="103">
        <v>0.874</v>
      </c>
      <c r="C34" s="103">
        <v>0.875</v>
      </c>
      <c r="D34" s="103">
        <v>0.876</v>
      </c>
      <c r="E34" s="103">
        <v>0.878</v>
      </c>
      <c r="F34" s="103">
        <v>0.879</v>
      </c>
      <c r="G34" s="103">
        <v>0.88</v>
      </c>
      <c r="H34" s="103">
        <v>0.88100000000000001</v>
      </c>
      <c r="I34" s="103">
        <v>0.88300000000000001</v>
      </c>
      <c r="J34" s="103">
        <v>0.88400000000000001</v>
      </c>
      <c r="K34" s="103">
        <v>0.88500000000000001</v>
      </c>
      <c r="L34" s="103">
        <v>0.88600000000000001</v>
      </c>
      <c r="M34" s="103">
        <v>0.88700000000000001</v>
      </c>
    </row>
    <row r="35" spans="1:13" x14ac:dyDescent="0.25">
      <c r="A35" s="98">
        <v>58</v>
      </c>
      <c r="B35" s="103">
        <v>0.88900000000000001</v>
      </c>
      <c r="C35" s="103">
        <v>0.89</v>
      </c>
      <c r="D35" s="103">
        <v>0.89100000000000001</v>
      </c>
      <c r="E35" s="103">
        <v>0.89200000000000002</v>
      </c>
      <c r="F35" s="103">
        <v>0.89400000000000002</v>
      </c>
      <c r="G35" s="103">
        <v>0.89500000000000002</v>
      </c>
      <c r="H35" s="103">
        <v>0.89600000000000002</v>
      </c>
      <c r="I35" s="103">
        <v>0.89800000000000002</v>
      </c>
      <c r="J35" s="103">
        <v>0.89900000000000002</v>
      </c>
      <c r="K35" s="103">
        <v>0.9</v>
      </c>
      <c r="L35" s="103">
        <v>0.90100000000000002</v>
      </c>
      <c r="M35" s="103">
        <v>0.90300000000000002</v>
      </c>
    </row>
    <row r="36" spans="1:13" x14ac:dyDescent="0.25">
      <c r="A36" s="98">
        <v>59</v>
      </c>
      <c r="B36" s="103">
        <v>0.90400000000000003</v>
      </c>
      <c r="C36" s="103">
        <v>0.90500000000000003</v>
      </c>
      <c r="D36" s="103">
        <v>0.90600000000000003</v>
      </c>
      <c r="E36" s="103">
        <v>0.90800000000000003</v>
      </c>
      <c r="F36" s="103">
        <v>0.90900000000000003</v>
      </c>
      <c r="G36" s="103">
        <v>0.91</v>
      </c>
      <c r="H36" s="103">
        <v>0.91100000000000003</v>
      </c>
      <c r="I36" s="103">
        <v>0.91300000000000003</v>
      </c>
      <c r="J36" s="103">
        <v>0.91400000000000003</v>
      </c>
      <c r="K36" s="103">
        <v>0.91500000000000004</v>
      </c>
      <c r="L36" s="103">
        <v>0.91700000000000004</v>
      </c>
      <c r="M36" s="103">
        <v>0.91800000000000004</v>
      </c>
    </row>
    <row r="37" spans="1:13" x14ac:dyDescent="0.25">
      <c r="A37" s="98">
        <v>60</v>
      </c>
      <c r="B37" s="103">
        <v>0.91900000000000004</v>
      </c>
      <c r="C37" s="103">
        <v>0.92</v>
      </c>
      <c r="D37" s="103">
        <v>0.92200000000000004</v>
      </c>
      <c r="E37" s="103">
        <v>0.92300000000000004</v>
      </c>
      <c r="F37" s="103">
        <v>0.92400000000000004</v>
      </c>
      <c r="G37" s="103">
        <v>0.92600000000000005</v>
      </c>
      <c r="H37" s="103">
        <v>0.92700000000000005</v>
      </c>
      <c r="I37" s="103">
        <v>0.92800000000000005</v>
      </c>
      <c r="J37" s="103">
        <v>0.93</v>
      </c>
      <c r="K37" s="103">
        <v>0.93100000000000005</v>
      </c>
      <c r="L37" s="103">
        <v>0.93200000000000005</v>
      </c>
      <c r="M37" s="103">
        <v>0.93300000000000005</v>
      </c>
    </row>
    <row r="38" spans="1:13" x14ac:dyDescent="0.25">
      <c r="A38" s="98">
        <v>61</v>
      </c>
      <c r="B38" s="103">
        <v>0.93500000000000005</v>
      </c>
      <c r="C38" s="103">
        <v>0.93600000000000005</v>
      </c>
      <c r="D38" s="103">
        <v>0.93700000000000006</v>
      </c>
      <c r="E38" s="103">
        <v>0.93899999999999995</v>
      </c>
      <c r="F38" s="103">
        <v>0.94</v>
      </c>
      <c r="G38" s="103">
        <v>0.94099999999999995</v>
      </c>
      <c r="H38" s="103">
        <v>0.94299999999999995</v>
      </c>
      <c r="I38" s="103">
        <v>0.94399999999999995</v>
      </c>
      <c r="J38" s="103">
        <v>0.94499999999999995</v>
      </c>
      <c r="K38" s="103">
        <v>0.94699999999999995</v>
      </c>
      <c r="L38" s="103">
        <v>0.94799999999999995</v>
      </c>
      <c r="M38" s="103">
        <v>0.94899999999999995</v>
      </c>
    </row>
    <row r="39" spans="1:13" x14ac:dyDescent="0.25">
      <c r="A39" s="98">
        <v>62</v>
      </c>
      <c r="B39" s="103">
        <v>0.95099999999999996</v>
      </c>
      <c r="C39" s="103">
        <v>0.95199999999999996</v>
      </c>
      <c r="D39" s="103">
        <v>0.95299999999999996</v>
      </c>
      <c r="E39" s="103">
        <v>0.95499999999999996</v>
      </c>
      <c r="F39" s="103">
        <v>0.95599999999999996</v>
      </c>
      <c r="G39" s="103">
        <v>0.95699999999999996</v>
      </c>
      <c r="H39" s="103">
        <v>0.95899999999999996</v>
      </c>
      <c r="I39" s="103">
        <v>0.96</v>
      </c>
      <c r="J39" s="103">
        <v>0.96099999999999997</v>
      </c>
      <c r="K39" s="103">
        <v>0.96299999999999997</v>
      </c>
      <c r="L39" s="103">
        <v>0.96399999999999997</v>
      </c>
      <c r="M39" s="103">
        <v>0.96599999999999997</v>
      </c>
    </row>
    <row r="40" spans="1:13" x14ac:dyDescent="0.25">
      <c r="A40" s="98">
        <v>63</v>
      </c>
      <c r="B40" s="103">
        <v>0.96699999999999997</v>
      </c>
      <c r="C40" s="103">
        <v>0.96799999999999997</v>
      </c>
      <c r="D40" s="103">
        <v>0.97</v>
      </c>
      <c r="E40" s="103">
        <v>0.97099999999999997</v>
      </c>
      <c r="F40" s="103">
        <v>0.97199999999999998</v>
      </c>
      <c r="G40" s="103">
        <v>0.97399999999999998</v>
      </c>
      <c r="H40" s="103">
        <v>0.97499999999999998</v>
      </c>
      <c r="I40" s="103">
        <v>0.97599999999999998</v>
      </c>
      <c r="J40" s="103">
        <v>0.97799999999999998</v>
      </c>
      <c r="K40" s="103">
        <v>0.97899999999999998</v>
      </c>
      <c r="L40" s="103">
        <v>0.98099999999999998</v>
      </c>
      <c r="M40" s="103">
        <v>0.98199999999999998</v>
      </c>
    </row>
    <row r="41" spans="1:13" x14ac:dyDescent="0.25">
      <c r="A41" s="98">
        <v>64</v>
      </c>
      <c r="B41" s="103">
        <v>0.98299999999999998</v>
      </c>
      <c r="C41" s="103">
        <v>0.98499999999999999</v>
      </c>
      <c r="D41" s="103">
        <v>0.98599999999999999</v>
      </c>
      <c r="E41" s="103">
        <v>0.98699999999999999</v>
      </c>
      <c r="F41" s="103">
        <v>0.98899999999999999</v>
      </c>
      <c r="G41" s="103">
        <v>0.99</v>
      </c>
      <c r="H41" s="103">
        <v>0.99199999999999999</v>
      </c>
      <c r="I41" s="103">
        <v>0.99299999999999999</v>
      </c>
      <c r="J41" s="103">
        <v>0.99399999999999999</v>
      </c>
      <c r="K41" s="103">
        <v>0.996</v>
      </c>
      <c r="L41" s="103">
        <v>0.997</v>
      </c>
      <c r="M41" s="103">
        <v>0.999</v>
      </c>
    </row>
    <row r="42" spans="1:13" x14ac:dyDescent="0.25">
      <c r="A42" s="98">
        <v>65</v>
      </c>
      <c r="B42" s="103">
        <v>1</v>
      </c>
      <c r="C42" s="103"/>
      <c r="D42" s="103"/>
      <c r="E42" s="103"/>
      <c r="F42" s="103"/>
      <c r="G42" s="103"/>
      <c r="H42" s="103"/>
      <c r="I42" s="103"/>
      <c r="J42" s="103"/>
      <c r="K42" s="103"/>
      <c r="L42" s="103"/>
      <c r="M42" s="103"/>
    </row>
    <row r="44" spans="1:13" ht="39.65" customHeight="1" x14ac:dyDescent="0.25"/>
    <row r="46" spans="1:13" ht="27.65" customHeight="1" x14ac:dyDescent="0.25"/>
  </sheetData>
  <sheetProtection algorithmName="SHA-512" hashValue="m/LaXeXrYaMLr6woRnFJvWUpfBqgDKj+w7ZjB4D5Xv7Wz095LEbtv8AYEPPTifrh/02Hw/8Mx2bI96VuVBYBuA==" saltValue="8o/AnGUActKi81nB5WJsBQ==" spinCount="100000" sheet="1" objects="1" scenarios="1"/>
  <conditionalFormatting sqref="A6:A21">
    <cfRule type="expression" dxfId="831" priority="9" stopIfTrue="1">
      <formula>MOD(ROW(),2)=0</formula>
    </cfRule>
    <cfRule type="expression" dxfId="830" priority="10" stopIfTrue="1">
      <formula>MOD(ROW(),2)&lt;&gt;0</formula>
    </cfRule>
  </conditionalFormatting>
  <conditionalFormatting sqref="A26:A42">
    <cfRule type="expression" dxfId="829" priority="1" stopIfTrue="1">
      <formula>MOD(ROW(),2)=0</formula>
    </cfRule>
    <cfRule type="expression" dxfId="828" priority="2" stopIfTrue="1">
      <formula>MOD(ROW(),2)&lt;&gt;0</formula>
    </cfRule>
  </conditionalFormatting>
  <conditionalFormatting sqref="B17:B21">
    <cfRule type="expression" dxfId="827" priority="5" stopIfTrue="1">
      <formula>MOD(ROW(),2)=0</formula>
    </cfRule>
    <cfRule type="expression" dxfId="826" priority="6" stopIfTrue="1">
      <formula>MOD(ROW(),2)&lt;&gt;0</formula>
    </cfRule>
  </conditionalFormatting>
  <conditionalFormatting sqref="B6:M21">
    <cfRule type="expression" dxfId="825" priority="17" stopIfTrue="1">
      <formula>MOD(ROW(),2)=0</formula>
    </cfRule>
    <cfRule type="expression" dxfId="824" priority="18" stopIfTrue="1">
      <formula>MOD(ROW(),2)&lt;&gt;0</formula>
    </cfRule>
  </conditionalFormatting>
  <conditionalFormatting sqref="B26:M42">
    <cfRule type="expression" dxfId="823" priority="3" stopIfTrue="1">
      <formula>MOD(ROW(),2)=0</formula>
    </cfRule>
    <cfRule type="expression" dxfId="822" priority="4" stopIfTrue="1">
      <formula>MOD(ROW(),2)&lt;&gt;0</formula>
    </cfRule>
  </conditionalFormatting>
  <hyperlinks>
    <hyperlink ref="B24" location="Assumptions!A1" display="Assumptions" xr:uid="{4CC2A5ED-432C-4652-912A-02DB38CF856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3"/>
  <dimension ref="A1:AB46"/>
  <sheetViews>
    <sheetView showGridLines="0" topLeftCell="N1" zoomScale="85" zoomScaleNormal="85" workbookViewId="0">
      <selection activeCell="Q21" sqref="Q21"/>
    </sheetView>
  </sheetViews>
  <sheetFormatPr defaultColWidth="10" defaultRowHeight="12.5" x14ac:dyDescent="0.25"/>
  <cols>
    <col min="1" max="1" width="31.54296875" style="26" customWidth="1"/>
    <col min="2" max="13" width="22.54296875" style="26" customWidth="1"/>
    <col min="14" max="15" width="10" style="26"/>
    <col min="16" max="16" width="31.54296875" style="26" customWidth="1"/>
    <col min="17" max="28" width="22.54296875" style="26" customWidth="1"/>
    <col min="29" max="16384" width="10" style="26"/>
  </cols>
  <sheetData>
    <row r="1" spans="1:28" ht="20" x14ac:dyDescent="0.4">
      <c r="A1" s="37" t="s">
        <v>0</v>
      </c>
      <c r="B1" s="38"/>
      <c r="C1" s="38"/>
      <c r="D1" s="38"/>
      <c r="E1" s="38"/>
      <c r="F1" s="38"/>
      <c r="G1" s="38"/>
      <c r="H1" s="38"/>
      <c r="I1" s="38"/>
    </row>
    <row r="2" spans="1:28" ht="15.5" x14ac:dyDescent="0.35">
      <c r="A2" s="39" t="str">
        <f>IF(title="&gt; Enter workbook title here","Enter workbook title in Cover sheet",title)</f>
        <v>NHSPS_S - Consolidated Factor Spreadsheet</v>
      </c>
      <c r="B2" s="40"/>
      <c r="C2" s="40"/>
      <c r="D2" s="40"/>
      <c r="E2" s="40"/>
      <c r="F2" s="40"/>
      <c r="G2" s="40"/>
      <c r="H2" s="40"/>
      <c r="I2" s="40"/>
    </row>
    <row r="3" spans="1:28" ht="15.5" x14ac:dyDescent="0.35">
      <c r="A3" s="41" t="str">
        <f>TABLE_FACTOR_TYPE_1&amp;" - x-"&amp;TABLE_SERIES_NUMBER_1</f>
        <v>ERF - x-409</v>
      </c>
      <c r="B3" s="40"/>
      <c r="C3" s="40"/>
      <c r="D3" s="40"/>
      <c r="E3" s="40"/>
      <c r="F3" s="40"/>
      <c r="G3" s="40"/>
      <c r="H3" s="40"/>
      <c r="I3" s="40"/>
    </row>
    <row r="4" spans="1:28" x14ac:dyDescent="0.25">
      <c r="A4" s="42"/>
    </row>
    <row r="6" spans="1:28" ht="13" x14ac:dyDescent="0.3">
      <c r="A6" s="75" t="s">
        <v>274</v>
      </c>
      <c r="B6" s="161" t="s">
        <v>275</v>
      </c>
      <c r="C6" s="161"/>
      <c r="D6" s="161"/>
      <c r="E6" s="161"/>
      <c r="F6" s="161"/>
      <c r="G6" s="161"/>
      <c r="H6" s="161"/>
      <c r="I6" s="161"/>
      <c r="J6" s="161"/>
      <c r="K6" s="161"/>
      <c r="L6" s="161"/>
      <c r="M6" s="161"/>
      <c r="P6" s="75" t="s">
        <v>274</v>
      </c>
      <c r="Q6" s="161" t="s">
        <v>275</v>
      </c>
      <c r="R6" s="161"/>
      <c r="S6" s="161"/>
      <c r="T6" s="161"/>
      <c r="U6" s="161"/>
      <c r="V6" s="161"/>
      <c r="W6" s="161"/>
      <c r="X6" s="161"/>
      <c r="Y6" s="161"/>
      <c r="Z6" s="161"/>
      <c r="AA6" s="161"/>
      <c r="AB6" s="161"/>
    </row>
    <row r="7" spans="1:28" x14ac:dyDescent="0.25">
      <c r="A7" s="77" t="s">
        <v>276</v>
      </c>
      <c r="B7" s="161" t="s">
        <v>72</v>
      </c>
      <c r="C7" s="161"/>
      <c r="D7" s="161"/>
      <c r="E7" s="161"/>
      <c r="F7" s="161"/>
      <c r="G7" s="161"/>
      <c r="H7" s="161"/>
      <c r="I7" s="161"/>
      <c r="J7" s="161"/>
      <c r="K7" s="161"/>
      <c r="L7" s="161"/>
      <c r="M7" s="161"/>
      <c r="P7" s="77" t="s">
        <v>276</v>
      </c>
      <c r="Q7" s="161" t="s">
        <v>72</v>
      </c>
      <c r="R7" s="161"/>
      <c r="S7" s="161"/>
      <c r="T7" s="161"/>
      <c r="U7" s="161"/>
      <c r="V7" s="161"/>
      <c r="W7" s="161"/>
      <c r="X7" s="161"/>
      <c r="Y7" s="161"/>
      <c r="Z7" s="161"/>
      <c r="AA7" s="161"/>
      <c r="AB7" s="161"/>
    </row>
    <row r="8" spans="1:28" x14ac:dyDescent="0.25">
      <c r="A8" s="77" t="s">
        <v>278</v>
      </c>
      <c r="B8" s="161" t="s">
        <v>74</v>
      </c>
      <c r="C8" s="161"/>
      <c r="D8" s="161"/>
      <c r="E8" s="161"/>
      <c r="F8" s="161"/>
      <c r="G8" s="161"/>
      <c r="H8" s="161"/>
      <c r="I8" s="161"/>
      <c r="J8" s="161"/>
      <c r="K8" s="161"/>
      <c r="L8" s="161"/>
      <c r="M8" s="161"/>
      <c r="P8" s="77" t="s">
        <v>278</v>
      </c>
      <c r="Q8" s="161" t="s">
        <v>74</v>
      </c>
      <c r="R8" s="161"/>
      <c r="S8" s="161"/>
      <c r="T8" s="161"/>
      <c r="U8" s="161"/>
      <c r="V8" s="161"/>
      <c r="W8" s="161"/>
      <c r="X8" s="161"/>
      <c r="Y8" s="161"/>
      <c r="Z8" s="161"/>
      <c r="AA8" s="161"/>
      <c r="AB8" s="161"/>
    </row>
    <row r="9" spans="1:28" x14ac:dyDescent="0.25">
      <c r="A9" s="77" t="s">
        <v>280</v>
      </c>
      <c r="B9" s="161" t="s">
        <v>405</v>
      </c>
      <c r="C9" s="161"/>
      <c r="D9" s="161"/>
      <c r="E9" s="161"/>
      <c r="F9" s="161"/>
      <c r="G9" s="161"/>
      <c r="H9" s="161"/>
      <c r="I9" s="161"/>
      <c r="J9" s="161"/>
      <c r="K9" s="161"/>
      <c r="L9" s="161"/>
      <c r="M9" s="161"/>
      <c r="P9" s="77" t="s">
        <v>280</v>
      </c>
      <c r="Q9" s="161" t="s">
        <v>405</v>
      </c>
      <c r="R9" s="161"/>
      <c r="S9" s="161"/>
      <c r="T9" s="161"/>
      <c r="U9" s="161"/>
      <c r="V9" s="161"/>
      <c r="W9" s="161"/>
      <c r="X9" s="161"/>
      <c r="Y9" s="161"/>
      <c r="Z9" s="161"/>
      <c r="AA9" s="161"/>
      <c r="AB9" s="161"/>
    </row>
    <row r="10" spans="1:28" x14ac:dyDescent="0.25">
      <c r="A10" s="77" t="s">
        <v>6</v>
      </c>
      <c r="B10" s="161" t="s">
        <v>439</v>
      </c>
      <c r="C10" s="161"/>
      <c r="D10" s="161"/>
      <c r="E10" s="161"/>
      <c r="F10" s="161"/>
      <c r="G10" s="161"/>
      <c r="H10" s="161"/>
      <c r="I10" s="161"/>
      <c r="J10" s="161"/>
      <c r="K10" s="161"/>
      <c r="L10" s="161"/>
      <c r="M10" s="161"/>
      <c r="P10" s="77" t="s">
        <v>6</v>
      </c>
      <c r="Q10" s="161" t="s">
        <v>442</v>
      </c>
      <c r="R10" s="161"/>
      <c r="S10" s="161"/>
      <c r="T10" s="161"/>
      <c r="U10" s="161"/>
      <c r="V10" s="161"/>
      <c r="W10" s="161"/>
      <c r="X10" s="161"/>
      <c r="Y10" s="161"/>
      <c r="Z10" s="161"/>
      <c r="AA10" s="161"/>
      <c r="AB10" s="161"/>
    </row>
    <row r="11" spans="1:28" x14ac:dyDescent="0.25">
      <c r="A11" s="77" t="s">
        <v>283</v>
      </c>
      <c r="B11" s="161" t="s">
        <v>355</v>
      </c>
      <c r="C11" s="161"/>
      <c r="D11" s="161"/>
      <c r="E11" s="161"/>
      <c r="F11" s="161"/>
      <c r="G11" s="161"/>
      <c r="H11" s="161"/>
      <c r="I11" s="161"/>
      <c r="J11" s="161"/>
      <c r="K11" s="161"/>
      <c r="L11" s="161"/>
      <c r="M11" s="161"/>
      <c r="P11" s="77" t="s">
        <v>283</v>
      </c>
      <c r="Q11" s="161" t="s">
        <v>355</v>
      </c>
      <c r="R11" s="161"/>
      <c r="S11" s="161"/>
      <c r="T11" s="161"/>
      <c r="U11" s="161"/>
      <c r="V11" s="161"/>
      <c r="W11" s="161"/>
      <c r="X11" s="161"/>
      <c r="Y11" s="161"/>
      <c r="Z11" s="161"/>
      <c r="AA11" s="161"/>
      <c r="AB11" s="161"/>
    </row>
    <row r="12" spans="1:28" x14ac:dyDescent="0.25">
      <c r="A12" s="77" t="s">
        <v>285</v>
      </c>
      <c r="B12" s="161" t="s">
        <v>407</v>
      </c>
      <c r="C12" s="161"/>
      <c r="D12" s="161"/>
      <c r="E12" s="161"/>
      <c r="F12" s="161"/>
      <c r="G12" s="161"/>
      <c r="H12" s="161"/>
      <c r="I12" s="161"/>
      <c r="J12" s="161"/>
      <c r="K12" s="161"/>
      <c r="L12" s="161"/>
      <c r="M12" s="161"/>
      <c r="P12" s="77" t="s">
        <v>285</v>
      </c>
      <c r="Q12" s="161" t="s">
        <v>407</v>
      </c>
      <c r="R12" s="161"/>
      <c r="S12" s="161"/>
      <c r="T12" s="161"/>
      <c r="U12" s="161"/>
      <c r="V12" s="161"/>
      <c r="W12" s="161"/>
      <c r="X12" s="161"/>
      <c r="Y12" s="161"/>
      <c r="Z12" s="161"/>
      <c r="AA12" s="161"/>
      <c r="AB12" s="161"/>
    </row>
    <row r="13" spans="1:28" x14ac:dyDescent="0.25">
      <c r="A13" s="77" t="s">
        <v>287</v>
      </c>
      <c r="B13" s="161">
        <v>1</v>
      </c>
      <c r="C13" s="161"/>
      <c r="D13" s="161"/>
      <c r="E13" s="161"/>
      <c r="F13" s="161"/>
      <c r="G13" s="161"/>
      <c r="H13" s="161"/>
      <c r="I13" s="161"/>
      <c r="J13" s="161"/>
      <c r="K13" s="161"/>
      <c r="L13" s="161"/>
      <c r="M13" s="161"/>
      <c r="P13" s="77" t="s">
        <v>287</v>
      </c>
      <c r="Q13" s="161">
        <v>1</v>
      </c>
      <c r="R13" s="161"/>
      <c r="S13" s="161"/>
      <c r="T13" s="161"/>
      <c r="U13" s="161"/>
      <c r="V13" s="161"/>
      <c r="W13" s="161"/>
      <c r="X13" s="161"/>
      <c r="Y13" s="161"/>
      <c r="Z13" s="161"/>
      <c r="AA13" s="161"/>
      <c r="AB13" s="161"/>
    </row>
    <row r="14" spans="1:28" x14ac:dyDescent="0.25">
      <c r="A14" s="77" t="s">
        <v>289</v>
      </c>
      <c r="B14" s="161">
        <v>409</v>
      </c>
      <c r="C14" s="161"/>
      <c r="D14" s="161"/>
      <c r="E14" s="161"/>
      <c r="F14" s="161"/>
      <c r="G14" s="161"/>
      <c r="H14" s="161"/>
      <c r="I14" s="161"/>
      <c r="J14" s="161"/>
      <c r="K14" s="161"/>
      <c r="L14" s="161"/>
      <c r="M14" s="161"/>
      <c r="P14" s="77" t="s">
        <v>289</v>
      </c>
      <c r="Q14" s="161">
        <v>409</v>
      </c>
      <c r="R14" s="161"/>
      <c r="S14" s="161"/>
      <c r="T14" s="161"/>
      <c r="U14" s="161"/>
      <c r="V14" s="161"/>
      <c r="W14" s="161"/>
      <c r="X14" s="161"/>
      <c r="Y14" s="161"/>
      <c r="Z14" s="161"/>
      <c r="AA14" s="161"/>
      <c r="AB14" s="161"/>
    </row>
    <row r="15" spans="1:28" x14ac:dyDescent="0.25">
      <c r="A15" s="77" t="s">
        <v>291</v>
      </c>
      <c r="B15" s="161" t="s">
        <v>440</v>
      </c>
      <c r="C15" s="161"/>
      <c r="D15" s="161"/>
      <c r="E15" s="161"/>
      <c r="F15" s="161"/>
      <c r="G15" s="161"/>
      <c r="H15" s="161"/>
      <c r="I15" s="161"/>
      <c r="J15" s="161"/>
      <c r="K15" s="161"/>
      <c r="L15" s="161"/>
      <c r="M15" s="161"/>
      <c r="P15" s="77" t="s">
        <v>291</v>
      </c>
      <c r="Q15" s="161" t="s">
        <v>443</v>
      </c>
      <c r="R15" s="161"/>
      <c r="S15" s="161"/>
      <c r="T15" s="161"/>
      <c r="U15" s="161"/>
      <c r="V15" s="161"/>
      <c r="W15" s="161"/>
      <c r="X15" s="161"/>
      <c r="Y15" s="161"/>
      <c r="Z15" s="161"/>
      <c r="AA15" s="161"/>
      <c r="AB15" s="161"/>
    </row>
    <row r="16" spans="1:28" x14ac:dyDescent="0.25">
      <c r="A16" s="77" t="s">
        <v>293</v>
      </c>
      <c r="B16" s="161" t="s">
        <v>441</v>
      </c>
      <c r="C16" s="161"/>
      <c r="D16" s="161"/>
      <c r="E16" s="161"/>
      <c r="F16" s="161"/>
      <c r="G16" s="161"/>
      <c r="H16" s="161"/>
      <c r="I16" s="161"/>
      <c r="J16" s="161"/>
      <c r="K16" s="161"/>
      <c r="L16" s="161"/>
      <c r="M16" s="161"/>
      <c r="P16" s="77" t="s">
        <v>293</v>
      </c>
      <c r="Q16" s="161" t="s">
        <v>444</v>
      </c>
      <c r="R16" s="161"/>
      <c r="S16" s="161"/>
      <c r="T16" s="161"/>
      <c r="U16" s="161"/>
      <c r="V16" s="161"/>
      <c r="W16" s="161"/>
      <c r="X16" s="161"/>
      <c r="Y16" s="161"/>
      <c r="Z16" s="161"/>
      <c r="AA16" s="161"/>
      <c r="AB16" s="161"/>
    </row>
    <row r="17" spans="1:28" x14ac:dyDescent="0.25">
      <c r="A17" s="74" t="s">
        <v>760</v>
      </c>
      <c r="B17" s="161"/>
      <c r="C17" s="161"/>
      <c r="D17" s="161"/>
      <c r="E17" s="161"/>
      <c r="F17" s="161"/>
      <c r="G17" s="161"/>
      <c r="H17" s="161"/>
      <c r="I17" s="161"/>
      <c r="J17" s="161"/>
      <c r="K17" s="161"/>
      <c r="L17" s="161"/>
      <c r="M17" s="161"/>
      <c r="P17" s="74" t="s">
        <v>760</v>
      </c>
      <c r="Q17" s="161"/>
      <c r="R17" s="161"/>
      <c r="S17" s="161"/>
      <c r="T17" s="161"/>
      <c r="U17" s="161"/>
      <c r="V17" s="161"/>
      <c r="W17" s="161"/>
      <c r="X17" s="161"/>
      <c r="Y17" s="161"/>
      <c r="Z17" s="161"/>
      <c r="AA17" s="161"/>
      <c r="AB17" s="161"/>
    </row>
    <row r="18" spans="1:28" x14ac:dyDescent="0.25">
      <c r="A18" s="77" t="s">
        <v>297</v>
      </c>
      <c r="B18" s="163">
        <v>45107</v>
      </c>
      <c r="C18" s="161"/>
      <c r="D18" s="161"/>
      <c r="E18" s="161"/>
      <c r="F18" s="161"/>
      <c r="G18" s="161"/>
      <c r="H18" s="161"/>
      <c r="I18" s="161"/>
      <c r="J18" s="161"/>
      <c r="K18" s="161"/>
      <c r="L18" s="161"/>
      <c r="M18" s="161"/>
      <c r="P18" s="77" t="s">
        <v>297</v>
      </c>
      <c r="Q18" s="163">
        <v>45107</v>
      </c>
      <c r="R18" s="161"/>
      <c r="S18" s="161"/>
      <c r="T18" s="161"/>
      <c r="U18" s="161"/>
      <c r="V18" s="161"/>
      <c r="W18" s="161"/>
      <c r="X18" s="161"/>
      <c r="Y18" s="161"/>
      <c r="Z18" s="161"/>
      <c r="AA18" s="161"/>
      <c r="AB18" s="161"/>
    </row>
    <row r="19" spans="1:28" x14ac:dyDescent="0.25">
      <c r="A19" s="77" t="s">
        <v>299</v>
      </c>
      <c r="B19" s="163">
        <v>45110</v>
      </c>
      <c r="C19" s="161"/>
      <c r="D19" s="161"/>
      <c r="E19" s="161"/>
      <c r="F19" s="161"/>
      <c r="G19" s="161"/>
      <c r="H19" s="161"/>
      <c r="I19" s="161"/>
      <c r="J19" s="161"/>
      <c r="K19" s="161"/>
      <c r="L19" s="161"/>
      <c r="M19" s="161"/>
      <c r="P19" s="77" t="s">
        <v>299</v>
      </c>
      <c r="Q19" s="163">
        <v>45110</v>
      </c>
      <c r="R19" s="161"/>
      <c r="S19" s="161"/>
      <c r="T19" s="161"/>
      <c r="U19" s="161"/>
      <c r="V19" s="161"/>
      <c r="W19" s="161"/>
      <c r="X19" s="161"/>
      <c r="Y19" s="161"/>
      <c r="Z19" s="161"/>
      <c r="AA19" s="161"/>
      <c r="AB19" s="161"/>
    </row>
    <row r="20" spans="1:28" x14ac:dyDescent="0.25">
      <c r="A20" s="77" t="s">
        <v>301</v>
      </c>
      <c r="B20" s="161" t="s">
        <v>314</v>
      </c>
      <c r="C20" s="161"/>
      <c r="D20" s="161"/>
      <c r="E20" s="161"/>
      <c r="F20" s="161"/>
      <c r="G20" s="161"/>
      <c r="H20" s="161"/>
      <c r="I20" s="161"/>
      <c r="J20" s="161"/>
      <c r="K20" s="161"/>
      <c r="L20" s="161"/>
      <c r="M20" s="161"/>
      <c r="P20" s="77" t="s">
        <v>301</v>
      </c>
      <c r="Q20" s="161" t="s">
        <v>314</v>
      </c>
      <c r="R20" s="161"/>
      <c r="S20" s="161"/>
      <c r="T20" s="161"/>
      <c r="U20" s="161"/>
      <c r="V20" s="161"/>
      <c r="W20" s="161"/>
      <c r="X20" s="161"/>
      <c r="Y20" s="161"/>
      <c r="Z20" s="161"/>
      <c r="AA20" s="161"/>
      <c r="AB20" s="161"/>
    </row>
    <row r="21" spans="1:28" x14ac:dyDescent="0.25">
      <c r="A21" s="77" t="s">
        <v>307</v>
      </c>
      <c r="B21" s="161" t="s">
        <v>315</v>
      </c>
      <c r="C21" s="161"/>
      <c r="D21" s="161"/>
      <c r="E21" s="161"/>
      <c r="F21" s="161"/>
      <c r="G21" s="161"/>
      <c r="H21" s="161"/>
      <c r="I21" s="161"/>
      <c r="J21" s="161"/>
      <c r="K21" s="161"/>
      <c r="L21" s="161"/>
      <c r="M21" s="161"/>
      <c r="P21" s="77" t="s">
        <v>307</v>
      </c>
      <c r="Q21" s="161" t="s">
        <v>315</v>
      </c>
      <c r="R21" s="161"/>
      <c r="S21" s="161"/>
      <c r="T21" s="161"/>
      <c r="U21" s="161"/>
      <c r="V21" s="161"/>
      <c r="W21" s="161"/>
      <c r="X21" s="161"/>
      <c r="Y21" s="161"/>
      <c r="Z21" s="161"/>
      <c r="AA21" s="161"/>
      <c r="AB21" s="161"/>
    </row>
    <row r="23" spans="1:28" x14ac:dyDescent="0.25">
      <c r="B23" s="100" t="str">
        <f>HYPERLINK("#'Factor List'!A1","Back to Factor List")</f>
        <v>Back to Factor List</v>
      </c>
    </row>
    <row r="24" spans="1:28" x14ac:dyDescent="0.25">
      <c r="B24" s="100" t="s">
        <v>13</v>
      </c>
    </row>
    <row r="26" spans="1:28" ht="13" x14ac:dyDescent="0.25">
      <c r="A26" s="79" t="s">
        <v>803</v>
      </c>
      <c r="B26" s="79">
        <v>0</v>
      </c>
      <c r="C26" s="79">
        <v>1</v>
      </c>
      <c r="D26" s="79">
        <v>2</v>
      </c>
      <c r="E26" s="79">
        <v>3</v>
      </c>
      <c r="F26" s="79">
        <v>4</v>
      </c>
      <c r="G26" s="79">
        <v>5</v>
      </c>
      <c r="H26" s="79">
        <v>6</v>
      </c>
      <c r="I26" s="79">
        <v>7</v>
      </c>
      <c r="J26" s="79">
        <v>8</v>
      </c>
      <c r="K26" s="79">
        <v>9</v>
      </c>
      <c r="L26" s="79">
        <v>10</v>
      </c>
      <c r="M26" s="79">
        <v>11</v>
      </c>
      <c r="P26" s="97" t="s">
        <v>803</v>
      </c>
      <c r="Q26" s="97">
        <v>0</v>
      </c>
      <c r="R26" s="97">
        <v>1</v>
      </c>
      <c r="S26" s="97">
        <v>2</v>
      </c>
      <c r="T26" s="97">
        <v>3</v>
      </c>
      <c r="U26" s="97">
        <v>4</v>
      </c>
      <c r="V26" s="97">
        <v>5</v>
      </c>
      <c r="W26" s="97">
        <v>6</v>
      </c>
      <c r="X26" s="97">
        <v>7</v>
      </c>
      <c r="Y26" s="97">
        <v>8</v>
      </c>
      <c r="Z26" s="97">
        <v>9</v>
      </c>
      <c r="AA26" s="97">
        <v>10</v>
      </c>
      <c r="AB26" s="97">
        <v>11</v>
      </c>
    </row>
    <row r="27" spans="1:28" x14ac:dyDescent="0.25">
      <c r="A27" s="80">
        <v>50</v>
      </c>
      <c r="B27" s="81">
        <v>0.19800000000000001</v>
      </c>
      <c r="C27" s="81">
        <v>0.19500000000000001</v>
      </c>
      <c r="D27" s="81">
        <v>0.192</v>
      </c>
      <c r="E27" s="81">
        <v>0.188</v>
      </c>
      <c r="F27" s="81">
        <v>0.185</v>
      </c>
      <c r="G27" s="81">
        <v>0.182</v>
      </c>
      <c r="H27" s="81">
        <v>0.17799999999999999</v>
      </c>
      <c r="I27" s="81">
        <v>0.17499999999999999</v>
      </c>
      <c r="J27" s="81">
        <v>0.17199999999999999</v>
      </c>
      <c r="K27" s="81">
        <v>0.16900000000000001</v>
      </c>
      <c r="L27" s="81">
        <v>0.16500000000000001</v>
      </c>
      <c r="M27" s="81">
        <v>0.16200000000000001</v>
      </c>
      <c r="P27" s="98">
        <v>50</v>
      </c>
      <c r="Q27" s="103">
        <v>0.98499999999999999</v>
      </c>
      <c r="R27" s="103">
        <v>0.98699999999999999</v>
      </c>
      <c r="S27" s="103">
        <v>0.98899999999999999</v>
      </c>
      <c r="T27" s="103">
        <v>0.99</v>
      </c>
      <c r="U27" s="103">
        <v>0.99199999999999999</v>
      </c>
      <c r="V27" s="103">
        <v>0.99399999999999999</v>
      </c>
      <c r="W27" s="103">
        <v>0.995</v>
      </c>
      <c r="X27" s="103">
        <v>0.997</v>
      </c>
      <c r="Y27" s="103">
        <v>0.999</v>
      </c>
      <c r="Z27" s="103">
        <v>1</v>
      </c>
      <c r="AA27" s="103">
        <v>1.002</v>
      </c>
      <c r="AB27" s="103">
        <v>1.0029999999999999</v>
      </c>
    </row>
    <row r="28" spans="1:28" x14ac:dyDescent="0.25">
      <c r="A28" s="80">
        <v>51</v>
      </c>
      <c r="B28" s="81">
        <v>0.159</v>
      </c>
      <c r="C28" s="81">
        <v>0.155</v>
      </c>
      <c r="D28" s="81">
        <v>0.152</v>
      </c>
      <c r="E28" s="81">
        <v>0.14899999999999999</v>
      </c>
      <c r="F28" s="81">
        <v>0.14599999999999999</v>
      </c>
      <c r="G28" s="81">
        <v>0.14199999999999999</v>
      </c>
      <c r="H28" s="81">
        <v>0.13900000000000001</v>
      </c>
      <c r="I28" s="81">
        <v>0.13600000000000001</v>
      </c>
      <c r="J28" s="81">
        <v>0.13200000000000001</v>
      </c>
      <c r="K28" s="81">
        <v>0.129</v>
      </c>
      <c r="L28" s="81">
        <v>0.126</v>
      </c>
      <c r="M28" s="81">
        <v>0.122</v>
      </c>
      <c r="P28" s="98">
        <v>51</v>
      </c>
      <c r="Q28" s="103">
        <v>1.0049999999999999</v>
      </c>
      <c r="R28" s="103">
        <v>1.0069999999999999</v>
      </c>
      <c r="S28" s="103">
        <v>1.008</v>
      </c>
      <c r="T28" s="103">
        <v>1.01</v>
      </c>
      <c r="U28" s="103">
        <v>1.012</v>
      </c>
      <c r="V28" s="103">
        <v>1.0129999999999999</v>
      </c>
      <c r="W28" s="103">
        <v>1.0149999999999999</v>
      </c>
      <c r="X28" s="103">
        <v>1.0169999999999999</v>
      </c>
      <c r="Y28" s="103">
        <v>1.018</v>
      </c>
      <c r="Z28" s="103">
        <v>1.02</v>
      </c>
      <c r="AA28" s="103">
        <v>1.022</v>
      </c>
      <c r="AB28" s="103">
        <v>1.024</v>
      </c>
    </row>
    <row r="29" spans="1:28" x14ac:dyDescent="0.25">
      <c r="A29" s="80">
        <v>52</v>
      </c>
      <c r="B29" s="81">
        <v>0.11899999999999999</v>
      </c>
      <c r="C29" s="81">
        <v>0.11600000000000001</v>
      </c>
      <c r="D29" s="81">
        <v>0.113</v>
      </c>
      <c r="E29" s="81">
        <v>0.109</v>
      </c>
      <c r="F29" s="81">
        <v>0.106</v>
      </c>
      <c r="G29" s="81">
        <v>0.10299999999999999</v>
      </c>
      <c r="H29" s="81">
        <v>9.9000000000000005E-2</v>
      </c>
      <c r="I29" s="81">
        <v>9.6000000000000002E-2</v>
      </c>
      <c r="J29" s="81">
        <v>9.2999999999999999E-2</v>
      </c>
      <c r="K29" s="81">
        <v>8.8999999999999996E-2</v>
      </c>
      <c r="L29" s="81">
        <v>8.5999999999999993E-2</v>
      </c>
      <c r="M29" s="81">
        <v>8.3000000000000004E-2</v>
      </c>
      <c r="P29" s="98">
        <v>52</v>
      </c>
      <c r="Q29" s="103">
        <v>1.0249999999999999</v>
      </c>
      <c r="R29" s="103">
        <v>1.0269999999999999</v>
      </c>
      <c r="S29" s="103">
        <v>1.0289999999999999</v>
      </c>
      <c r="T29" s="103">
        <v>1.03</v>
      </c>
      <c r="U29" s="103">
        <v>1.032</v>
      </c>
      <c r="V29" s="103">
        <v>1.034</v>
      </c>
      <c r="W29" s="103">
        <v>1.0349999999999999</v>
      </c>
      <c r="X29" s="103">
        <v>1.0369999999999999</v>
      </c>
      <c r="Y29" s="103">
        <v>1.0389999999999999</v>
      </c>
      <c r="Z29" s="103">
        <v>1.0409999999999999</v>
      </c>
      <c r="AA29" s="103">
        <v>1.042</v>
      </c>
      <c r="AB29" s="103">
        <v>1.044</v>
      </c>
    </row>
    <row r="30" spans="1:28" x14ac:dyDescent="0.25">
      <c r="A30" s="80">
        <v>53</v>
      </c>
      <c r="B30" s="81">
        <v>0.08</v>
      </c>
      <c r="C30" s="81">
        <v>7.5999999999999998E-2</v>
      </c>
      <c r="D30" s="81">
        <v>7.2999999999999995E-2</v>
      </c>
      <c r="E30" s="81">
        <v>7.0000000000000007E-2</v>
      </c>
      <c r="F30" s="81">
        <v>6.6000000000000003E-2</v>
      </c>
      <c r="G30" s="81">
        <v>6.3E-2</v>
      </c>
      <c r="H30" s="81">
        <v>0.06</v>
      </c>
      <c r="I30" s="81">
        <v>5.6000000000000001E-2</v>
      </c>
      <c r="J30" s="81">
        <v>5.2999999999999999E-2</v>
      </c>
      <c r="K30" s="81">
        <v>0.05</v>
      </c>
      <c r="L30" s="81">
        <v>4.5999999999999999E-2</v>
      </c>
      <c r="M30" s="81">
        <v>4.2999999999999997E-2</v>
      </c>
      <c r="P30" s="98">
        <v>53</v>
      </c>
      <c r="Q30" s="103">
        <v>1.046</v>
      </c>
      <c r="R30" s="103">
        <v>1.0469999999999999</v>
      </c>
      <c r="S30" s="103">
        <v>1.0489999999999999</v>
      </c>
      <c r="T30" s="103">
        <v>1.0509999999999999</v>
      </c>
      <c r="U30" s="103">
        <v>1.0529999999999999</v>
      </c>
      <c r="V30" s="103">
        <v>1.054</v>
      </c>
      <c r="W30" s="103">
        <v>1.056</v>
      </c>
      <c r="X30" s="103">
        <v>1.0580000000000001</v>
      </c>
      <c r="Y30" s="103">
        <v>1.06</v>
      </c>
      <c r="Z30" s="103">
        <v>1.0609999999999999</v>
      </c>
      <c r="AA30" s="103">
        <v>1.0629999999999999</v>
      </c>
      <c r="AB30" s="103">
        <v>1.0649999999999999</v>
      </c>
    </row>
    <row r="31" spans="1:28" x14ac:dyDescent="0.25">
      <c r="A31" s="80">
        <v>54</v>
      </c>
      <c r="B31" s="81">
        <v>0.04</v>
      </c>
      <c r="C31" s="81">
        <v>3.6999999999999998E-2</v>
      </c>
      <c r="D31" s="81">
        <v>3.3000000000000002E-2</v>
      </c>
      <c r="E31" s="81">
        <v>0.03</v>
      </c>
      <c r="F31" s="81">
        <v>2.7E-2</v>
      </c>
      <c r="G31" s="81">
        <v>2.3E-2</v>
      </c>
      <c r="H31" s="81">
        <v>0.02</v>
      </c>
      <c r="I31" s="81">
        <v>1.7000000000000001E-2</v>
      </c>
      <c r="J31" s="81">
        <v>1.2999999999999999E-2</v>
      </c>
      <c r="K31" s="81">
        <v>0.01</v>
      </c>
      <c r="L31" s="81">
        <v>7.0000000000000001E-3</v>
      </c>
      <c r="M31" s="81">
        <v>3.0000000000000001E-3</v>
      </c>
      <c r="P31" s="98">
        <v>54</v>
      </c>
      <c r="Q31" s="103">
        <v>1.0669999999999999</v>
      </c>
      <c r="R31" s="103">
        <v>1.0680000000000001</v>
      </c>
      <c r="S31" s="103">
        <v>1.07</v>
      </c>
      <c r="T31" s="103">
        <v>1.0720000000000001</v>
      </c>
      <c r="U31" s="103">
        <v>1.0740000000000001</v>
      </c>
      <c r="V31" s="103">
        <v>1.075</v>
      </c>
      <c r="W31" s="103">
        <v>1.077</v>
      </c>
      <c r="X31" s="103">
        <v>1.079</v>
      </c>
      <c r="Y31" s="103">
        <v>1.081</v>
      </c>
      <c r="Z31" s="103">
        <v>1.083</v>
      </c>
      <c r="AA31" s="103">
        <v>1.0840000000000001</v>
      </c>
      <c r="AB31" s="103">
        <v>1.0860000000000001</v>
      </c>
    </row>
    <row r="32" spans="1:28" x14ac:dyDescent="0.25">
      <c r="A32" s="80">
        <v>55</v>
      </c>
      <c r="B32" s="81">
        <v>0</v>
      </c>
      <c r="C32" s="81"/>
      <c r="D32" s="81"/>
      <c r="E32" s="81"/>
      <c r="F32" s="81"/>
      <c r="G32" s="81"/>
      <c r="H32" s="81"/>
      <c r="I32" s="81"/>
      <c r="J32" s="81"/>
      <c r="K32" s="81"/>
      <c r="L32" s="81"/>
      <c r="M32" s="81"/>
      <c r="P32" s="98">
        <v>55</v>
      </c>
      <c r="Q32" s="103">
        <v>1.0880000000000001</v>
      </c>
      <c r="R32" s="103"/>
      <c r="S32" s="103"/>
      <c r="T32" s="103"/>
      <c r="U32" s="103"/>
      <c r="V32" s="103"/>
      <c r="W32" s="103"/>
      <c r="X32" s="103"/>
      <c r="Y32" s="103"/>
      <c r="Z32" s="103"/>
      <c r="AA32" s="103"/>
      <c r="AB32" s="103"/>
    </row>
    <row r="44" ht="39.65" customHeight="1" x14ac:dyDescent="0.25"/>
    <row r="46" ht="27.65" customHeight="1" x14ac:dyDescent="0.25"/>
  </sheetData>
  <sheetProtection algorithmName="SHA-512" hashValue="B89PF12oxM9ijgPCfdsnNVcJlzkDXRT8t5PtGuH1padhlkm3k3QHGCuzaFT/8sBbEfAB61Ol2ksr+IjTlCVNsQ==" saltValue="wl+4vYpqLfv2UACp3CbkdA==" spinCount="100000" sheet="1" objects="1" scenarios="1"/>
  <conditionalFormatting sqref="A6:A21">
    <cfRule type="expression" dxfId="821" priority="25" stopIfTrue="1">
      <formula>MOD(ROW(),2)=0</formula>
    </cfRule>
    <cfRule type="expression" dxfId="820" priority="26" stopIfTrue="1">
      <formula>MOD(ROW(),2)&lt;&gt;0</formula>
    </cfRule>
  </conditionalFormatting>
  <conditionalFormatting sqref="A26:A32">
    <cfRule type="expression" dxfId="819" priority="3" stopIfTrue="1">
      <formula>MOD(ROW(),2)=0</formula>
    </cfRule>
    <cfRule type="expression" dxfId="818" priority="4" stopIfTrue="1">
      <formula>MOD(ROW(),2)&lt;&gt;0</formula>
    </cfRule>
  </conditionalFormatting>
  <conditionalFormatting sqref="B17:B21">
    <cfRule type="expression" dxfId="817" priority="17" stopIfTrue="1">
      <formula>MOD(ROW(),2)=0</formula>
    </cfRule>
    <cfRule type="expression" dxfId="816" priority="18" stopIfTrue="1">
      <formula>MOD(ROW(),2)&lt;&gt;0</formula>
    </cfRule>
  </conditionalFormatting>
  <conditionalFormatting sqref="B6:M21">
    <cfRule type="expression" dxfId="815" priority="33" stopIfTrue="1">
      <formula>MOD(ROW(),2)=0</formula>
    </cfRule>
    <cfRule type="expression" dxfId="814" priority="34" stopIfTrue="1">
      <formula>MOD(ROW(),2)&lt;&gt;0</formula>
    </cfRule>
  </conditionalFormatting>
  <conditionalFormatting sqref="B26:M32">
    <cfRule type="expression" dxfId="813" priority="5" stopIfTrue="1">
      <formula>MOD(ROW(),2)=0</formula>
    </cfRule>
    <cfRule type="expression" dxfId="812" priority="6" stopIfTrue="1">
      <formula>MOD(ROW(),2)&lt;&gt;0</formula>
    </cfRule>
  </conditionalFormatting>
  <conditionalFormatting sqref="P6:P21">
    <cfRule type="expression" dxfId="811" priority="21" stopIfTrue="1">
      <formula>MOD(ROW(),2)=0</formula>
    </cfRule>
    <cfRule type="expression" dxfId="810" priority="22" stopIfTrue="1">
      <formula>MOD(ROW(),2)&lt;&gt;0</formula>
    </cfRule>
  </conditionalFormatting>
  <conditionalFormatting sqref="P26:P32">
    <cfRule type="expression" dxfId="809" priority="7" stopIfTrue="1">
      <formula>MOD(ROW(),2)=0</formula>
    </cfRule>
    <cfRule type="expression" dxfId="808" priority="8" stopIfTrue="1">
      <formula>MOD(ROW(),2)&lt;&gt;0</formula>
    </cfRule>
  </conditionalFormatting>
  <conditionalFormatting sqref="Q17:Q21">
    <cfRule type="expression" dxfId="807" priority="1" stopIfTrue="1">
      <formula>MOD(ROW(),2)=0</formula>
    </cfRule>
    <cfRule type="expression" dxfId="806" priority="2" stopIfTrue="1">
      <formula>MOD(ROW(),2)&lt;&gt;0</formula>
    </cfRule>
  </conditionalFormatting>
  <conditionalFormatting sqref="Q6:AB21">
    <cfRule type="expression" dxfId="805" priority="41" stopIfTrue="1">
      <formula>MOD(ROW(),2)=0</formula>
    </cfRule>
    <cfRule type="expression" dxfId="804" priority="42" stopIfTrue="1">
      <formula>MOD(ROW(),2)&lt;&gt;0</formula>
    </cfRule>
  </conditionalFormatting>
  <conditionalFormatting sqref="Q26:AB32">
    <cfRule type="expression" dxfId="803" priority="9" stopIfTrue="1">
      <formula>MOD(ROW(),2)=0</formula>
    </cfRule>
    <cfRule type="expression" dxfId="802" priority="10" stopIfTrue="1">
      <formula>MOD(ROW(),2)&lt;&gt;0</formula>
    </cfRule>
  </conditionalFormatting>
  <hyperlinks>
    <hyperlink ref="B24" location="Assumptions!A1" display="Assumptions" xr:uid="{B8EE60AD-D5E5-4B64-9588-CB2660BA16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4"/>
  <dimension ref="A1:AB46"/>
  <sheetViews>
    <sheetView showGridLines="0" zoomScale="85" zoomScaleNormal="85" workbookViewId="0">
      <selection activeCell="H39" sqref="H39"/>
    </sheetView>
  </sheetViews>
  <sheetFormatPr defaultColWidth="10" defaultRowHeight="12.5" x14ac:dyDescent="0.25"/>
  <cols>
    <col min="1" max="1" width="31.54296875" style="26" customWidth="1"/>
    <col min="2" max="13" width="22.54296875" style="26" customWidth="1"/>
    <col min="14" max="15" width="10" style="26"/>
    <col min="16" max="16" width="31.54296875" style="26" customWidth="1"/>
    <col min="17" max="28" width="22.54296875" style="26" customWidth="1"/>
    <col min="29" max="16384" width="10" style="26"/>
  </cols>
  <sheetData>
    <row r="1" spans="1:28" ht="20" x14ac:dyDescent="0.4">
      <c r="A1" s="37" t="s">
        <v>0</v>
      </c>
      <c r="B1" s="38"/>
      <c r="C1" s="38"/>
      <c r="D1" s="38"/>
      <c r="E1" s="38"/>
      <c r="F1" s="38"/>
      <c r="G1" s="38"/>
      <c r="H1" s="38"/>
      <c r="I1" s="38"/>
    </row>
    <row r="2" spans="1:28" ht="15.5" x14ac:dyDescent="0.35">
      <c r="A2" s="39" t="str">
        <f>IF(title="&gt; Enter workbook title here","Enter workbook title in Cover sheet",title)</f>
        <v>NHSPS_S - Consolidated Factor Spreadsheet</v>
      </c>
      <c r="B2" s="40"/>
      <c r="C2" s="40"/>
      <c r="D2" s="40"/>
      <c r="E2" s="40"/>
      <c r="F2" s="40"/>
      <c r="G2" s="40"/>
      <c r="H2" s="40"/>
      <c r="I2" s="40"/>
    </row>
    <row r="3" spans="1:28" ht="15.5" x14ac:dyDescent="0.35">
      <c r="A3" s="41" t="str">
        <f>TABLE_FACTOR_TYPE_1&amp;" - x-"&amp;TABLE_SERIES_NUMBER_1</f>
        <v>ERF - x-410</v>
      </c>
      <c r="B3" s="40"/>
      <c r="C3" s="40"/>
      <c r="D3" s="40"/>
      <c r="E3" s="40"/>
      <c r="F3" s="40"/>
      <c r="G3" s="40"/>
      <c r="H3" s="40"/>
      <c r="I3" s="40"/>
    </row>
    <row r="4" spans="1:28" x14ac:dyDescent="0.25">
      <c r="A4" s="42"/>
    </row>
    <row r="6" spans="1:28" ht="13" x14ac:dyDescent="0.3">
      <c r="A6" s="75" t="s">
        <v>274</v>
      </c>
      <c r="B6" s="161" t="s">
        <v>275</v>
      </c>
      <c r="C6" s="161"/>
      <c r="D6" s="161"/>
      <c r="E6" s="161"/>
      <c r="F6" s="161"/>
      <c r="G6" s="161"/>
      <c r="H6" s="161"/>
      <c r="I6" s="161"/>
      <c r="J6" s="161"/>
      <c r="K6" s="161"/>
      <c r="L6" s="161"/>
      <c r="M6" s="161"/>
      <c r="P6" s="75" t="s">
        <v>274</v>
      </c>
      <c r="Q6" s="161" t="s">
        <v>275</v>
      </c>
      <c r="R6" s="161"/>
      <c r="S6" s="161"/>
      <c r="T6" s="161"/>
      <c r="U6" s="161"/>
      <c r="V6" s="161"/>
      <c r="W6" s="161"/>
      <c r="X6" s="161"/>
      <c r="Y6" s="161"/>
      <c r="Z6" s="161"/>
      <c r="AA6" s="161"/>
      <c r="AB6" s="161"/>
    </row>
    <row r="7" spans="1:28" x14ac:dyDescent="0.25">
      <c r="A7" s="77" t="s">
        <v>276</v>
      </c>
      <c r="B7" s="161" t="s">
        <v>72</v>
      </c>
      <c r="C7" s="161"/>
      <c r="D7" s="161"/>
      <c r="E7" s="161"/>
      <c r="F7" s="161"/>
      <c r="G7" s="161"/>
      <c r="H7" s="161"/>
      <c r="I7" s="161"/>
      <c r="J7" s="161"/>
      <c r="K7" s="161"/>
      <c r="L7" s="161"/>
      <c r="M7" s="161"/>
      <c r="P7" s="77" t="s">
        <v>276</v>
      </c>
      <c r="Q7" s="161" t="s">
        <v>72</v>
      </c>
      <c r="R7" s="161"/>
      <c r="S7" s="161"/>
      <c r="T7" s="161"/>
      <c r="U7" s="161"/>
      <c r="V7" s="161"/>
      <c r="W7" s="161"/>
      <c r="X7" s="161"/>
      <c r="Y7" s="161"/>
      <c r="Z7" s="161"/>
      <c r="AA7" s="161"/>
      <c r="AB7" s="161"/>
    </row>
    <row r="8" spans="1:28" x14ac:dyDescent="0.25">
      <c r="A8" s="77" t="s">
        <v>278</v>
      </c>
      <c r="B8" s="161" t="s">
        <v>74</v>
      </c>
      <c r="C8" s="161"/>
      <c r="D8" s="161"/>
      <c r="E8" s="161"/>
      <c r="F8" s="161"/>
      <c r="G8" s="161"/>
      <c r="H8" s="161"/>
      <c r="I8" s="161"/>
      <c r="J8" s="161"/>
      <c r="K8" s="161"/>
      <c r="L8" s="161"/>
      <c r="M8" s="161"/>
      <c r="P8" s="77" t="s">
        <v>278</v>
      </c>
      <c r="Q8" s="161" t="s">
        <v>74</v>
      </c>
      <c r="R8" s="161"/>
      <c r="S8" s="161"/>
      <c r="T8" s="161"/>
      <c r="U8" s="161"/>
      <c r="V8" s="161"/>
      <c r="W8" s="161"/>
      <c r="X8" s="161"/>
      <c r="Y8" s="161"/>
      <c r="Z8" s="161"/>
      <c r="AA8" s="161"/>
      <c r="AB8" s="161"/>
    </row>
    <row r="9" spans="1:28" x14ac:dyDescent="0.25">
      <c r="A9" s="77" t="s">
        <v>280</v>
      </c>
      <c r="B9" s="161" t="s">
        <v>405</v>
      </c>
      <c r="C9" s="161"/>
      <c r="D9" s="161"/>
      <c r="E9" s="161"/>
      <c r="F9" s="161"/>
      <c r="G9" s="161"/>
      <c r="H9" s="161"/>
      <c r="I9" s="161"/>
      <c r="J9" s="161"/>
      <c r="K9" s="161"/>
      <c r="L9" s="161"/>
      <c r="M9" s="161"/>
      <c r="P9" s="77" t="s">
        <v>280</v>
      </c>
      <c r="Q9" s="161" t="s">
        <v>405</v>
      </c>
      <c r="R9" s="161"/>
      <c r="S9" s="161"/>
      <c r="T9" s="161"/>
      <c r="U9" s="161"/>
      <c r="V9" s="161"/>
      <c r="W9" s="161"/>
      <c r="X9" s="161"/>
      <c r="Y9" s="161"/>
      <c r="Z9" s="161"/>
      <c r="AA9" s="161"/>
      <c r="AB9" s="161"/>
    </row>
    <row r="10" spans="1:28" x14ac:dyDescent="0.25">
      <c r="A10" s="77" t="s">
        <v>6</v>
      </c>
      <c r="B10" s="161" t="s">
        <v>445</v>
      </c>
      <c r="C10" s="161"/>
      <c r="D10" s="161"/>
      <c r="E10" s="161"/>
      <c r="F10" s="161"/>
      <c r="G10" s="161"/>
      <c r="H10" s="161"/>
      <c r="I10" s="161"/>
      <c r="J10" s="161"/>
      <c r="K10" s="161"/>
      <c r="L10" s="161"/>
      <c r="M10" s="161"/>
      <c r="P10" s="77" t="s">
        <v>6</v>
      </c>
      <c r="Q10" s="161" t="s">
        <v>448</v>
      </c>
      <c r="R10" s="161"/>
      <c r="S10" s="161"/>
      <c r="T10" s="161"/>
      <c r="U10" s="161"/>
      <c r="V10" s="161"/>
      <c r="W10" s="161"/>
      <c r="X10" s="161"/>
      <c r="Y10" s="161"/>
      <c r="Z10" s="161"/>
      <c r="AA10" s="161"/>
      <c r="AB10" s="161"/>
    </row>
    <row r="11" spans="1:28" x14ac:dyDescent="0.25">
      <c r="A11" s="77" t="s">
        <v>283</v>
      </c>
      <c r="B11" s="161" t="s">
        <v>355</v>
      </c>
      <c r="C11" s="161"/>
      <c r="D11" s="161"/>
      <c r="E11" s="161"/>
      <c r="F11" s="161"/>
      <c r="G11" s="161"/>
      <c r="H11" s="161"/>
      <c r="I11" s="161"/>
      <c r="J11" s="161"/>
      <c r="K11" s="161"/>
      <c r="L11" s="161"/>
      <c r="M11" s="161"/>
      <c r="P11" s="77" t="s">
        <v>283</v>
      </c>
      <c r="Q11" s="161" t="s">
        <v>355</v>
      </c>
      <c r="R11" s="161"/>
      <c r="S11" s="161"/>
      <c r="T11" s="161"/>
      <c r="U11" s="161"/>
      <c r="V11" s="161"/>
      <c r="W11" s="161"/>
      <c r="X11" s="161"/>
      <c r="Y11" s="161"/>
      <c r="Z11" s="161"/>
      <c r="AA11" s="161"/>
      <c r="AB11" s="161"/>
    </row>
    <row r="12" spans="1:28" x14ac:dyDescent="0.25">
      <c r="A12" s="77" t="s">
        <v>285</v>
      </c>
      <c r="B12" s="161" t="s">
        <v>407</v>
      </c>
      <c r="C12" s="161"/>
      <c r="D12" s="161"/>
      <c r="E12" s="161"/>
      <c r="F12" s="161"/>
      <c r="G12" s="161"/>
      <c r="H12" s="161"/>
      <c r="I12" s="161"/>
      <c r="J12" s="161"/>
      <c r="K12" s="161"/>
      <c r="L12" s="161"/>
      <c r="M12" s="161"/>
      <c r="P12" s="77" t="s">
        <v>285</v>
      </c>
      <c r="Q12" s="161" t="s">
        <v>407</v>
      </c>
      <c r="R12" s="161"/>
      <c r="S12" s="161"/>
      <c r="T12" s="161"/>
      <c r="U12" s="161"/>
      <c r="V12" s="161"/>
      <c r="W12" s="161"/>
      <c r="X12" s="161"/>
      <c r="Y12" s="161"/>
      <c r="Z12" s="161"/>
      <c r="AA12" s="161"/>
      <c r="AB12" s="161"/>
    </row>
    <row r="13" spans="1:28" x14ac:dyDescent="0.25">
      <c r="A13" s="77" t="s">
        <v>287</v>
      </c>
      <c r="B13" s="161">
        <v>1</v>
      </c>
      <c r="C13" s="161"/>
      <c r="D13" s="161"/>
      <c r="E13" s="161"/>
      <c r="F13" s="161"/>
      <c r="G13" s="161"/>
      <c r="H13" s="161"/>
      <c r="I13" s="161"/>
      <c r="J13" s="161"/>
      <c r="K13" s="161"/>
      <c r="L13" s="161"/>
      <c r="M13" s="161"/>
      <c r="P13" s="77" t="s">
        <v>287</v>
      </c>
      <c r="Q13" s="161">
        <v>1</v>
      </c>
      <c r="R13" s="161"/>
      <c r="S13" s="161"/>
      <c r="T13" s="161"/>
      <c r="U13" s="161"/>
      <c r="V13" s="161"/>
      <c r="W13" s="161"/>
      <c r="X13" s="161"/>
      <c r="Y13" s="161"/>
      <c r="Z13" s="161"/>
      <c r="AA13" s="161"/>
      <c r="AB13" s="161"/>
    </row>
    <row r="14" spans="1:28" x14ac:dyDescent="0.25">
      <c r="A14" s="77" t="s">
        <v>289</v>
      </c>
      <c r="B14" s="161">
        <v>410</v>
      </c>
      <c r="C14" s="161"/>
      <c r="D14" s="161"/>
      <c r="E14" s="161"/>
      <c r="F14" s="161"/>
      <c r="G14" s="161"/>
      <c r="H14" s="161"/>
      <c r="I14" s="161"/>
      <c r="J14" s="161"/>
      <c r="K14" s="161"/>
      <c r="L14" s="161"/>
      <c r="M14" s="161"/>
      <c r="P14" s="77" t="s">
        <v>289</v>
      </c>
      <c r="Q14" s="161">
        <v>410</v>
      </c>
      <c r="R14" s="161"/>
      <c r="S14" s="161"/>
      <c r="T14" s="161"/>
      <c r="U14" s="161"/>
      <c r="V14" s="161"/>
      <c r="W14" s="161"/>
      <c r="X14" s="161"/>
      <c r="Y14" s="161"/>
      <c r="Z14" s="161"/>
      <c r="AA14" s="161"/>
      <c r="AB14" s="161"/>
    </row>
    <row r="15" spans="1:28" x14ac:dyDescent="0.25">
      <c r="A15" s="77" t="s">
        <v>291</v>
      </c>
      <c r="B15" s="161" t="s">
        <v>446</v>
      </c>
      <c r="C15" s="161"/>
      <c r="D15" s="161"/>
      <c r="E15" s="161"/>
      <c r="F15" s="161"/>
      <c r="G15" s="161"/>
      <c r="H15" s="161"/>
      <c r="I15" s="161"/>
      <c r="J15" s="161"/>
      <c r="K15" s="161"/>
      <c r="L15" s="161"/>
      <c r="M15" s="161"/>
      <c r="P15" s="77" t="s">
        <v>291</v>
      </c>
      <c r="Q15" s="161" t="s">
        <v>449</v>
      </c>
      <c r="R15" s="161"/>
      <c r="S15" s="161"/>
      <c r="T15" s="161"/>
      <c r="U15" s="161"/>
      <c r="V15" s="161"/>
      <c r="W15" s="161"/>
      <c r="X15" s="161"/>
      <c r="Y15" s="161"/>
      <c r="Z15" s="161"/>
      <c r="AA15" s="161"/>
      <c r="AB15" s="161"/>
    </row>
    <row r="16" spans="1:28" x14ac:dyDescent="0.25">
      <c r="A16" s="77" t="s">
        <v>293</v>
      </c>
      <c r="B16" s="161" t="s">
        <v>447</v>
      </c>
      <c r="C16" s="161"/>
      <c r="D16" s="161"/>
      <c r="E16" s="161"/>
      <c r="F16" s="161"/>
      <c r="G16" s="161"/>
      <c r="H16" s="161"/>
      <c r="I16" s="161"/>
      <c r="J16" s="161"/>
      <c r="K16" s="161"/>
      <c r="L16" s="161"/>
      <c r="M16" s="161"/>
      <c r="P16" s="77" t="s">
        <v>293</v>
      </c>
      <c r="Q16" s="161" t="s">
        <v>450</v>
      </c>
      <c r="R16" s="161"/>
      <c r="S16" s="161"/>
      <c r="T16" s="161"/>
      <c r="U16" s="161"/>
      <c r="V16" s="161"/>
      <c r="W16" s="161"/>
      <c r="X16" s="161"/>
      <c r="Y16" s="161"/>
      <c r="Z16" s="161"/>
      <c r="AA16" s="161"/>
      <c r="AB16" s="161"/>
    </row>
    <row r="17" spans="1:28" x14ac:dyDescent="0.25">
      <c r="A17" s="74" t="s">
        <v>760</v>
      </c>
      <c r="B17" s="161"/>
      <c r="C17" s="161"/>
      <c r="D17" s="161"/>
      <c r="E17" s="161"/>
      <c r="F17" s="161"/>
      <c r="G17" s="161"/>
      <c r="H17" s="161"/>
      <c r="I17" s="161"/>
      <c r="J17" s="161"/>
      <c r="K17" s="161"/>
      <c r="L17" s="161"/>
      <c r="M17" s="161"/>
      <c r="P17" s="74" t="s">
        <v>760</v>
      </c>
      <c r="Q17" s="161"/>
      <c r="R17" s="161"/>
      <c r="S17" s="161"/>
      <c r="T17" s="161"/>
      <c r="U17" s="161"/>
      <c r="V17" s="161"/>
      <c r="W17" s="161"/>
      <c r="X17" s="161"/>
      <c r="Y17" s="161"/>
      <c r="Z17" s="161"/>
      <c r="AA17" s="161"/>
      <c r="AB17" s="161"/>
    </row>
    <row r="18" spans="1:28" x14ac:dyDescent="0.25">
      <c r="A18" s="77" t="s">
        <v>297</v>
      </c>
      <c r="B18" s="163">
        <v>45107</v>
      </c>
      <c r="C18" s="161"/>
      <c r="D18" s="161"/>
      <c r="E18" s="161"/>
      <c r="F18" s="161"/>
      <c r="G18" s="161"/>
      <c r="H18" s="161"/>
      <c r="I18" s="161"/>
      <c r="J18" s="161"/>
      <c r="K18" s="161"/>
      <c r="L18" s="161"/>
      <c r="M18" s="161"/>
      <c r="P18" s="77" t="s">
        <v>297</v>
      </c>
      <c r="Q18" s="163">
        <v>45107</v>
      </c>
      <c r="R18" s="161"/>
      <c r="S18" s="161"/>
      <c r="T18" s="161"/>
      <c r="U18" s="161"/>
      <c r="V18" s="161"/>
      <c r="W18" s="161"/>
      <c r="X18" s="161"/>
      <c r="Y18" s="161"/>
      <c r="Z18" s="161"/>
      <c r="AA18" s="161"/>
      <c r="AB18" s="161"/>
    </row>
    <row r="19" spans="1:28" x14ac:dyDescent="0.25">
      <c r="A19" s="77" t="s">
        <v>299</v>
      </c>
      <c r="B19" s="163">
        <v>45110</v>
      </c>
      <c r="C19" s="161"/>
      <c r="D19" s="161"/>
      <c r="E19" s="161"/>
      <c r="F19" s="161"/>
      <c r="G19" s="161"/>
      <c r="H19" s="161"/>
      <c r="I19" s="161"/>
      <c r="J19" s="161"/>
      <c r="K19" s="161"/>
      <c r="L19" s="161"/>
      <c r="M19" s="161"/>
      <c r="P19" s="77" t="s">
        <v>299</v>
      </c>
      <c r="Q19" s="163">
        <v>45110</v>
      </c>
      <c r="R19" s="161"/>
      <c r="S19" s="161"/>
      <c r="T19" s="161"/>
      <c r="U19" s="161"/>
      <c r="V19" s="161"/>
      <c r="W19" s="161"/>
      <c r="X19" s="161"/>
      <c r="Y19" s="161"/>
      <c r="Z19" s="161"/>
      <c r="AA19" s="161"/>
      <c r="AB19" s="161"/>
    </row>
    <row r="20" spans="1:28" x14ac:dyDescent="0.25">
      <c r="A20" s="77" t="s">
        <v>301</v>
      </c>
      <c r="B20" s="161" t="s">
        <v>314</v>
      </c>
      <c r="C20" s="161"/>
      <c r="D20" s="161"/>
      <c r="E20" s="161"/>
      <c r="F20" s="161"/>
      <c r="G20" s="161"/>
      <c r="H20" s="161"/>
      <c r="I20" s="161"/>
      <c r="J20" s="161"/>
      <c r="K20" s="161"/>
      <c r="L20" s="161"/>
      <c r="M20" s="161"/>
      <c r="P20" s="77" t="s">
        <v>301</v>
      </c>
      <c r="Q20" s="161" t="s">
        <v>314</v>
      </c>
      <c r="R20" s="161"/>
      <c r="S20" s="161"/>
      <c r="T20" s="161"/>
      <c r="U20" s="161"/>
      <c r="V20" s="161"/>
      <c r="W20" s="161"/>
      <c r="X20" s="161"/>
      <c r="Y20" s="161"/>
      <c r="Z20" s="161"/>
      <c r="AA20" s="161"/>
      <c r="AB20" s="161"/>
    </row>
    <row r="21" spans="1:28" x14ac:dyDescent="0.25">
      <c r="A21" s="77" t="s">
        <v>307</v>
      </c>
      <c r="B21" s="161" t="s">
        <v>315</v>
      </c>
      <c r="C21" s="161"/>
      <c r="D21" s="161"/>
      <c r="E21" s="161"/>
      <c r="F21" s="161"/>
      <c r="G21" s="161"/>
      <c r="H21" s="161"/>
      <c r="I21" s="161"/>
      <c r="J21" s="161"/>
      <c r="K21" s="161"/>
      <c r="L21" s="161"/>
      <c r="M21" s="161"/>
      <c r="P21" s="77" t="s">
        <v>307</v>
      </c>
      <c r="Q21" s="161" t="s">
        <v>315</v>
      </c>
      <c r="R21" s="161"/>
      <c r="S21" s="161"/>
      <c r="T21" s="161"/>
      <c r="U21" s="161"/>
      <c r="V21" s="161"/>
      <c r="W21" s="161"/>
      <c r="X21" s="161"/>
      <c r="Y21" s="161"/>
      <c r="Z21" s="161"/>
      <c r="AA21" s="161"/>
      <c r="AB21" s="161"/>
    </row>
    <row r="23" spans="1:28" x14ac:dyDescent="0.25">
      <c r="B23" s="100" t="str">
        <f>HYPERLINK("#'Factor List'!A1","Back to Factor List")</f>
        <v>Back to Factor List</v>
      </c>
    </row>
    <row r="24" spans="1:28" x14ac:dyDescent="0.25">
      <c r="B24" s="100" t="s">
        <v>13</v>
      </c>
    </row>
    <row r="26" spans="1:28" ht="13" x14ac:dyDescent="0.25">
      <c r="A26" s="79" t="s">
        <v>803</v>
      </c>
      <c r="B26" s="79">
        <v>0</v>
      </c>
      <c r="C26" s="79">
        <v>1</v>
      </c>
      <c r="D26" s="79">
        <v>2</v>
      </c>
      <c r="E26" s="79">
        <v>3</v>
      </c>
      <c r="F26" s="79">
        <v>4</v>
      </c>
      <c r="G26" s="79">
        <v>5</v>
      </c>
      <c r="H26" s="79">
        <v>6</v>
      </c>
      <c r="I26" s="79">
        <v>7</v>
      </c>
      <c r="J26" s="79">
        <v>8</v>
      </c>
      <c r="K26" s="79">
        <v>9</v>
      </c>
      <c r="L26" s="79">
        <v>10</v>
      </c>
      <c r="M26" s="79">
        <v>11</v>
      </c>
      <c r="P26" s="97" t="s">
        <v>803</v>
      </c>
      <c r="Q26" s="97">
        <v>0</v>
      </c>
      <c r="R26" s="97">
        <v>1</v>
      </c>
      <c r="S26" s="97">
        <v>2</v>
      </c>
      <c r="T26" s="97">
        <v>3</v>
      </c>
      <c r="U26" s="97">
        <v>4</v>
      </c>
      <c r="V26" s="97">
        <v>5</v>
      </c>
      <c r="W26" s="97">
        <v>6</v>
      </c>
      <c r="X26" s="97">
        <v>7</v>
      </c>
      <c r="Y26" s="97">
        <v>8</v>
      </c>
      <c r="Z26" s="97">
        <v>9</v>
      </c>
      <c r="AA26" s="97">
        <v>10</v>
      </c>
      <c r="AB26" s="97">
        <v>11</v>
      </c>
    </row>
    <row r="27" spans="1:28" x14ac:dyDescent="0.25">
      <c r="A27" s="80">
        <v>50</v>
      </c>
      <c r="B27" s="81">
        <v>0.216</v>
      </c>
      <c r="C27" s="81">
        <v>0.21199999999999999</v>
      </c>
      <c r="D27" s="81">
        <v>0.20899999999999999</v>
      </c>
      <c r="E27" s="81">
        <v>0.20499999999999999</v>
      </c>
      <c r="F27" s="81">
        <v>0.20100000000000001</v>
      </c>
      <c r="G27" s="81">
        <v>0.19800000000000001</v>
      </c>
      <c r="H27" s="81">
        <v>0.19400000000000001</v>
      </c>
      <c r="I27" s="81">
        <v>0.191</v>
      </c>
      <c r="J27" s="81">
        <v>0.187</v>
      </c>
      <c r="K27" s="81">
        <v>0.183</v>
      </c>
      <c r="L27" s="81">
        <v>0.18</v>
      </c>
      <c r="M27" s="81">
        <v>0.17599999999999999</v>
      </c>
      <c r="P27" s="98">
        <v>50</v>
      </c>
      <c r="Q27" s="103">
        <v>1.0720000000000001</v>
      </c>
      <c r="R27" s="103">
        <v>1.0740000000000001</v>
      </c>
      <c r="S27" s="103">
        <v>1.0760000000000001</v>
      </c>
      <c r="T27" s="103">
        <v>1.077</v>
      </c>
      <c r="U27" s="103">
        <v>1.079</v>
      </c>
      <c r="V27" s="103">
        <v>1.081</v>
      </c>
      <c r="W27" s="103">
        <v>1.083</v>
      </c>
      <c r="X27" s="103">
        <v>1.085</v>
      </c>
      <c r="Y27" s="103">
        <v>1.0860000000000001</v>
      </c>
      <c r="Z27" s="103">
        <v>1.0880000000000001</v>
      </c>
      <c r="AA27" s="103">
        <v>1.0900000000000001</v>
      </c>
      <c r="AB27" s="103">
        <v>1.0920000000000001</v>
      </c>
    </row>
    <row r="28" spans="1:28" x14ac:dyDescent="0.25">
      <c r="A28" s="80">
        <v>51</v>
      </c>
      <c r="B28" s="81">
        <v>0.17299999999999999</v>
      </c>
      <c r="C28" s="81">
        <v>0.16900000000000001</v>
      </c>
      <c r="D28" s="81">
        <v>0.16600000000000001</v>
      </c>
      <c r="E28" s="81">
        <v>0.16200000000000001</v>
      </c>
      <c r="F28" s="81">
        <v>0.158</v>
      </c>
      <c r="G28" s="81">
        <v>0.155</v>
      </c>
      <c r="H28" s="81">
        <v>0.151</v>
      </c>
      <c r="I28" s="81">
        <v>0.14799999999999999</v>
      </c>
      <c r="J28" s="81">
        <v>0.14399999999999999</v>
      </c>
      <c r="K28" s="81">
        <v>0.14000000000000001</v>
      </c>
      <c r="L28" s="81">
        <v>0.13700000000000001</v>
      </c>
      <c r="M28" s="81">
        <v>0.13300000000000001</v>
      </c>
      <c r="P28" s="98">
        <v>51</v>
      </c>
      <c r="Q28" s="103">
        <v>1.093</v>
      </c>
      <c r="R28" s="103">
        <v>1.095</v>
      </c>
      <c r="S28" s="103">
        <v>1.097</v>
      </c>
      <c r="T28" s="103">
        <v>1.099</v>
      </c>
      <c r="U28" s="103">
        <v>1.101</v>
      </c>
      <c r="V28" s="103">
        <v>1.103</v>
      </c>
      <c r="W28" s="103">
        <v>1.1040000000000001</v>
      </c>
      <c r="X28" s="103">
        <v>1.1060000000000001</v>
      </c>
      <c r="Y28" s="103">
        <v>1.1080000000000001</v>
      </c>
      <c r="Z28" s="103">
        <v>1.1100000000000001</v>
      </c>
      <c r="AA28" s="103">
        <v>1.1120000000000001</v>
      </c>
      <c r="AB28" s="103">
        <v>1.1140000000000001</v>
      </c>
    </row>
    <row r="29" spans="1:28" x14ac:dyDescent="0.25">
      <c r="A29" s="80">
        <v>52</v>
      </c>
      <c r="B29" s="81">
        <v>0.13</v>
      </c>
      <c r="C29" s="81">
        <v>0.126</v>
      </c>
      <c r="D29" s="81">
        <v>0.122</v>
      </c>
      <c r="E29" s="81">
        <v>0.11899999999999999</v>
      </c>
      <c r="F29" s="81">
        <v>0.115</v>
      </c>
      <c r="G29" s="81">
        <v>0.112</v>
      </c>
      <c r="H29" s="81">
        <v>0.108</v>
      </c>
      <c r="I29" s="81">
        <v>0.105</v>
      </c>
      <c r="J29" s="81">
        <v>0.10100000000000001</v>
      </c>
      <c r="K29" s="81">
        <v>9.7000000000000003E-2</v>
      </c>
      <c r="L29" s="81">
        <v>9.4E-2</v>
      </c>
      <c r="M29" s="81">
        <v>0.09</v>
      </c>
      <c r="P29" s="98">
        <v>52</v>
      </c>
      <c r="Q29" s="103">
        <v>1.115</v>
      </c>
      <c r="R29" s="103">
        <v>1.117</v>
      </c>
      <c r="S29" s="103">
        <v>1.119</v>
      </c>
      <c r="T29" s="103">
        <v>1.121</v>
      </c>
      <c r="U29" s="103">
        <v>1.123</v>
      </c>
      <c r="V29" s="103">
        <v>1.125</v>
      </c>
      <c r="W29" s="103">
        <v>1.1259999999999999</v>
      </c>
      <c r="X29" s="103">
        <v>1.1279999999999999</v>
      </c>
      <c r="Y29" s="103">
        <v>1.1299999999999999</v>
      </c>
      <c r="Z29" s="103">
        <v>1.1319999999999999</v>
      </c>
      <c r="AA29" s="103">
        <v>1.1339999999999999</v>
      </c>
      <c r="AB29" s="103">
        <v>1.1359999999999999</v>
      </c>
    </row>
    <row r="30" spans="1:28" x14ac:dyDescent="0.25">
      <c r="A30" s="80">
        <v>53</v>
      </c>
      <c r="B30" s="81">
        <v>8.6999999999999994E-2</v>
      </c>
      <c r="C30" s="81">
        <v>8.3000000000000004E-2</v>
      </c>
      <c r="D30" s="81">
        <v>7.9000000000000001E-2</v>
      </c>
      <c r="E30" s="81">
        <v>7.5999999999999998E-2</v>
      </c>
      <c r="F30" s="81">
        <v>7.1999999999999995E-2</v>
      </c>
      <c r="G30" s="81">
        <v>6.9000000000000006E-2</v>
      </c>
      <c r="H30" s="81">
        <v>6.5000000000000002E-2</v>
      </c>
      <c r="I30" s="81">
        <v>6.0999999999999999E-2</v>
      </c>
      <c r="J30" s="81">
        <v>5.8000000000000003E-2</v>
      </c>
      <c r="K30" s="81">
        <v>5.3999999999999999E-2</v>
      </c>
      <c r="L30" s="81">
        <v>5.0999999999999997E-2</v>
      </c>
      <c r="M30" s="81">
        <v>4.7E-2</v>
      </c>
      <c r="P30" s="98">
        <v>53</v>
      </c>
      <c r="Q30" s="103">
        <v>1.1379999999999999</v>
      </c>
      <c r="R30" s="103">
        <v>1.1399999999999999</v>
      </c>
      <c r="S30" s="103">
        <v>1.141</v>
      </c>
      <c r="T30" s="103">
        <v>1.143</v>
      </c>
      <c r="U30" s="103">
        <v>1.145</v>
      </c>
      <c r="V30" s="103">
        <v>1.147</v>
      </c>
      <c r="W30" s="103">
        <v>1.149</v>
      </c>
      <c r="X30" s="103">
        <v>1.151</v>
      </c>
      <c r="Y30" s="103">
        <v>1.153</v>
      </c>
      <c r="Z30" s="103">
        <v>1.155</v>
      </c>
      <c r="AA30" s="103">
        <v>1.157</v>
      </c>
      <c r="AB30" s="103">
        <v>1.159</v>
      </c>
    </row>
    <row r="31" spans="1:28" x14ac:dyDescent="0.25">
      <c r="A31" s="80">
        <v>54</v>
      </c>
      <c r="B31" s="81">
        <v>4.2999999999999997E-2</v>
      </c>
      <c r="C31" s="81">
        <v>0.04</v>
      </c>
      <c r="D31" s="81">
        <v>3.5999999999999997E-2</v>
      </c>
      <c r="E31" s="81">
        <v>3.2000000000000001E-2</v>
      </c>
      <c r="F31" s="81">
        <v>2.9000000000000001E-2</v>
      </c>
      <c r="G31" s="81">
        <v>2.5000000000000001E-2</v>
      </c>
      <c r="H31" s="81">
        <v>2.1999999999999999E-2</v>
      </c>
      <c r="I31" s="81">
        <v>1.7999999999999999E-2</v>
      </c>
      <c r="J31" s="81">
        <v>1.4E-2</v>
      </c>
      <c r="K31" s="81">
        <v>1.0999999999999999E-2</v>
      </c>
      <c r="L31" s="81">
        <v>7.0000000000000001E-3</v>
      </c>
      <c r="M31" s="81">
        <v>4.0000000000000001E-3</v>
      </c>
      <c r="P31" s="98">
        <v>54</v>
      </c>
      <c r="Q31" s="103">
        <v>1.1599999999999999</v>
      </c>
      <c r="R31" s="103">
        <v>1.1619999999999999</v>
      </c>
      <c r="S31" s="103">
        <v>1.1639999999999999</v>
      </c>
      <c r="T31" s="103">
        <v>1.1659999999999999</v>
      </c>
      <c r="U31" s="103">
        <v>1.1679999999999999</v>
      </c>
      <c r="V31" s="103">
        <v>1.17</v>
      </c>
      <c r="W31" s="103">
        <v>1.1719999999999999</v>
      </c>
      <c r="X31" s="103">
        <v>1.1739999999999999</v>
      </c>
      <c r="Y31" s="103">
        <v>1.1759999999999999</v>
      </c>
      <c r="Z31" s="103">
        <v>1.1779999999999999</v>
      </c>
      <c r="AA31" s="103">
        <v>1.18</v>
      </c>
      <c r="AB31" s="103">
        <v>1.1819999999999999</v>
      </c>
    </row>
    <row r="32" spans="1:28" x14ac:dyDescent="0.25">
      <c r="A32" s="80">
        <v>55</v>
      </c>
      <c r="B32" s="81">
        <v>0</v>
      </c>
      <c r="C32" s="81"/>
      <c r="D32" s="81"/>
      <c r="E32" s="81"/>
      <c r="F32" s="81"/>
      <c r="G32" s="81"/>
      <c r="H32" s="81"/>
      <c r="I32" s="81"/>
      <c r="J32" s="81"/>
      <c r="K32" s="81"/>
      <c r="L32" s="81"/>
      <c r="M32" s="81"/>
      <c r="P32" s="98">
        <v>55</v>
      </c>
      <c r="Q32" s="103">
        <v>1.1839999999999999</v>
      </c>
      <c r="R32" s="103"/>
      <c r="S32" s="103"/>
      <c r="T32" s="103"/>
      <c r="U32" s="103"/>
      <c r="V32" s="103"/>
      <c r="W32" s="103"/>
      <c r="X32" s="103"/>
      <c r="Y32" s="103"/>
      <c r="Z32" s="103"/>
      <c r="AA32" s="103"/>
      <c r="AB32" s="103"/>
    </row>
    <row r="44" ht="39.65" customHeight="1" x14ac:dyDescent="0.25"/>
    <row r="46" ht="27.65" customHeight="1" x14ac:dyDescent="0.25"/>
  </sheetData>
  <sheetProtection algorithmName="SHA-512" hashValue="ESY8EX/zJPTV9IL+9hhw1/gDOFgkSHrkUwLiUr7VeujV8Gc4hQud7ctSs7BXrDkrBcpGZj9AjayijUMZLZB7jQ==" saltValue="dCHTM6jpDeLVMVEEkLXxTw==" spinCount="100000" sheet="1" objects="1" scenarios="1"/>
  <conditionalFormatting sqref="A6:A21">
    <cfRule type="expression" dxfId="801" priority="34" stopIfTrue="1">
      <formula>MOD(ROW(),2)&lt;&gt;0</formula>
    </cfRule>
    <cfRule type="expression" dxfId="800" priority="33" stopIfTrue="1">
      <formula>MOD(ROW(),2)=0</formula>
    </cfRule>
  </conditionalFormatting>
  <conditionalFormatting sqref="A26:A32">
    <cfRule type="expression" dxfId="799" priority="11" stopIfTrue="1">
      <formula>MOD(ROW(),2)=0</formula>
    </cfRule>
    <cfRule type="expression" dxfId="798" priority="12" stopIfTrue="1">
      <formula>MOD(ROW(),2)&lt;&gt;0</formula>
    </cfRule>
  </conditionalFormatting>
  <conditionalFormatting sqref="B17:B21">
    <cfRule type="expression" dxfId="797" priority="7" stopIfTrue="1">
      <formula>MOD(ROW(),2)=0</formula>
    </cfRule>
    <cfRule type="expression" dxfId="796" priority="8" stopIfTrue="1">
      <formula>MOD(ROW(),2)&lt;&gt;0</formula>
    </cfRule>
  </conditionalFormatting>
  <conditionalFormatting sqref="B6:M21">
    <cfRule type="expression" dxfId="795" priority="42" stopIfTrue="1">
      <formula>MOD(ROW(),2)&lt;&gt;0</formula>
    </cfRule>
    <cfRule type="expression" dxfId="794" priority="41" stopIfTrue="1">
      <formula>MOD(ROW(),2)=0</formula>
    </cfRule>
  </conditionalFormatting>
  <conditionalFormatting sqref="B26:M32">
    <cfRule type="expression" dxfId="793" priority="13" stopIfTrue="1">
      <formula>MOD(ROW(),2)=0</formula>
    </cfRule>
    <cfRule type="expression" dxfId="792" priority="14" stopIfTrue="1">
      <formula>MOD(ROW(),2)&lt;&gt;0</formula>
    </cfRule>
  </conditionalFormatting>
  <conditionalFormatting sqref="P6:P21">
    <cfRule type="expression" dxfId="791" priority="29" stopIfTrue="1">
      <formula>MOD(ROW(),2)=0</formula>
    </cfRule>
    <cfRule type="expression" dxfId="790" priority="30" stopIfTrue="1">
      <formula>MOD(ROW(),2)&lt;&gt;0</formula>
    </cfRule>
  </conditionalFormatting>
  <conditionalFormatting sqref="P26:P32">
    <cfRule type="expression" dxfId="789" priority="15" stopIfTrue="1">
      <formula>MOD(ROW(),2)=0</formula>
    </cfRule>
    <cfRule type="expression" dxfId="788" priority="16" stopIfTrue="1">
      <formula>MOD(ROW(),2)&lt;&gt;0</formula>
    </cfRule>
  </conditionalFormatting>
  <conditionalFormatting sqref="Q17:Q21">
    <cfRule type="expression" dxfId="787" priority="3" stopIfTrue="1">
      <formula>MOD(ROW(),2)=0</formula>
    </cfRule>
    <cfRule type="expression" dxfId="786" priority="4" stopIfTrue="1">
      <formula>MOD(ROW(),2)&lt;&gt;0</formula>
    </cfRule>
  </conditionalFormatting>
  <conditionalFormatting sqref="Q6:AB20">
    <cfRule type="expression" dxfId="785" priority="50" stopIfTrue="1">
      <formula>MOD(ROW(),2)&lt;&gt;0</formula>
    </cfRule>
    <cfRule type="expression" dxfId="784" priority="49" stopIfTrue="1">
      <formula>MOD(ROW(),2)=0</formula>
    </cfRule>
  </conditionalFormatting>
  <conditionalFormatting sqref="Q21:AB21">
    <cfRule type="expression" dxfId="783" priority="2" stopIfTrue="1">
      <formula>MOD(ROW(),2)&lt;&gt;0</formula>
    </cfRule>
    <cfRule type="expression" dxfId="782" priority="1" stopIfTrue="1">
      <formula>MOD(ROW(),2)=0</formula>
    </cfRule>
  </conditionalFormatting>
  <conditionalFormatting sqref="Q26:AB32">
    <cfRule type="expression" dxfId="781" priority="18" stopIfTrue="1">
      <formula>MOD(ROW(),2)&lt;&gt;0</formula>
    </cfRule>
    <cfRule type="expression" dxfId="780" priority="17" stopIfTrue="1">
      <formula>MOD(ROW(),2)=0</formula>
    </cfRule>
  </conditionalFormatting>
  <hyperlinks>
    <hyperlink ref="B24" location="Assumptions!A1" display="Assumptions" xr:uid="{B4A542A0-E75F-43D4-A2E8-9C518D930C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5"/>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x-411</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451</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2</v>
      </c>
      <c r="C13" s="161"/>
      <c r="D13" s="161"/>
      <c r="E13" s="161"/>
      <c r="F13" s="161"/>
      <c r="G13" s="161"/>
      <c r="H13" s="161"/>
      <c r="I13" s="161"/>
      <c r="J13" s="161"/>
      <c r="K13" s="161"/>
      <c r="L13" s="161"/>
      <c r="M13" s="161"/>
    </row>
    <row r="14" spans="1:13" x14ac:dyDescent="0.25">
      <c r="A14" s="77" t="s">
        <v>289</v>
      </c>
      <c r="B14" s="161">
        <v>411</v>
      </c>
      <c r="C14" s="161"/>
      <c r="D14" s="161"/>
      <c r="E14" s="161"/>
      <c r="F14" s="161"/>
      <c r="G14" s="161"/>
      <c r="H14" s="161"/>
      <c r="I14" s="161"/>
      <c r="J14" s="161"/>
      <c r="K14" s="161"/>
      <c r="L14" s="161"/>
      <c r="M14" s="161"/>
    </row>
    <row r="15" spans="1:13" x14ac:dyDescent="0.25">
      <c r="A15" s="77" t="s">
        <v>291</v>
      </c>
      <c r="B15" s="161" t="s">
        <v>452</v>
      </c>
      <c r="C15" s="161"/>
      <c r="D15" s="161"/>
      <c r="E15" s="161"/>
      <c r="F15" s="161"/>
      <c r="G15" s="161"/>
      <c r="H15" s="161"/>
      <c r="I15" s="161"/>
      <c r="J15" s="161"/>
      <c r="K15" s="161"/>
      <c r="L15" s="161"/>
      <c r="M15" s="161"/>
    </row>
    <row r="16" spans="1:13" x14ac:dyDescent="0.25">
      <c r="A16" s="77" t="s">
        <v>293</v>
      </c>
      <c r="B16" s="161" t="s">
        <v>453</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55</v>
      </c>
      <c r="B27" s="81">
        <v>2.1999999999999999E-2</v>
      </c>
      <c r="C27" s="81">
        <v>2.1999999999999999E-2</v>
      </c>
      <c r="D27" s="81">
        <v>2.1999999999999999E-2</v>
      </c>
      <c r="E27" s="81">
        <v>2.1999999999999999E-2</v>
      </c>
      <c r="F27" s="81">
        <v>2.1999999999999999E-2</v>
      </c>
      <c r="G27" s="81">
        <v>2.1999999999999999E-2</v>
      </c>
      <c r="H27" s="81">
        <v>2.1999999999999999E-2</v>
      </c>
      <c r="I27" s="81">
        <v>2.1999999999999999E-2</v>
      </c>
      <c r="J27" s="81">
        <v>2.1000000000000001E-2</v>
      </c>
      <c r="K27" s="81">
        <v>2.1000000000000001E-2</v>
      </c>
      <c r="L27" s="81">
        <v>2.1000000000000001E-2</v>
      </c>
      <c r="M27" s="81">
        <v>2.1000000000000001E-2</v>
      </c>
    </row>
    <row r="28" spans="1:13" x14ac:dyDescent="0.25">
      <c r="A28" s="80">
        <v>56</v>
      </c>
      <c r="B28" s="81">
        <v>2.1000000000000001E-2</v>
      </c>
      <c r="C28" s="81">
        <v>2.1000000000000001E-2</v>
      </c>
      <c r="D28" s="81">
        <v>2.1000000000000001E-2</v>
      </c>
      <c r="E28" s="81">
        <v>2.1000000000000001E-2</v>
      </c>
      <c r="F28" s="81">
        <v>0.02</v>
      </c>
      <c r="G28" s="81">
        <v>0.02</v>
      </c>
      <c r="H28" s="81">
        <v>0.02</v>
      </c>
      <c r="I28" s="81">
        <v>0.02</v>
      </c>
      <c r="J28" s="81">
        <v>0.02</v>
      </c>
      <c r="K28" s="81">
        <v>0.02</v>
      </c>
      <c r="L28" s="81">
        <v>0.02</v>
      </c>
      <c r="M28" s="81">
        <v>0.02</v>
      </c>
    </row>
    <row r="29" spans="1:13" x14ac:dyDescent="0.25">
      <c r="A29" s="80">
        <v>57</v>
      </c>
      <c r="B29" s="81">
        <v>1.9E-2</v>
      </c>
      <c r="C29" s="81">
        <v>1.9E-2</v>
      </c>
      <c r="D29" s="81">
        <v>1.9E-2</v>
      </c>
      <c r="E29" s="81">
        <v>1.9E-2</v>
      </c>
      <c r="F29" s="81">
        <v>1.9E-2</v>
      </c>
      <c r="G29" s="81">
        <v>1.9E-2</v>
      </c>
      <c r="H29" s="81">
        <v>1.9E-2</v>
      </c>
      <c r="I29" s="81">
        <v>1.9E-2</v>
      </c>
      <c r="J29" s="81">
        <v>1.7999999999999999E-2</v>
      </c>
      <c r="K29" s="81">
        <v>1.7999999999999999E-2</v>
      </c>
      <c r="L29" s="81">
        <v>1.7999999999999999E-2</v>
      </c>
      <c r="M29" s="81">
        <v>1.7999999999999999E-2</v>
      </c>
    </row>
    <row r="30" spans="1:13" x14ac:dyDescent="0.25">
      <c r="A30" s="80">
        <v>58</v>
      </c>
      <c r="B30" s="81">
        <v>1.7999999999999999E-2</v>
      </c>
      <c r="C30" s="81">
        <v>1.7999999999999999E-2</v>
      </c>
      <c r="D30" s="81">
        <v>1.7999999999999999E-2</v>
      </c>
      <c r="E30" s="81">
        <v>1.7000000000000001E-2</v>
      </c>
      <c r="F30" s="81">
        <v>1.7000000000000001E-2</v>
      </c>
      <c r="G30" s="81">
        <v>1.7000000000000001E-2</v>
      </c>
      <c r="H30" s="81">
        <v>1.7000000000000001E-2</v>
      </c>
      <c r="I30" s="81">
        <v>1.7000000000000001E-2</v>
      </c>
      <c r="J30" s="81">
        <v>1.7000000000000001E-2</v>
      </c>
      <c r="K30" s="81">
        <v>1.7000000000000001E-2</v>
      </c>
      <c r="L30" s="81">
        <v>1.6E-2</v>
      </c>
      <c r="M30" s="81">
        <v>1.6E-2</v>
      </c>
    </row>
    <row r="31" spans="1:13" x14ac:dyDescent="0.25">
      <c r="A31" s="80">
        <v>59</v>
      </c>
      <c r="B31" s="81">
        <v>1.6E-2</v>
      </c>
      <c r="C31" s="81">
        <v>1.6E-2</v>
      </c>
      <c r="D31" s="81">
        <v>1.6E-2</v>
      </c>
      <c r="E31" s="81">
        <v>1.6E-2</v>
      </c>
      <c r="F31" s="81">
        <v>1.6E-2</v>
      </c>
      <c r="G31" s="81">
        <v>1.4999999999999999E-2</v>
      </c>
      <c r="H31" s="81">
        <v>1.4999999999999999E-2</v>
      </c>
      <c r="I31" s="81">
        <v>1.4999999999999999E-2</v>
      </c>
      <c r="J31" s="81">
        <v>1.4999999999999999E-2</v>
      </c>
      <c r="K31" s="81">
        <v>1.4999999999999999E-2</v>
      </c>
      <c r="L31" s="81">
        <v>1.4999999999999999E-2</v>
      </c>
      <c r="M31" s="81">
        <v>1.4E-2</v>
      </c>
    </row>
    <row r="32" spans="1:13" x14ac:dyDescent="0.25">
      <c r="A32" s="80">
        <v>60</v>
      </c>
      <c r="B32" s="81">
        <v>1.4E-2</v>
      </c>
      <c r="C32" s="81">
        <v>1.4E-2</v>
      </c>
      <c r="D32" s="81">
        <v>1.4E-2</v>
      </c>
      <c r="E32" s="81">
        <v>1.4E-2</v>
      </c>
      <c r="F32" s="81">
        <v>1.2999999999999999E-2</v>
      </c>
      <c r="G32" s="81">
        <v>1.2999999999999999E-2</v>
      </c>
      <c r="H32" s="81">
        <v>1.2999999999999999E-2</v>
      </c>
      <c r="I32" s="81">
        <v>1.2999999999999999E-2</v>
      </c>
      <c r="J32" s="81">
        <v>1.2999999999999999E-2</v>
      </c>
      <c r="K32" s="81">
        <v>1.2E-2</v>
      </c>
      <c r="L32" s="81">
        <v>1.2E-2</v>
      </c>
      <c r="M32" s="81">
        <v>1.2E-2</v>
      </c>
    </row>
    <row r="33" spans="1:13" x14ac:dyDescent="0.25">
      <c r="A33" s="80">
        <v>61</v>
      </c>
      <c r="B33" s="81">
        <v>1.2E-2</v>
      </c>
      <c r="C33" s="81">
        <v>1.2E-2</v>
      </c>
      <c r="D33" s="81">
        <v>1.0999999999999999E-2</v>
      </c>
      <c r="E33" s="81">
        <v>1.0999999999999999E-2</v>
      </c>
      <c r="F33" s="81">
        <v>1.0999999999999999E-2</v>
      </c>
      <c r="G33" s="81">
        <v>1.0999999999999999E-2</v>
      </c>
      <c r="H33" s="81">
        <v>1.0999999999999999E-2</v>
      </c>
      <c r="I33" s="81">
        <v>0.01</v>
      </c>
      <c r="J33" s="81">
        <v>0.01</v>
      </c>
      <c r="K33" s="81">
        <v>0.01</v>
      </c>
      <c r="L33" s="81">
        <v>0.01</v>
      </c>
      <c r="M33" s="81">
        <v>8.9999999999999993E-3</v>
      </c>
    </row>
    <row r="34" spans="1:13" x14ac:dyDescent="0.25">
      <c r="A34" s="80">
        <v>62</v>
      </c>
      <c r="B34" s="81">
        <v>8.9999999999999993E-3</v>
      </c>
      <c r="C34" s="81">
        <v>8.9999999999999993E-3</v>
      </c>
      <c r="D34" s="81">
        <v>8.9999999999999993E-3</v>
      </c>
      <c r="E34" s="81">
        <v>8.9999999999999993E-3</v>
      </c>
      <c r="F34" s="81">
        <v>8.0000000000000002E-3</v>
      </c>
      <c r="G34" s="81">
        <v>8.0000000000000002E-3</v>
      </c>
      <c r="H34" s="81">
        <v>8.0000000000000002E-3</v>
      </c>
      <c r="I34" s="81">
        <v>8.0000000000000002E-3</v>
      </c>
      <c r="J34" s="81">
        <v>7.0000000000000001E-3</v>
      </c>
      <c r="K34" s="81">
        <v>7.0000000000000001E-3</v>
      </c>
      <c r="L34" s="81">
        <v>7.0000000000000001E-3</v>
      </c>
      <c r="M34" s="81">
        <v>7.0000000000000001E-3</v>
      </c>
    </row>
    <row r="35" spans="1:13" x14ac:dyDescent="0.25">
      <c r="A35" s="80">
        <v>63</v>
      </c>
      <c r="B35" s="81">
        <v>6.0000000000000001E-3</v>
      </c>
      <c r="C35" s="81">
        <v>6.0000000000000001E-3</v>
      </c>
      <c r="D35" s="81">
        <v>6.0000000000000001E-3</v>
      </c>
      <c r="E35" s="81">
        <v>6.0000000000000001E-3</v>
      </c>
      <c r="F35" s="81">
        <v>5.0000000000000001E-3</v>
      </c>
      <c r="G35" s="81">
        <v>5.0000000000000001E-3</v>
      </c>
      <c r="H35" s="81">
        <v>5.0000000000000001E-3</v>
      </c>
      <c r="I35" s="81">
        <v>5.0000000000000001E-3</v>
      </c>
      <c r="J35" s="81">
        <v>4.0000000000000001E-3</v>
      </c>
      <c r="K35" s="81">
        <v>4.0000000000000001E-3</v>
      </c>
      <c r="L35" s="81">
        <v>4.0000000000000001E-3</v>
      </c>
      <c r="M35" s="81">
        <v>4.0000000000000001E-3</v>
      </c>
    </row>
    <row r="36" spans="1:13" x14ac:dyDescent="0.25">
      <c r="A36" s="80">
        <v>64</v>
      </c>
      <c r="B36" s="81">
        <v>3.0000000000000001E-3</v>
      </c>
      <c r="C36" s="81">
        <v>3.0000000000000001E-3</v>
      </c>
      <c r="D36" s="81">
        <v>3.0000000000000001E-3</v>
      </c>
      <c r="E36" s="81">
        <v>3.0000000000000001E-3</v>
      </c>
      <c r="F36" s="81">
        <v>2E-3</v>
      </c>
      <c r="G36" s="81">
        <v>2E-3</v>
      </c>
      <c r="H36" s="81">
        <v>2E-3</v>
      </c>
      <c r="I36" s="81">
        <v>1E-3</v>
      </c>
      <c r="J36" s="81">
        <v>1E-3</v>
      </c>
      <c r="K36" s="81">
        <v>1E-3</v>
      </c>
      <c r="L36" s="81">
        <v>1E-3</v>
      </c>
      <c r="M36" s="81">
        <v>0</v>
      </c>
    </row>
    <row r="37" spans="1:13" x14ac:dyDescent="0.25">
      <c r="A37" s="80">
        <v>65</v>
      </c>
      <c r="B37" s="81">
        <v>0</v>
      </c>
      <c r="C37" s="81"/>
      <c r="D37" s="81"/>
      <c r="E37" s="81"/>
      <c r="F37" s="81"/>
      <c r="G37" s="81"/>
      <c r="H37" s="81"/>
      <c r="I37" s="81"/>
      <c r="J37" s="81"/>
      <c r="K37" s="81"/>
      <c r="L37" s="81"/>
      <c r="M37" s="81"/>
    </row>
    <row r="44" spans="1:13" ht="39.65" customHeight="1" x14ac:dyDescent="0.25"/>
    <row r="46" spans="1:13" ht="27.65" customHeight="1" x14ac:dyDescent="0.25"/>
  </sheetData>
  <sheetProtection algorithmName="SHA-512" hashValue="ti+p8mNR+AbrpT4sMeYs51NuVeSLuFWhTJmGDgHzwVexLlLg60T55nJuCzM94f+v0PzWxXzIu+es1O120sepEw==" saltValue="PP1iBXv5W+0Csj52Ihkf+Q==" spinCount="100000" sheet="1" objects="1" scenarios="1"/>
  <conditionalFormatting sqref="A6:A21">
    <cfRule type="expression" dxfId="779" priority="15" stopIfTrue="1">
      <formula>MOD(ROW(),2)=0</formula>
    </cfRule>
    <cfRule type="expression" dxfId="778" priority="16" stopIfTrue="1">
      <formula>MOD(ROW(),2)&lt;&gt;0</formula>
    </cfRule>
  </conditionalFormatting>
  <conditionalFormatting sqref="A26:A37">
    <cfRule type="expression" dxfId="777" priority="3" stopIfTrue="1">
      <formula>MOD(ROW(),2)=0</formula>
    </cfRule>
    <cfRule type="expression" dxfId="776" priority="4" stopIfTrue="1">
      <formula>MOD(ROW(),2)&lt;&gt;0</formula>
    </cfRule>
  </conditionalFormatting>
  <conditionalFormatting sqref="B17:B21">
    <cfRule type="expression" dxfId="775" priority="1" stopIfTrue="1">
      <formula>MOD(ROW(),2)=0</formula>
    </cfRule>
    <cfRule type="expression" dxfId="774" priority="2" stopIfTrue="1">
      <formula>MOD(ROW(),2)&lt;&gt;0</formula>
    </cfRule>
  </conditionalFormatting>
  <conditionalFormatting sqref="B6:M21">
    <cfRule type="expression" dxfId="773" priority="23" stopIfTrue="1">
      <formula>MOD(ROW(),2)=0</formula>
    </cfRule>
    <cfRule type="expression" dxfId="772" priority="24" stopIfTrue="1">
      <formula>MOD(ROW(),2)&lt;&gt;0</formula>
    </cfRule>
  </conditionalFormatting>
  <conditionalFormatting sqref="B26:M37">
    <cfRule type="expression" dxfId="771" priority="5" stopIfTrue="1">
      <formula>MOD(ROW(),2)=0</formula>
    </cfRule>
    <cfRule type="expression" dxfId="770" priority="6" stopIfTrue="1">
      <formula>MOD(ROW(),2)&lt;&gt;0</formula>
    </cfRule>
  </conditionalFormatting>
  <hyperlinks>
    <hyperlink ref="B24" location="Assumptions!A1" display="Assumptions" xr:uid="{C2956D00-B1B8-4784-B537-6A63387699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6"/>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x-412</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454</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412</v>
      </c>
      <c r="C14" s="161"/>
      <c r="D14" s="161"/>
      <c r="E14" s="161"/>
      <c r="F14" s="161"/>
      <c r="G14" s="161"/>
      <c r="H14" s="161"/>
      <c r="I14" s="161"/>
      <c r="J14" s="161"/>
      <c r="K14" s="161"/>
      <c r="L14" s="161"/>
      <c r="M14" s="161"/>
    </row>
    <row r="15" spans="1:13" x14ac:dyDescent="0.25">
      <c r="A15" s="77" t="s">
        <v>291</v>
      </c>
      <c r="B15" s="161" t="s">
        <v>455</v>
      </c>
      <c r="C15" s="161"/>
      <c r="D15" s="161"/>
      <c r="E15" s="161"/>
      <c r="F15" s="161"/>
      <c r="G15" s="161"/>
      <c r="H15" s="161"/>
      <c r="I15" s="161"/>
      <c r="J15" s="161"/>
      <c r="K15" s="161"/>
      <c r="L15" s="161"/>
      <c r="M15" s="161"/>
    </row>
    <row r="16" spans="1:13" x14ac:dyDescent="0.25">
      <c r="A16" s="77" t="s">
        <v>293</v>
      </c>
      <c r="B16" s="161" t="s">
        <v>456</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50</v>
      </c>
      <c r="B27" s="81">
        <v>0.83399999999999996</v>
      </c>
      <c r="C27" s="81">
        <v>0.83699999999999997</v>
      </c>
      <c r="D27" s="81">
        <v>0.83899999999999997</v>
      </c>
      <c r="E27" s="81">
        <v>0.84199999999999997</v>
      </c>
      <c r="F27" s="81">
        <v>0.84399999999999997</v>
      </c>
      <c r="G27" s="81">
        <v>0.84599999999999997</v>
      </c>
      <c r="H27" s="81">
        <v>0.84899999999999998</v>
      </c>
      <c r="I27" s="81">
        <v>0.85099999999999998</v>
      </c>
      <c r="J27" s="81">
        <v>0.85299999999999998</v>
      </c>
      <c r="K27" s="81">
        <v>0.85599999999999998</v>
      </c>
      <c r="L27" s="81">
        <v>0.85799999999999998</v>
      </c>
      <c r="M27" s="81">
        <v>0.86</v>
      </c>
    </row>
    <row r="28" spans="1:13" x14ac:dyDescent="0.25">
      <c r="A28" s="80">
        <v>51</v>
      </c>
      <c r="B28" s="81">
        <v>0.86299999999999999</v>
      </c>
      <c r="C28" s="81">
        <v>0.86499999999999999</v>
      </c>
      <c r="D28" s="81">
        <v>0.86799999999999999</v>
      </c>
      <c r="E28" s="81">
        <v>0.87</v>
      </c>
      <c r="F28" s="81">
        <v>0.873</v>
      </c>
      <c r="G28" s="81">
        <v>0.875</v>
      </c>
      <c r="H28" s="81">
        <v>0.878</v>
      </c>
      <c r="I28" s="81">
        <v>0.88100000000000001</v>
      </c>
      <c r="J28" s="81">
        <v>0.88300000000000001</v>
      </c>
      <c r="K28" s="81">
        <v>0.88600000000000001</v>
      </c>
      <c r="L28" s="81">
        <v>0.88800000000000001</v>
      </c>
      <c r="M28" s="81">
        <v>0.89100000000000001</v>
      </c>
    </row>
    <row r="29" spans="1:13" x14ac:dyDescent="0.25">
      <c r="A29" s="80">
        <v>52</v>
      </c>
      <c r="B29" s="81">
        <v>0.89300000000000002</v>
      </c>
      <c r="C29" s="81">
        <v>0.89600000000000002</v>
      </c>
      <c r="D29" s="81">
        <v>0.89900000000000002</v>
      </c>
      <c r="E29" s="81">
        <v>0.90100000000000002</v>
      </c>
      <c r="F29" s="81">
        <v>0.90400000000000003</v>
      </c>
      <c r="G29" s="81">
        <v>0.90700000000000003</v>
      </c>
      <c r="H29" s="81">
        <v>0.91</v>
      </c>
      <c r="I29" s="81">
        <v>0.91200000000000003</v>
      </c>
      <c r="J29" s="81">
        <v>0.91500000000000004</v>
      </c>
      <c r="K29" s="81">
        <v>0.91800000000000004</v>
      </c>
      <c r="L29" s="81">
        <v>0.92100000000000004</v>
      </c>
      <c r="M29" s="81">
        <v>0.92300000000000004</v>
      </c>
    </row>
    <row r="30" spans="1:13" x14ac:dyDescent="0.25">
      <c r="A30" s="80">
        <v>53</v>
      </c>
      <c r="B30" s="81">
        <v>0.92600000000000005</v>
      </c>
      <c r="C30" s="81">
        <v>0.92900000000000005</v>
      </c>
      <c r="D30" s="81">
        <v>0.93200000000000005</v>
      </c>
      <c r="E30" s="81">
        <v>0.93500000000000005</v>
      </c>
      <c r="F30" s="81">
        <v>0.93799999999999994</v>
      </c>
      <c r="G30" s="81">
        <v>0.94099999999999995</v>
      </c>
      <c r="H30" s="81">
        <v>0.94399999999999995</v>
      </c>
      <c r="I30" s="81">
        <v>0.94699999999999995</v>
      </c>
      <c r="J30" s="81">
        <v>0.95</v>
      </c>
      <c r="K30" s="81">
        <v>0.95299999999999996</v>
      </c>
      <c r="L30" s="81">
        <v>0.95599999999999996</v>
      </c>
      <c r="M30" s="81">
        <v>0.95899999999999996</v>
      </c>
    </row>
    <row r="31" spans="1:13" x14ac:dyDescent="0.25">
      <c r="A31" s="80">
        <v>54</v>
      </c>
      <c r="B31" s="81">
        <v>0.96199999999999997</v>
      </c>
      <c r="C31" s="81">
        <v>0.96499999999999997</v>
      </c>
      <c r="D31" s="81">
        <v>0.96799999999999997</v>
      </c>
      <c r="E31" s="81">
        <v>0.97099999999999997</v>
      </c>
      <c r="F31" s="81">
        <v>0.97399999999999998</v>
      </c>
      <c r="G31" s="81">
        <v>0.97799999999999998</v>
      </c>
      <c r="H31" s="81">
        <v>0.98099999999999998</v>
      </c>
      <c r="I31" s="81">
        <v>0.98399999999999999</v>
      </c>
      <c r="J31" s="81">
        <v>0.98699999999999999</v>
      </c>
      <c r="K31" s="81">
        <v>0.99</v>
      </c>
      <c r="L31" s="81">
        <v>0.99399999999999999</v>
      </c>
      <c r="M31" s="81">
        <v>0.997</v>
      </c>
    </row>
    <row r="32" spans="1:13" x14ac:dyDescent="0.25">
      <c r="A32" s="80">
        <v>55</v>
      </c>
      <c r="B32" s="81">
        <v>1</v>
      </c>
      <c r="C32" s="81"/>
      <c r="D32" s="81"/>
      <c r="E32" s="81"/>
      <c r="F32" s="81"/>
      <c r="G32" s="81"/>
      <c r="H32" s="81"/>
      <c r="I32" s="81"/>
      <c r="J32" s="81"/>
      <c r="K32" s="81"/>
      <c r="L32" s="81"/>
      <c r="M32" s="81"/>
    </row>
    <row r="44" ht="39.65" customHeight="1" x14ac:dyDescent="0.25"/>
    <row r="46" ht="27.65" customHeight="1" x14ac:dyDescent="0.25"/>
  </sheetData>
  <sheetProtection algorithmName="SHA-512" hashValue="mRBpvGr8qHPcJqYOtMtjzHWM6qBQqSeQS6QHNHcaeoZcNMYpxQyDle296rXZpbe8NOgYrenZiy7qddIS7GKdaA==" saltValue="KlbdZ5gL2FjykXqMnIvW8g==" spinCount="100000" sheet="1" objects="1" scenarios="1"/>
  <conditionalFormatting sqref="A6:A21">
    <cfRule type="expression" dxfId="769" priority="15" stopIfTrue="1">
      <formula>MOD(ROW(),2)=0</formula>
    </cfRule>
    <cfRule type="expression" dxfId="768" priority="16" stopIfTrue="1">
      <formula>MOD(ROW(),2)&lt;&gt;0</formula>
    </cfRule>
  </conditionalFormatting>
  <conditionalFormatting sqref="A26:A32">
    <cfRule type="expression" dxfId="767" priority="3" stopIfTrue="1">
      <formula>MOD(ROW(),2)=0</formula>
    </cfRule>
    <cfRule type="expression" dxfId="766" priority="4" stopIfTrue="1">
      <formula>MOD(ROW(),2)&lt;&gt;0</formula>
    </cfRule>
  </conditionalFormatting>
  <conditionalFormatting sqref="B17:B21">
    <cfRule type="expression" dxfId="765" priority="1" stopIfTrue="1">
      <formula>MOD(ROW(),2)=0</formula>
    </cfRule>
    <cfRule type="expression" dxfId="764" priority="2" stopIfTrue="1">
      <formula>MOD(ROW(),2)&lt;&gt;0</formula>
    </cfRule>
  </conditionalFormatting>
  <conditionalFormatting sqref="B6:M21">
    <cfRule type="expression" dxfId="763" priority="23" stopIfTrue="1">
      <formula>MOD(ROW(),2)=0</formula>
    </cfRule>
    <cfRule type="expression" dxfId="762" priority="24" stopIfTrue="1">
      <formula>MOD(ROW(),2)&lt;&gt;0</formula>
    </cfRule>
  </conditionalFormatting>
  <conditionalFormatting sqref="B26:M32">
    <cfRule type="expression" dxfId="761" priority="5" stopIfTrue="1">
      <formula>MOD(ROW(),2)=0</formula>
    </cfRule>
    <cfRule type="expression" dxfId="760" priority="6" stopIfTrue="1">
      <formula>MOD(ROW(),2)&lt;&gt;0</formula>
    </cfRule>
  </conditionalFormatting>
  <hyperlinks>
    <hyperlink ref="B24" location="Assumptions!A1" display="Assumptions" xr:uid="{AEC66958-649C-4B55-ABD3-0EA7CD7560A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7"/>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x-413</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457</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413</v>
      </c>
      <c r="C14" s="161"/>
      <c r="D14" s="161"/>
      <c r="E14" s="161"/>
      <c r="F14" s="161"/>
      <c r="G14" s="161"/>
      <c r="H14" s="161"/>
      <c r="I14" s="161"/>
      <c r="J14" s="161"/>
      <c r="K14" s="161"/>
      <c r="L14" s="161"/>
      <c r="M14" s="161"/>
    </row>
    <row r="15" spans="1:13" x14ac:dyDescent="0.25">
      <c r="A15" s="77" t="s">
        <v>291</v>
      </c>
      <c r="B15" s="161" t="s">
        <v>458</v>
      </c>
      <c r="C15" s="161"/>
      <c r="D15" s="161"/>
      <c r="E15" s="161"/>
      <c r="F15" s="161"/>
      <c r="G15" s="161"/>
      <c r="H15" s="161"/>
      <c r="I15" s="161"/>
      <c r="J15" s="161"/>
      <c r="K15" s="161"/>
      <c r="L15" s="161"/>
      <c r="M15" s="161"/>
    </row>
    <row r="16" spans="1:13" x14ac:dyDescent="0.25">
      <c r="A16" s="77" t="s">
        <v>293</v>
      </c>
      <c r="B16" s="161" t="s">
        <v>459</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50</v>
      </c>
      <c r="B27" s="81">
        <v>0.91900000000000004</v>
      </c>
      <c r="C27" s="81">
        <v>0.92</v>
      </c>
      <c r="D27" s="81">
        <v>0.92200000000000004</v>
      </c>
      <c r="E27" s="81">
        <v>0.92300000000000004</v>
      </c>
      <c r="F27" s="81">
        <v>0.92400000000000004</v>
      </c>
      <c r="G27" s="81">
        <v>0.92600000000000005</v>
      </c>
      <c r="H27" s="81">
        <v>0.92700000000000005</v>
      </c>
      <c r="I27" s="81">
        <v>0.92800000000000005</v>
      </c>
      <c r="J27" s="81">
        <v>0.93</v>
      </c>
      <c r="K27" s="81">
        <v>0.93100000000000005</v>
      </c>
      <c r="L27" s="81">
        <v>0.93200000000000005</v>
      </c>
      <c r="M27" s="81">
        <v>0.93300000000000005</v>
      </c>
    </row>
    <row r="28" spans="1:13" x14ac:dyDescent="0.25">
      <c r="A28" s="80">
        <v>51</v>
      </c>
      <c r="B28" s="81">
        <v>0.93500000000000005</v>
      </c>
      <c r="C28" s="81">
        <v>0.93600000000000005</v>
      </c>
      <c r="D28" s="81">
        <v>0.93700000000000006</v>
      </c>
      <c r="E28" s="81">
        <v>0.93899999999999995</v>
      </c>
      <c r="F28" s="81">
        <v>0.94</v>
      </c>
      <c r="G28" s="81">
        <v>0.94099999999999995</v>
      </c>
      <c r="H28" s="81">
        <v>0.94299999999999995</v>
      </c>
      <c r="I28" s="81">
        <v>0.94399999999999995</v>
      </c>
      <c r="J28" s="81">
        <v>0.94499999999999995</v>
      </c>
      <c r="K28" s="81">
        <v>0.94699999999999995</v>
      </c>
      <c r="L28" s="81">
        <v>0.94799999999999995</v>
      </c>
      <c r="M28" s="81">
        <v>0.94899999999999995</v>
      </c>
    </row>
    <row r="29" spans="1:13" x14ac:dyDescent="0.25">
      <c r="A29" s="80">
        <v>52</v>
      </c>
      <c r="B29" s="81">
        <v>0.95099999999999996</v>
      </c>
      <c r="C29" s="81">
        <v>0.95199999999999996</v>
      </c>
      <c r="D29" s="81">
        <v>0.95299999999999996</v>
      </c>
      <c r="E29" s="81">
        <v>0.95499999999999996</v>
      </c>
      <c r="F29" s="81">
        <v>0.95599999999999996</v>
      </c>
      <c r="G29" s="81">
        <v>0.95699999999999996</v>
      </c>
      <c r="H29" s="81">
        <v>0.95899999999999996</v>
      </c>
      <c r="I29" s="81">
        <v>0.96</v>
      </c>
      <c r="J29" s="81">
        <v>0.96099999999999997</v>
      </c>
      <c r="K29" s="81">
        <v>0.96299999999999997</v>
      </c>
      <c r="L29" s="81">
        <v>0.96399999999999997</v>
      </c>
      <c r="M29" s="81">
        <v>0.96599999999999997</v>
      </c>
    </row>
    <row r="30" spans="1:13" x14ac:dyDescent="0.25">
      <c r="A30" s="80">
        <v>53</v>
      </c>
      <c r="B30" s="81">
        <v>0.96699999999999997</v>
      </c>
      <c r="C30" s="81">
        <v>0.96799999999999997</v>
      </c>
      <c r="D30" s="81">
        <v>0.97</v>
      </c>
      <c r="E30" s="81">
        <v>0.97099999999999997</v>
      </c>
      <c r="F30" s="81">
        <v>0.97199999999999998</v>
      </c>
      <c r="G30" s="81">
        <v>0.97399999999999998</v>
      </c>
      <c r="H30" s="81">
        <v>0.97499999999999998</v>
      </c>
      <c r="I30" s="81">
        <v>0.97599999999999998</v>
      </c>
      <c r="J30" s="81">
        <v>0.97799999999999998</v>
      </c>
      <c r="K30" s="81">
        <v>0.97899999999999998</v>
      </c>
      <c r="L30" s="81">
        <v>0.98099999999999998</v>
      </c>
      <c r="M30" s="81">
        <v>0.98199999999999998</v>
      </c>
    </row>
    <row r="31" spans="1:13" x14ac:dyDescent="0.25">
      <c r="A31" s="80">
        <v>54</v>
      </c>
      <c r="B31" s="81">
        <v>0.98299999999999998</v>
      </c>
      <c r="C31" s="81">
        <v>0.98499999999999999</v>
      </c>
      <c r="D31" s="81">
        <v>0.98599999999999999</v>
      </c>
      <c r="E31" s="81">
        <v>0.98699999999999999</v>
      </c>
      <c r="F31" s="81">
        <v>0.98899999999999999</v>
      </c>
      <c r="G31" s="81">
        <v>0.99</v>
      </c>
      <c r="H31" s="81">
        <v>0.99199999999999999</v>
      </c>
      <c r="I31" s="81">
        <v>0.99299999999999999</v>
      </c>
      <c r="J31" s="81">
        <v>0.99399999999999999</v>
      </c>
      <c r="K31" s="81">
        <v>0.996</v>
      </c>
      <c r="L31" s="81">
        <v>0.997</v>
      </c>
      <c r="M31" s="81">
        <v>0.999</v>
      </c>
    </row>
    <row r="32" spans="1:13" x14ac:dyDescent="0.25">
      <c r="A32" s="80">
        <v>55</v>
      </c>
      <c r="B32" s="81">
        <v>1</v>
      </c>
      <c r="C32" s="81"/>
      <c r="D32" s="81"/>
      <c r="E32" s="81"/>
      <c r="F32" s="81"/>
      <c r="G32" s="81"/>
      <c r="H32" s="81"/>
      <c r="I32" s="81"/>
      <c r="J32" s="81"/>
      <c r="K32" s="81"/>
      <c r="L32" s="81"/>
      <c r="M32" s="81"/>
    </row>
    <row r="44" ht="39.65" customHeight="1" x14ac:dyDescent="0.25"/>
    <row r="46" ht="27.65" customHeight="1" x14ac:dyDescent="0.25"/>
  </sheetData>
  <sheetProtection algorithmName="SHA-512" hashValue="iLizBBoxBf4kejjMnwPPfHFYj1xXvZCkts3ZhM0Cu+4yj4XRAHpfVyzKJoDxeixxEKVoNHpCtuEPTWSYwsy2fw==" saltValue="3WpdP3kHEOUHUIMw+Ye+2w==" spinCount="100000" sheet="1" objects="1" scenarios="1"/>
  <conditionalFormatting sqref="A6:A21">
    <cfRule type="expression" dxfId="759" priority="15" stopIfTrue="1">
      <formula>MOD(ROW(),2)=0</formula>
    </cfRule>
    <cfRule type="expression" dxfId="758" priority="16" stopIfTrue="1">
      <formula>MOD(ROW(),2)&lt;&gt;0</formula>
    </cfRule>
  </conditionalFormatting>
  <conditionalFormatting sqref="A26:A32">
    <cfRule type="expression" dxfId="757" priority="3" stopIfTrue="1">
      <formula>MOD(ROW(),2)=0</formula>
    </cfRule>
    <cfRule type="expression" dxfId="756" priority="4" stopIfTrue="1">
      <formula>MOD(ROW(),2)&lt;&gt;0</formula>
    </cfRule>
  </conditionalFormatting>
  <conditionalFormatting sqref="B17:B21">
    <cfRule type="expression" dxfId="755" priority="1" stopIfTrue="1">
      <formula>MOD(ROW(),2)=0</formula>
    </cfRule>
    <cfRule type="expression" dxfId="754" priority="2" stopIfTrue="1">
      <formula>MOD(ROW(),2)&lt;&gt;0</formula>
    </cfRule>
  </conditionalFormatting>
  <conditionalFormatting sqref="B6:M21">
    <cfRule type="expression" dxfId="753" priority="23" stopIfTrue="1">
      <formula>MOD(ROW(),2)=0</formula>
    </cfRule>
    <cfRule type="expression" dxfId="752" priority="24" stopIfTrue="1">
      <formula>MOD(ROW(),2)&lt;&gt;0</formula>
    </cfRule>
  </conditionalFormatting>
  <conditionalFormatting sqref="B26:M32">
    <cfRule type="expression" dxfId="751" priority="5" stopIfTrue="1">
      <formula>MOD(ROW(),2)=0</formula>
    </cfRule>
    <cfRule type="expression" dxfId="750" priority="6" stopIfTrue="1">
      <formula>MOD(ROW(),2)&lt;&gt;0</formula>
    </cfRule>
  </conditionalFormatting>
  <hyperlinks>
    <hyperlink ref="B24" location="Assumptions!A1" display="Assumptions" xr:uid="{E065E87A-6E0A-40AC-86FF-3156E96C0D2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8"/>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x-414</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460</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414</v>
      </c>
      <c r="C14" s="161"/>
      <c r="D14" s="161"/>
      <c r="E14" s="161"/>
      <c r="F14" s="161"/>
      <c r="G14" s="161"/>
      <c r="H14" s="161"/>
      <c r="I14" s="161"/>
      <c r="J14" s="161"/>
      <c r="K14" s="161"/>
      <c r="L14" s="161"/>
      <c r="M14" s="161"/>
    </row>
    <row r="15" spans="1:13" x14ac:dyDescent="0.25">
      <c r="A15" s="77" t="s">
        <v>291</v>
      </c>
      <c r="B15" s="161" t="s">
        <v>461</v>
      </c>
      <c r="C15" s="161"/>
      <c r="D15" s="161"/>
      <c r="E15" s="161"/>
      <c r="F15" s="161"/>
      <c r="G15" s="161"/>
      <c r="H15" s="161"/>
      <c r="I15" s="161"/>
      <c r="J15" s="161"/>
      <c r="K15" s="161"/>
      <c r="L15" s="161"/>
      <c r="M15" s="161"/>
    </row>
    <row r="16" spans="1:13" x14ac:dyDescent="0.25">
      <c r="A16" s="77" t="s">
        <v>293</v>
      </c>
      <c r="B16" s="161" t="s">
        <v>462</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50</v>
      </c>
      <c r="B27" s="81">
        <v>0.19800000000000001</v>
      </c>
      <c r="C27" s="81">
        <v>0.19500000000000001</v>
      </c>
      <c r="D27" s="81">
        <v>0.192</v>
      </c>
      <c r="E27" s="81">
        <v>0.189</v>
      </c>
      <c r="F27" s="81">
        <v>0.185</v>
      </c>
      <c r="G27" s="81">
        <v>0.182</v>
      </c>
      <c r="H27" s="81">
        <v>0.17899999999999999</v>
      </c>
      <c r="I27" s="81">
        <v>0.17499999999999999</v>
      </c>
      <c r="J27" s="81">
        <v>0.17199999999999999</v>
      </c>
      <c r="K27" s="81">
        <v>0.16900000000000001</v>
      </c>
      <c r="L27" s="81">
        <v>0.16600000000000001</v>
      </c>
      <c r="M27" s="81">
        <v>0.16200000000000001</v>
      </c>
    </row>
    <row r="28" spans="1:13" x14ac:dyDescent="0.25">
      <c r="A28" s="80">
        <v>51</v>
      </c>
      <c r="B28" s="81">
        <v>0.159</v>
      </c>
      <c r="C28" s="81">
        <v>0.156</v>
      </c>
      <c r="D28" s="81">
        <v>0.152</v>
      </c>
      <c r="E28" s="81">
        <v>0.14899999999999999</v>
      </c>
      <c r="F28" s="81">
        <v>0.14599999999999999</v>
      </c>
      <c r="G28" s="81">
        <v>0.14299999999999999</v>
      </c>
      <c r="H28" s="81">
        <v>0.13900000000000001</v>
      </c>
      <c r="I28" s="81">
        <v>0.13600000000000001</v>
      </c>
      <c r="J28" s="81">
        <v>0.13300000000000001</v>
      </c>
      <c r="K28" s="81">
        <v>0.129</v>
      </c>
      <c r="L28" s="81">
        <v>0.126</v>
      </c>
      <c r="M28" s="81">
        <v>0.123</v>
      </c>
    </row>
    <row r="29" spans="1:13" x14ac:dyDescent="0.25">
      <c r="A29" s="80">
        <v>52</v>
      </c>
      <c r="B29" s="81">
        <v>0.12</v>
      </c>
      <c r="C29" s="81">
        <v>0.11600000000000001</v>
      </c>
      <c r="D29" s="81">
        <v>0.113</v>
      </c>
      <c r="E29" s="81">
        <v>0.11</v>
      </c>
      <c r="F29" s="81">
        <v>0.106</v>
      </c>
      <c r="G29" s="81">
        <v>0.10299999999999999</v>
      </c>
      <c r="H29" s="81">
        <v>0.1</v>
      </c>
      <c r="I29" s="81">
        <v>9.6000000000000002E-2</v>
      </c>
      <c r="J29" s="81">
        <v>9.2999999999999999E-2</v>
      </c>
      <c r="K29" s="81">
        <v>0.09</v>
      </c>
      <c r="L29" s="81">
        <v>8.5999999999999993E-2</v>
      </c>
      <c r="M29" s="81">
        <v>8.3000000000000004E-2</v>
      </c>
    </row>
    <row r="30" spans="1:13" x14ac:dyDescent="0.25">
      <c r="A30" s="80">
        <v>53</v>
      </c>
      <c r="B30" s="81">
        <v>0.08</v>
      </c>
      <c r="C30" s="81">
        <v>7.6999999999999999E-2</v>
      </c>
      <c r="D30" s="81">
        <v>7.2999999999999995E-2</v>
      </c>
      <c r="E30" s="81">
        <v>7.0000000000000007E-2</v>
      </c>
      <c r="F30" s="81">
        <v>6.7000000000000004E-2</v>
      </c>
      <c r="G30" s="81">
        <v>6.3E-2</v>
      </c>
      <c r="H30" s="81">
        <v>0.06</v>
      </c>
      <c r="I30" s="81">
        <v>5.7000000000000002E-2</v>
      </c>
      <c r="J30" s="81">
        <v>5.2999999999999999E-2</v>
      </c>
      <c r="K30" s="81">
        <v>0.05</v>
      </c>
      <c r="L30" s="81">
        <v>4.7E-2</v>
      </c>
      <c r="M30" s="81">
        <v>4.2999999999999997E-2</v>
      </c>
    </row>
    <row r="31" spans="1:13" x14ac:dyDescent="0.25">
      <c r="A31" s="80">
        <v>54</v>
      </c>
      <c r="B31" s="81">
        <v>0.04</v>
      </c>
      <c r="C31" s="81">
        <v>3.6999999999999998E-2</v>
      </c>
      <c r="D31" s="81">
        <v>3.3000000000000002E-2</v>
      </c>
      <c r="E31" s="81">
        <v>0.03</v>
      </c>
      <c r="F31" s="81">
        <v>2.7E-2</v>
      </c>
      <c r="G31" s="81">
        <v>2.3E-2</v>
      </c>
      <c r="H31" s="81">
        <v>0.02</v>
      </c>
      <c r="I31" s="81">
        <v>1.7000000000000001E-2</v>
      </c>
      <c r="J31" s="81">
        <v>1.2999999999999999E-2</v>
      </c>
      <c r="K31" s="81">
        <v>0.01</v>
      </c>
      <c r="L31" s="81">
        <v>7.0000000000000001E-3</v>
      </c>
      <c r="M31" s="81">
        <v>3.0000000000000001E-3</v>
      </c>
    </row>
    <row r="32" spans="1:13" x14ac:dyDescent="0.25">
      <c r="A32" s="80">
        <v>55</v>
      </c>
      <c r="B32" s="81">
        <v>0</v>
      </c>
      <c r="C32" s="81"/>
      <c r="D32" s="81"/>
      <c r="E32" s="81"/>
      <c r="F32" s="81"/>
      <c r="G32" s="81"/>
      <c r="H32" s="81"/>
      <c r="I32" s="81"/>
      <c r="J32" s="81"/>
      <c r="K32" s="81"/>
      <c r="L32" s="81"/>
      <c r="M32" s="81"/>
    </row>
    <row r="44" ht="39.65" customHeight="1" x14ac:dyDescent="0.25"/>
    <row r="46" ht="27.65" customHeight="1" x14ac:dyDescent="0.25"/>
  </sheetData>
  <sheetProtection algorithmName="SHA-512" hashValue="an6map3cFKYcV/uBVEQvmQQdjgSHppHyx75j99iG4/AwuQVjNkqZ4akcxGrpEbrAjiAaW9zvCi49jK+POizCyQ==" saltValue="RtwAYTLpKjA3PsrJKDPsJw==" spinCount="100000" sheet="1" objects="1" scenarios="1"/>
  <conditionalFormatting sqref="A6:A21">
    <cfRule type="expression" dxfId="749" priority="15" stopIfTrue="1">
      <formula>MOD(ROW(),2)=0</formula>
    </cfRule>
    <cfRule type="expression" dxfId="748" priority="16" stopIfTrue="1">
      <formula>MOD(ROW(),2)&lt;&gt;0</formula>
    </cfRule>
  </conditionalFormatting>
  <conditionalFormatting sqref="A26:A32">
    <cfRule type="expression" dxfId="747" priority="3" stopIfTrue="1">
      <formula>MOD(ROW(),2)=0</formula>
    </cfRule>
    <cfRule type="expression" dxfId="746" priority="4" stopIfTrue="1">
      <formula>MOD(ROW(),2)&lt;&gt;0</formula>
    </cfRule>
  </conditionalFormatting>
  <conditionalFormatting sqref="B17:B21">
    <cfRule type="expression" dxfId="745" priority="1" stopIfTrue="1">
      <formula>MOD(ROW(),2)=0</formula>
    </cfRule>
    <cfRule type="expression" dxfId="744" priority="2" stopIfTrue="1">
      <formula>MOD(ROW(),2)&lt;&gt;0</formula>
    </cfRule>
  </conditionalFormatting>
  <conditionalFormatting sqref="B6:M21">
    <cfRule type="expression" dxfId="743" priority="23" stopIfTrue="1">
      <formula>MOD(ROW(),2)=0</formula>
    </cfRule>
    <cfRule type="expression" dxfId="742" priority="24" stopIfTrue="1">
      <formula>MOD(ROW(),2)&lt;&gt;0</formula>
    </cfRule>
  </conditionalFormatting>
  <conditionalFormatting sqref="B26:M32">
    <cfRule type="expression" dxfId="741" priority="5" stopIfTrue="1">
      <formula>MOD(ROW(),2)=0</formula>
    </cfRule>
    <cfRule type="expression" dxfId="740" priority="6" stopIfTrue="1">
      <formula>MOD(ROW(),2)&lt;&gt;0</formula>
    </cfRule>
  </conditionalFormatting>
  <hyperlinks>
    <hyperlink ref="B24" location="Assumptions!A1" display="Assumptions" xr:uid="{84C2C338-4AB2-452E-98C4-9F49AD6911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2.5" x14ac:dyDescent="0.25"/>
  <sheetData>
    <row r="1" spans="1:3" x14ac:dyDescent="0.25">
      <c r="A1" t="s">
        <v>84</v>
      </c>
    </row>
    <row r="3" spans="1:3" x14ac:dyDescent="0.25">
      <c r="A3" t="s">
        <v>85</v>
      </c>
      <c r="C3" t="s">
        <v>86</v>
      </c>
    </row>
    <row r="4" spans="1:3" x14ac:dyDescent="0.25">
      <c r="A4" t="s">
        <v>87</v>
      </c>
      <c r="C4" t="s">
        <v>88</v>
      </c>
    </row>
    <row r="5" spans="1:3" x14ac:dyDescent="0.25">
      <c r="A5" t="s">
        <v>89</v>
      </c>
      <c r="C5" t="s">
        <v>90</v>
      </c>
    </row>
    <row r="6" spans="1:3" x14ac:dyDescent="0.25">
      <c r="A6" t="s">
        <v>91</v>
      </c>
      <c r="C6" t="s">
        <v>92</v>
      </c>
    </row>
    <row r="7" spans="1:3" x14ac:dyDescent="0.25">
      <c r="A7" t="s">
        <v>93</v>
      </c>
      <c r="C7" t="s">
        <v>94</v>
      </c>
    </row>
    <row r="8" spans="1:3" x14ac:dyDescent="0.25">
      <c r="A8" t="s">
        <v>95</v>
      </c>
      <c r="C8" t="s">
        <v>96</v>
      </c>
    </row>
    <row r="9" spans="1:3" x14ac:dyDescent="0.25">
      <c r="A9" t="s">
        <v>97</v>
      </c>
      <c r="C9" t="s">
        <v>93</v>
      </c>
    </row>
    <row r="10" spans="1:3" x14ac:dyDescent="0.25">
      <c r="A10" t="s">
        <v>98</v>
      </c>
      <c r="C10" t="s">
        <v>99</v>
      </c>
    </row>
    <row r="11" spans="1:3" x14ac:dyDescent="0.25">
      <c r="A11" t="s">
        <v>100</v>
      </c>
      <c r="C11" t="s">
        <v>100</v>
      </c>
    </row>
    <row r="12" spans="1:3" x14ac:dyDescent="0.25">
      <c r="A12" t="s">
        <v>101</v>
      </c>
      <c r="C12" t="s">
        <v>102</v>
      </c>
    </row>
    <row r="13" spans="1:3" x14ac:dyDescent="0.25">
      <c r="A13" t="s">
        <v>103</v>
      </c>
      <c r="C13" t="s">
        <v>104</v>
      </c>
    </row>
    <row r="14" spans="1:3" x14ac:dyDescent="0.25">
      <c r="A14" t="s">
        <v>105</v>
      </c>
      <c r="C14" t="s">
        <v>106</v>
      </c>
    </row>
    <row r="15" spans="1:3" x14ac:dyDescent="0.25">
      <c r="A15" t="s">
        <v>107</v>
      </c>
      <c r="C15" t="s">
        <v>108</v>
      </c>
    </row>
    <row r="16" spans="1:3" x14ac:dyDescent="0.25">
      <c r="A16" t="s">
        <v>109</v>
      </c>
      <c r="C16" t="s">
        <v>110</v>
      </c>
    </row>
    <row r="17" spans="1:3" x14ac:dyDescent="0.25">
      <c r="A17" t="s">
        <v>111</v>
      </c>
      <c r="C17" t="s">
        <v>112</v>
      </c>
    </row>
    <row r="18" spans="1:3" x14ac:dyDescent="0.25">
      <c r="A18" t="s">
        <v>113</v>
      </c>
      <c r="C18" t="s">
        <v>114</v>
      </c>
    </row>
    <row r="19" spans="1:3" x14ac:dyDescent="0.25">
      <c r="A19" t="s">
        <v>115</v>
      </c>
      <c r="C19" t="s">
        <v>116</v>
      </c>
    </row>
    <row r="20" spans="1:3" x14ac:dyDescent="0.25">
      <c r="A20" t="s">
        <v>117</v>
      </c>
      <c r="C20" t="s">
        <v>118</v>
      </c>
    </row>
    <row r="21" spans="1:3" x14ac:dyDescent="0.25">
      <c r="A21" t="s">
        <v>119</v>
      </c>
      <c r="C21" t="s">
        <v>120</v>
      </c>
    </row>
    <row r="22" spans="1:3" x14ac:dyDescent="0.25">
      <c r="A22" t="s">
        <v>121</v>
      </c>
      <c r="C22" t="s">
        <v>122</v>
      </c>
    </row>
    <row r="23" spans="1:3" x14ac:dyDescent="0.25">
      <c r="A23" t="s">
        <v>123</v>
      </c>
      <c r="C23" t="s">
        <v>124</v>
      </c>
    </row>
    <row r="24" spans="1:3" x14ac:dyDescent="0.25">
      <c r="A24" t="s">
        <v>125</v>
      </c>
      <c r="C24" t="s">
        <v>126</v>
      </c>
    </row>
    <row r="25" spans="1:3" x14ac:dyDescent="0.25">
      <c r="A25" t="s">
        <v>127</v>
      </c>
      <c r="C25" t="s">
        <v>128</v>
      </c>
    </row>
    <row r="26" spans="1:3" x14ac:dyDescent="0.25">
      <c r="A26" t="s">
        <v>129</v>
      </c>
      <c r="C26" t="s">
        <v>130</v>
      </c>
    </row>
    <row r="27" spans="1:3" x14ac:dyDescent="0.25">
      <c r="A27" t="s">
        <v>131</v>
      </c>
      <c r="C27" t="s">
        <v>132</v>
      </c>
    </row>
    <row r="28" spans="1:3" x14ac:dyDescent="0.25">
      <c r="A28" t="s">
        <v>133</v>
      </c>
      <c r="C28" t="s">
        <v>134</v>
      </c>
    </row>
    <row r="29" spans="1:3" x14ac:dyDescent="0.25">
      <c r="A29" t="s">
        <v>135</v>
      </c>
      <c r="C29" t="s">
        <v>136</v>
      </c>
    </row>
    <row r="30" spans="1:3" x14ac:dyDescent="0.25">
      <c r="A30" t="s">
        <v>137</v>
      </c>
      <c r="C30" t="s">
        <v>138</v>
      </c>
    </row>
    <row r="31" spans="1:3" x14ac:dyDescent="0.25">
      <c r="A31" t="s">
        <v>139</v>
      </c>
      <c r="C31" t="s">
        <v>140</v>
      </c>
    </row>
    <row r="32" spans="1:3" x14ac:dyDescent="0.25">
      <c r="A32" t="s">
        <v>141</v>
      </c>
      <c r="C32" t="s">
        <v>142</v>
      </c>
    </row>
    <row r="33" spans="1:3" x14ac:dyDescent="0.25">
      <c r="A33" t="s">
        <v>143</v>
      </c>
      <c r="C33" t="s">
        <v>144</v>
      </c>
    </row>
    <row r="34" spans="1:3" x14ac:dyDescent="0.25">
      <c r="A34" t="s">
        <v>145</v>
      </c>
      <c r="C34" t="s">
        <v>146</v>
      </c>
    </row>
    <row r="35" spans="1:3" x14ac:dyDescent="0.25">
      <c r="A35" t="s">
        <v>147</v>
      </c>
      <c r="C35" t="s">
        <v>148</v>
      </c>
    </row>
    <row r="36" spans="1:3" x14ac:dyDescent="0.25">
      <c r="A36" t="s">
        <v>149</v>
      </c>
      <c r="C36" t="s">
        <v>40</v>
      </c>
    </row>
    <row r="37" spans="1:3" x14ac:dyDescent="0.25">
      <c r="A37" t="s">
        <v>150</v>
      </c>
    </row>
    <row r="38" spans="1:3" x14ac:dyDescent="0.25">
      <c r="A38" t="s">
        <v>151</v>
      </c>
    </row>
    <row r="39" spans="1:3" x14ac:dyDescent="0.25">
      <c r="A39" t="s">
        <v>152</v>
      </c>
    </row>
    <row r="40" spans="1:3" x14ac:dyDescent="0.25">
      <c r="A40" t="s">
        <v>153</v>
      </c>
    </row>
    <row r="41" spans="1:3" x14ac:dyDescent="0.25">
      <c r="A41" t="s">
        <v>154</v>
      </c>
    </row>
    <row r="42" spans="1:3" x14ac:dyDescent="0.25">
      <c r="A42" t="s">
        <v>155</v>
      </c>
    </row>
    <row r="43" spans="1:3" x14ac:dyDescent="0.25">
      <c r="A43" t="s">
        <v>156</v>
      </c>
    </row>
    <row r="44" spans="1:3" x14ac:dyDescent="0.25">
      <c r="A44" t="s">
        <v>157</v>
      </c>
    </row>
    <row r="45" spans="1:3" x14ac:dyDescent="0.25">
      <c r="A45" t="s">
        <v>158</v>
      </c>
    </row>
    <row r="46" spans="1:3" x14ac:dyDescent="0.25">
      <c r="A46" t="s">
        <v>159</v>
      </c>
    </row>
    <row r="47" spans="1:3" x14ac:dyDescent="0.25">
      <c r="A47" t="s">
        <v>160</v>
      </c>
    </row>
    <row r="48" spans="1:3" x14ac:dyDescent="0.25">
      <c r="A48" t="s">
        <v>161</v>
      </c>
    </row>
    <row r="49" spans="1:1" x14ac:dyDescent="0.25">
      <c r="A49" t="s">
        <v>162</v>
      </c>
    </row>
    <row r="50" spans="1:1" x14ac:dyDescent="0.25">
      <c r="A50" t="s">
        <v>163</v>
      </c>
    </row>
    <row r="51" spans="1:1" x14ac:dyDescent="0.25">
      <c r="A51" t="s">
        <v>164</v>
      </c>
    </row>
    <row r="52" spans="1:1" x14ac:dyDescent="0.25">
      <c r="A52" t="s">
        <v>165</v>
      </c>
    </row>
    <row r="53" spans="1:1" x14ac:dyDescent="0.25">
      <c r="A53" t="s">
        <v>166</v>
      </c>
    </row>
    <row r="54" spans="1:1" x14ac:dyDescent="0.25">
      <c r="A54" t="s">
        <v>167</v>
      </c>
    </row>
    <row r="55" spans="1:1" x14ac:dyDescent="0.25">
      <c r="A55" t="s">
        <v>168</v>
      </c>
    </row>
    <row r="56" spans="1:1" x14ac:dyDescent="0.25">
      <c r="A56" t="s">
        <v>169</v>
      </c>
    </row>
    <row r="57" spans="1:1" x14ac:dyDescent="0.25">
      <c r="A57" t="s">
        <v>170</v>
      </c>
    </row>
    <row r="58" spans="1:1" x14ac:dyDescent="0.25">
      <c r="A58" t="s">
        <v>171</v>
      </c>
    </row>
    <row r="59" spans="1:1" x14ac:dyDescent="0.25">
      <c r="A59" t="s">
        <v>172</v>
      </c>
    </row>
    <row r="60" spans="1:1" x14ac:dyDescent="0.25">
      <c r="A60" t="s">
        <v>173</v>
      </c>
    </row>
    <row r="61" spans="1:1" x14ac:dyDescent="0.25">
      <c r="A61" t="s">
        <v>174</v>
      </c>
    </row>
    <row r="62" spans="1:1" x14ac:dyDescent="0.25">
      <c r="A62" t="s">
        <v>175</v>
      </c>
    </row>
    <row r="63" spans="1:1" x14ac:dyDescent="0.25">
      <c r="A63" t="s">
        <v>176</v>
      </c>
    </row>
    <row r="64" spans="1:1" x14ac:dyDescent="0.25">
      <c r="A64" t="s">
        <v>177</v>
      </c>
    </row>
    <row r="65" spans="1:1" x14ac:dyDescent="0.25">
      <c r="A65" t="s">
        <v>178</v>
      </c>
    </row>
    <row r="66" spans="1:1" x14ac:dyDescent="0.25">
      <c r="A66" t="s">
        <v>179</v>
      </c>
    </row>
    <row r="67" spans="1:1" x14ac:dyDescent="0.25">
      <c r="A67" t="s">
        <v>180</v>
      </c>
    </row>
    <row r="68" spans="1:1" x14ac:dyDescent="0.25">
      <c r="A68" t="s">
        <v>181</v>
      </c>
    </row>
    <row r="69" spans="1:1" x14ac:dyDescent="0.25">
      <c r="A69" t="s">
        <v>182</v>
      </c>
    </row>
    <row r="70" spans="1:1" x14ac:dyDescent="0.25">
      <c r="A70" t="s">
        <v>183</v>
      </c>
    </row>
    <row r="71" spans="1:1" x14ac:dyDescent="0.25">
      <c r="A71" t="s">
        <v>184</v>
      </c>
    </row>
    <row r="72" spans="1:1" x14ac:dyDescent="0.25">
      <c r="A72" t="s">
        <v>185</v>
      </c>
    </row>
    <row r="73" spans="1:1" x14ac:dyDescent="0.25">
      <c r="A73" t="s">
        <v>186</v>
      </c>
    </row>
    <row r="74" spans="1:1" x14ac:dyDescent="0.25">
      <c r="A74" t="s">
        <v>187</v>
      </c>
    </row>
    <row r="75" spans="1:1" x14ac:dyDescent="0.25">
      <c r="A75" t="s">
        <v>188</v>
      </c>
    </row>
    <row r="76" spans="1:1" x14ac:dyDescent="0.25">
      <c r="A76" t="s">
        <v>189</v>
      </c>
    </row>
    <row r="77" spans="1:1" x14ac:dyDescent="0.25">
      <c r="A77" t="s">
        <v>190</v>
      </c>
    </row>
    <row r="78" spans="1:1" x14ac:dyDescent="0.25">
      <c r="A78" t="s">
        <v>191</v>
      </c>
    </row>
    <row r="79" spans="1:1" x14ac:dyDescent="0.25">
      <c r="A79" t="s">
        <v>192</v>
      </c>
    </row>
    <row r="80" spans="1:1" x14ac:dyDescent="0.25">
      <c r="A80" t="s">
        <v>193</v>
      </c>
    </row>
    <row r="81" spans="1:1" x14ac:dyDescent="0.25">
      <c r="A81" t="s">
        <v>194</v>
      </c>
    </row>
    <row r="82" spans="1:1" x14ac:dyDescent="0.25">
      <c r="A82" t="s">
        <v>195</v>
      </c>
    </row>
    <row r="83" spans="1:1" x14ac:dyDescent="0.25">
      <c r="A83" t="s">
        <v>196</v>
      </c>
    </row>
    <row r="84" spans="1:1" x14ac:dyDescent="0.25">
      <c r="A84" t="s">
        <v>197</v>
      </c>
    </row>
    <row r="85" spans="1:1" x14ac:dyDescent="0.25">
      <c r="A85" t="s">
        <v>198</v>
      </c>
    </row>
    <row r="86" spans="1:1" x14ac:dyDescent="0.25">
      <c r="A86" t="s">
        <v>199</v>
      </c>
    </row>
    <row r="87" spans="1:1" x14ac:dyDescent="0.25">
      <c r="A87" t="s">
        <v>200</v>
      </c>
    </row>
    <row r="88" spans="1:1" x14ac:dyDescent="0.25">
      <c r="A88" t="s">
        <v>201</v>
      </c>
    </row>
    <row r="89" spans="1:1" x14ac:dyDescent="0.25">
      <c r="A89" t="s">
        <v>202</v>
      </c>
    </row>
    <row r="90" spans="1:1" x14ac:dyDescent="0.25">
      <c r="A90" t="s">
        <v>203</v>
      </c>
    </row>
    <row r="91" spans="1:1" x14ac:dyDescent="0.25">
      <c r="A91" t="s">
        <v>204</v>
      </c>
    </row>
    <row r="92" spans="1:1" x14ac:dyDescent="0.25">
      <c r="A92" t="s">
        <v>205</v>
      </c>
    </row>
    <row r="93" spans="1:1" x14ac:dyDescent="0.25">
      <c r="A93" t="s">
        <v>206</v>
      </c>
    </row>
    <row r="94" spans="1:1" x14ac:dyDescent="0.25">
      <c r="A94" t="s">
        <v>207</v>
      </c>
    </row>
    <row r="95" spans="1:1" x14ac:dyDescent="0.25">
      <c r="A95" t="s">
        <v>208</v>
      </c>
    </row>
    <row r="96" spans="1:1" x14ac:dyDescent="0.25">
      <c r="A96" t="s">
        <v>209</v>
      </c>
    </row>
    <row r="97" spans="1:1" x14ac:dyDescent="0.25">
      <c r="A97" t="s">
        <v>210</v>
      </c>
    </row>
    <row r="98" spans="1:1" x14ac:dyDescent="0.25">
      <c r="A98" t="s">
        <v>211</v>
      </c>
    </row>
    <row r="99" spans="1:1" x14ac:dyDescent="0.25">
      <c r="A99" t="s">
        <v>212</v>
      </c>
    </row>
    <row r="100" spans="1:1" x14ac:dyDescent="0.25">
      <c r="A100" t="s">
        <v>213</v>
      </c>
    </row>
    <row r="101" spans="1:1" x14ac:dyDescent="0.25">
      <c r="A101" t="s">
        <v>214</v>
      </c>
    </row>
    <row r="102" spans="1:1" x14ac:dyDescent="0.25">
      <c r="A102" t="s">
        <v>215</v>
      </c>
    </row>
    <row r="103" spans="1:1" x14ac:dyDescent="0.25">
      <c r="A103" t="s">
        <v>216</v>
      </c>
    </row>
    <row r="104" spans="1:1" x14ac:dyDescent="0.25">
      <c r="A104" t="s">
        <v>217</v>
      </c>
    </row>
    <row r="105" spans="1:1" x14ac:dyDescent="0.25">
      <c r="A105" t="s">
        <v>218</v>
      </c>
    </row>
    <row r="106" spans="1:1" x14ac:dyDescent="0.25">
      <c r="A106" t="s">
        <v>219</v>
      </c>
    </row>
    <row r="107" spans="1:1" x14ac:dyDescent="0.25">
      <c r="A107" t="s">
        <v>220</v>
      </c>
    </row>
    <row r="108" spans="1:1" x14ac:dyDescent="0.25">
      <c r="A108" t="s">
        <v>221</v>
      </c>
    </row>
    <row r="109" spans="1:1" x14ac:dyDescent="0.25">
      <c r="A109" t="s">
        <v>222</v>
      </c>
    </row>
    <row r="110" spans="1:1" x14ac:dyDescent="0.25">
      <c r="A110" t="s">
        <v>223</v>
      </c>
    </row>
    <row r="111" spans="1:1" x14ac:dyDescent="0.25">
      <c r="A111" t="s">
        <v>224</v>
      </c>
    </row>
    <row r="112" spans="1:1" x14ac:dyDescent="0.25">
      <c r="A112" t="s">
        <v>225</v>
      </c>
    </row>
    <row r="113" spans="1:1" x14ac:dyDescent="0.25">
      <c r="A113" t="s">
        <v>226</v>
      </c>
    </row>
    <row r="114" spans="1:1" x14ac:dyDescent="0.25">
      <c r="A114" t="s">
        <v>227</v>
      </c>
    </row>
    <row r="115" spans="1:1" x14ac:dyDescent="0.25">
      <c r="A115" t="s">
        <v>228</v>
      </c>
    </row>
    <row r="116" spans="1:1" x14ac:dyDescent="0.25">
      <c r="A116" t="s">
        <v>229</v>
      </c>
    </row>
    <row r="117" spans="1:1" x14ac:dyDescent="0.25">
      <c r="A117" t="s">
        <v>230</v>
      </c>
    </row>
    <row r="118" spans="1:1" x14ac:dyDescent="0.25">
      <c r="A118" t="s">
        <v>231</v>
      </c>
    </row>
    <row r="119" spans="1:1" x14ac:dyDescent="0.25">
      <c r="A119" t="s">
        <v>232</v>
      </c>
    </row>
    <row r="120" spans="1:1" x14ac:dyDescent="0.25">
      <c r="A120" t="s">
        <v>233</v>
      </c>
    </row>
    <row r="121" spans="1:1" x14ac:dyDescent="0.25">
      <c r="A121" t="s">
        <v>234</v>
      </c>
    </row>
    <row r="122" spans="1:1" x14ac:dyDescent="0.25">
      <c r="A122" t="s">
        <v>235</v>
      </c>
    </row>
    <row r="123" spans="1:1" x14ac:dyDescent="0.25">
      <c r="A123" t="s">
        <v>236</v>
      </c>
    </row>
    <row r="124" spans="1:1" x14ac:dyDescent="0.25">
      <c r="A124" t="s">
        <v>237</v>
      </c>
    </row>
    <row r="125" spans="1:1" x14ac:dyDescent="0.25">
      <c r="A125" t="s">
        <v>238</v>
      </c>
    </row>
    <row r="126" spans="1:1" x14ac:dyDescent="0.25">
      <c r="A126" t="s">
        <v>239</v>
      </c>
    </row>
    <row r="127" spans="1:1" x14ac:dyDescent="0.25">
      <c r="A127" t="s">
        <v>240</v>
      </c>
    </row>
    <row r="128" spans="1:1" x14ac:dyDescent="0.25">
      <c r="A128" t="s">
        <v>241</v>
      </c>
    </row>
    <row r="129" spans="1:1" x14ac:dyDescent="0.25">
      <c r="A129" t="s">
        <v>242</v>
      </c>
    </row>
    <row r="130" spans="1:1" x14ac:dyDescent="0.25">
      <c r="A130" t="s">
        <v>243</v>
      </c>
    </row>
    <row r="131" spans="1:1" x14ac:dyDescent="0.25">
      <c r="A131" t="s">
        <v>244</v>
      </c>
    </row>
    <row r="132" spans="1:1" x14ac:dyDescent="0.25">
      <c r="A132" t="s">
        <v>245</v>
      </c>
    </row>
    <row r="133" spans="1:1" x14ac:dyDescent="0.25">
      <c r="A133" t="s">
        <v>246</v>
      </c>
    </row>
    <row r="134" spans="1:1" x14ac:dyDescent="0.25">
      <c r="A134" t="s">
        <v>247</v>
      </c>
    </row>
    <row r="135" spans="1:1" x14ac:dyDescent="0.25">
      <c r="A135" t="s">
        <v>248</v>
      </c>
    </row>
    <row r="136" spans="1:1" x14ac:dyDescent="0.25">
      <c r="A136" t="s">
        <v>249</v>
      </c>
    </row>
    <row r="137" spans="1:1" x14ac:dyDescent="0.25">
      <c r="A137" t="s">
        <v>250</v>
      </c>
    </row>
    <row r="138" spans="1:1" x14ac:dyDescent="0.25">
      <c r="A138" t="s">
        <v>251</v>
      </c>
    </row>
    <row r="139" spans="1:1" x14ac:dyDescent="0.25">
      <c r="A139" t="s">
        <v>252</v>
      </c>
    </row>
    <row r="140" spans="1:1" x14ac:dyDescent="0.25">
      <c r="A140" t="s">
        <v>253</v>
      </c>
    </row>
    <row r="141" spans="1:1" x14ac:dyDescent="0.25">
      <c r="A141" t="s">
        <v>254</v>
      </c>
    </row>
    <row r="142" spans="1:1" x14ac:dyDescent="0.25">
      <c r="A142" t="s">
        <v>255</v>
      </c>
    </row>
    <row r="143" spans="1:1" x14ac:dyDescent="0.25">
      <c r="A143" t="s">
        <v>256</v>
      </c>
    </row>
    <row r="144" spans="1:1" x14ac:dyDescent="0.25">
      <c r="A144" t="s">
        <v>257</v>
      </c>
    </row>
    <row r="145" spans="1:1" x14ac:dyDescent="0.25">
      <c r="A145" t="s">
        <v>258</v>
      </c>
    </row>
    <row r="146" spans="1:1" x14ac:dyDescent="0.25">
      <c r="A146" t="s">
        <v>259</v>
      </c>
    </row>
    <row r="147" spans="1:1" x14ac:dyDescent="0.25">
      <c r="A147" t="s">
        <v>260</v>
      </c>
    </row>
    <row r="148" spans="1:1" x14ac:dyDescent="0.25">
      <c r="A148" t="s">
        <v>261</v>
      </c>
    </row>
    <row r="149" spans="1:1" x14ac:dyDescent="0.25">
      <c r="A149" t="s">
        <v>262</v>
      </c>
    </row>
    <row r="150" spans="1:1" x14ac:dyDescent="0.25">
      <c r="A150" t="s">
        <v>263</v>
      </c>
    </row>
    <row r="151" spans="1:1" x14ac:dyDescent="0.25">
      <c r="A151" t="s">
        <v>264</v>
      </c>
    </row>
    <row r="152" spans="1:1" x14ac:dyDescent="0.25">
      <c r="A152" t="s">
        <v>265</v>
      </c>
    </row>
    <row r="153" spans="1:1" x14ac:dyDescent="0.25">
      <c r="A153" t="s">
        <v>266</v>
      </c>
    </row>
    <row r="154" spans="1:1" x14ac:dyDescent="0.25">
      <c r="A154" t="s">
        <v>267</v>
      </c>
    </row>
    <row r="155" spans="1:1" x14ac:dyDescent="0.25">
      <c r="A155" t="s">
        <v>268</v>
      </c>
    </row>
    <row r="156" spans="1:1" x14ac:dyDescent="0.25">
      <c r="A156" t="s">
        <v>269</v>
      </c>
    </row>
    <row r="157" spans="1:1" x14ac:dyDescent="0.25">
      <c r="A157" t="s">
        <v>270</v>
      </c>
    </row>
    <row r="158" spans="1:1" x14ac:dyDescent="0.25">
      <c r="A158" t="s">
        <v>271</v>
      </c>
    </row>
    <row r="159" spans="1:1" x14ac:dyDescent="0.25">
      <c r="A159" t="s">
        <v>272</v>
      </c>
    </row>
    <row r="160" spans="1:1" x14ac:dyDescent="0.25">
      <c r="A160" t="s">
        <v>273</v>
      </c>
    </row>
  </sheetData>
  <sheetProtection algorithmName="SHA-512" hashValue="ZiCWoD0T19EsLGa4/CcoePScRTiLkFqvQCqM23xfmMXjIxtDb152019n9N8tk5tMKaYt1fIU/HtilhXpEBXLjg==" saltValue="jbvM38nJP/PjBz96uz/bG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9"/>
  <dimension ref="A1:AB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5" width="10" style="26"/>
    <col min="16" max="16" width="31.54296875" style="26" customWidth="1"/>
    <col min="17" max="28" width="22.54296875" style="26" customWidth="1"/>
    <col min="29" max="16384" width="10" style="26"/>
  </cols>
  <sheetData>
    <row r="1" spans="1:28" ht="20" x14ac:dyDescent="0.4">
      <c r="A1" s="37" t="s">
        <v>0</v>
      </c>
      <c r="B1" s="38"/>
      <c r="C1" s="38"/>
      <c r="D1" s="38"/>
      <c r="E1" s="38"/>
      <c r="F1" s="38"/>
      <c r="G1" s="38"/>
      <c r="H1" s="38"/>
      <c r="I1" s="38"/>
    </row>
    <row r="2" spans="1:28" ht="15.5" x14ac:dyDescent="0.35">
      <c r="A2" s="39" t="str">
        <f>IF(title="&gt; Enter workbook title here","Enter workbook title in Cover sheet",title)</f>
        <v>NHSPS_S - Consolidated Factor Spreadsheet</v>
      </c>
      <c r="B2" s="40"/>
      <c r="C2" s="40"/>
      <c r="D2" s="40"/>
      <c r="E2" s="40"/>
      <c r="F2" s="40"/>
      <c r="G2" s="40"/>
      <c r="H2" s="40"/>
      <c r="I2" s="40"/>
    </row>
    <row r="3" spans="1:28" ht="15.5" x14ac:dyDescent="0.35">
      <c r="A3" s="41" t="str">
        <f>TABLE_FACTOR_TYPE_1&amp;" - x-"&amp;TABLE_SERIES_NUMBER_1</f>
        <v>ERF - x-415</v>
      </c>
      <c r="B3" s="40"/>
      <c r="C3" s="40"/>
      <c r="D3" s="40"/>
      <c r="E3" s="40"/>
      <c r="F3" s="40"/>
      <c r="G3" s="40"/>
      <c r="H3" s="40"/>
      <c r="I3" s="40"/>
    </row>
    <row r="4" spans="1:28" x14ac:dyDescent="0.25">
      <c r="A4" s="42"/>
    </row>
    <row r="6" spans="1:28" ht="13" x14ac:dyDescent="0.3">
      <c r="A6" s="75" t="s">
        <v>274</v>
      </c>
      <c r="B6" s="161" t="s">
        <v>275</v>
      </c>
      <c r="C6" s="161"/>
      <c r="D6" s="161"/>
      <c r="E6" s="161"/>
      <c r="F6" s="161"/>
      <c r="G6" s="161"/>
      <c r="H6" s="161"/>
      <c r="I6" s="161"/>
      <c r="J6" s="161"/>
      <c r="K6" s="161"/>
      <c r="L6" s="161"/>
      <c r="M6" s="161"/>
      <c r="P6" s="75" t="s">
        <v>274</v>
      </c>
      <c r="Q6" s="161" t="s">
        <v>275</v>
      </c>
      <c r="R6" s="161"/>
      <c r="S6" s="161"/>
      <c r="T6" s="161"/>
      <c r="U6" s="161"/>
      <c r="V6" s="161"/>
      <c r="W6" s="161"/>
      <c r="X6" s="161"/>
      <c r="Y6" s="161"/>
      <c r="Z6" s="161"/>
      <c r="AA6" s="161"/>
      <c r="AB6" s="161"/>
    </row>
    <row r="7" spans="1:28" x14ac:dyDescent="0.25">
      <c r="A7" s="77" t="s">
        <v>276</v>
      </c>
      <c r="B7" s="161" t="s">
        <v>72</v>
      </c>
      <c r="C7" s="161"/>
      <c r="D7" s="161"/>
      <c r="E7" s="161"/>
      <c r="F7" s="161"/>
      <c r="G7" s="161"/>
      <c r="H7" s="161"/>
      <c r="I7" s="161"/>
      <c r="J7" s="161"/>
      <c r="K7" s="161"/>
      <c r="L7" s="161"/>
      <c r="M7" s="161"/>
      <c r="P7" s="77" t="s">
        <v>276</v>
      </c>
      <c r="Q7" s="161" t="s">
        <v>72</v>
      </c>
      <c r="R7" s="161"/>
      <c r="S7" s="161"/>
      <c r="T7" s="161"/>
      <c r="U7" s="161"/>
      <c r="V7" s="161"/>
      <c r="W7" s="161"/>
      <c r="X7" s="161"/>
      <c r="Y7" s="161"/>
      <c r="Z7" s="161"/>
      <c r="AA7" s="161"/>
      <c r="AB7" s="161"/>
    </row>
    <row r="8" spans="1:28" x14ac:dyDescent="0.25">
      <c r="A8" s="77" t="s">
        <v>278</v>
      </c>
      <c r="B8" s="161" t="s">
        <v>74</v>
      </c>
      <c r="C8" s="161"/>
      <c r="D8" s="161"/>
      <c r="E8" s="161"/>
      <c r="F8" s="161"/>
      <c r="G8" s="161"/>
      <c r="H8" s="161"/>
      <c r="I8" s="161"/>
      <c r="J8" s="161"/>
      <c r="K8" s="161"/>
      <c r="L8" s="161"/>
      <c r="M8" s="161"/>
      <c r="P8" s="77" t="s">
        <v>278</v>
      </c>
      <c r="Q8" s="161" t="s">
        <v>74</v>
      </c>
      <c r="R8" s="161"/>
      <c r="S8" s="161"/>
      <c r="T8" s="161"/>
      <c r="U8" s="161"/>
      <c r="V8" s="161"/>
      <c r="W8" s="161"/>
      <c r="X8" s="161"/>
      <c r="Y8" s="161"/>
      <c r="Z8" s="161"/>
      <c r="AA8" s="161"/>
      <c r="AB8" s="161"/>
    </row>
    <row r="9" spans="1:28" x14ac:dyDescent="0.25">
      <c r="A9" s="77" t="s">
        <v>280</v>
      </c>
      <c r="B9" s="161" t="s">
        <v>405</v>
      </c>
      <c r="C9" s="161"/>
      <c r="D9" s="161"/>
      <c r="E9" s="161"/>
      <c r="F9" s="161"/>
      <c r="G9" s="161"/>
      <c r="H9" s="161"/>
      <c r="I9" s="161"/>
      <c r="J9" s="161"/>
      <c r="K9" s="161"/>
      <c r="L9" s="161"/>
      <c r="M9" s="161"/>
      <c r="P9" s="77" t="s">
        <v>280</v>
      </c>
      <c r="Q9" s="161" t="s">
        <v>405</v>
      </c>
      <c r="R9" s="161"/>
      <c r="S9" s="161"/>
      <c r="T9" s="161"/>
      <c r="U9" s="161"/>
      <c r="V9" s="161"/>
      <c r="W9" s="161"/>
      <c r="X9" s="161"/>
      <c r="Y9" s="161"/>
      <c r="Z9" s="161"/>
      <c r="AA9" s="161"/>
      <c r="AB9" s="161"/>
    </row>
    <row r="10" spans="1:28" x14ac:dyDescent="0.25">
      <c r="A10" s="77" t="s">
        <v>6</v>
      </c>
      <c r="B10" s="161" t="s">
        <v>463</v>
      </c>
      <c r="C10" s="161"/>
      <c r="D10" s="161"/>
      <c r="E10" s="161"/>
      <c r="F10" s="161"/>
      <c r="G10" s="161"/>
      <c r="H10" s="161"/>
      <c r="I10" s="161"/>
      <c r="J10" s="161"/>
      <c r="K10" s="161"/>
      <c r="L10" s="161"/>
      <c r="M10" s="161"/>
      <c r="P10" s="77" t="s">
        <v>6</v>
      </c>
      <c r="Q10" s="161" t="s">
        <v>466</v>
      </c>
      <c r="R10" s="161"/>
      <c r="S10" s="161"/>
      <c r="T10" s="161"/>
      <c r="U10" s="161"/>
      <c r="V10" s="161"/>
      <c r="W10" s="161"/>
      <c r="X10" s="161"/>
      <c r="Y10" s="161"/>
      <c r="Z10" s="161"/>
      <c r="AA10" s="161"/>
      <c r="AB10" s="161"/>
    </row>
    <row r="11" spans="1:28" x14ac:dyDescent="0.25">
      <c r="A11" s="77" t="s">
        <v>283</v>
      </c>
      <c r="B11" s="161" t="s">
        <v>355</v>
      </c>
      <c r="C11" s="161"/>
      <c r="D11" s="161"/>
      <c r="E11" s="161"/>
      <c r="F11" s="161"/>
      <c r="G11" s="161"/>
      <c r="H11" s="161"/>
      <c r="I11" s="161"/>
      <c r="J11" s="161"/>
      <c r="K11" s="161"/>
      <c r="L11" s="161"/>
      <c r="M11" s="161"/>
      <c r="P11" s="77" t="s">
        <v>283</v>
      </c>
      <c r="Q11" s="161" t="s">
        <v>355</v>
      </c>
      <c r="R11" s="161"/>
      <c r="S11" s="161"/>
      <c r="T11" s="161"/>
      <c r="U11" s="161"/>
      <c r="V11" s="161"/>
      <c r="W11" s="161"/>
      <c r="X11" s="161"/>
      <c r="Y11" s="161"/>
      <c r="Z11" s="161"/>
      <c r="AA11" s="161"/>
      <c r="AB11" s="161"/>
    </row>
    <row r="12" spans="1:28" x14ac:dyDescent="0.25">
      <c r="A12" s="77" t="s">
        <v>285</v>
      </c>
      <c r="B12" s="161" t="s">
        <v>407</v>
      </c>
      <c r="C12" s="161"/>
      <c r="D12" s="161"/>
      <c r="E12" s="161"/>
      <c r="F12" s="161"/>
      <c r="G12" s="161"/>
      <c r="H12" s="161"/>
      <c r="I12" s="161"/>
      <c r="J12" s="161"/>
      <c r="K12" s="161"/>
      <c r="L12" s="161"/>
      <c r="M12" s="161"/>
      <c r="P12" s="77" t="s">
        <v>285</v>
      </c>
      <c r="Q12" s="161" t="s">
        <v>407</v>
      </c>
      <c r="R12" s="161"/>
      <c r="S12" s="161"/>
      <c r="T12" s="161"/>
      <c r="U12" s="161"/>
      <c r="V12" s="161"/>
      <c r="W12" s="161"/>
      <c r="X12" s="161"/>
      <c r="Y12" s="161"/>
      <c r="Z12" s="161"/>
      <c r="AA12" s="161"/>
      <c r="AB12" s="161"/>
    </row>
    <row r="13" spans="1:28" x14ac:dyDescent="0.25">
      <c r="A13" s="77" t="s">
        <v>287</v>
      </c>
      <c r="B13" s="161">
        <v>1</v>
      </c>
      <c r="C13" s="161"/>
      <c r="D13" s="161"/>
      <c r="E13" s="161"/>
      <c r="F13" s="161"/>
      <c r="G13" s="161"/>
      <c r="H13" s="161"/>
      <c r="I13" s="161"/>
      <c r="J13" s="161"/>
      <c r="K13" s="161"/>
      <c r="L13" s="161"/>
      <c r="M13" s="161"/>
      <c r="P13" s="77" t="s">
        <v>287</v>
      </c>
      <c r="Q13" s="161">
        <v>1</v>
      </c>
      <c r="R13" s="161"/>
      <c r="S13" s="161"/>
      <c r="T13" s="161"/>
      <c r="U13" s="161"/>
      <c r="V13" s="161"/>
      <c r="W13" s="161"/>
      <c r="X13" s="161"/>
      <c r="Y13" s="161"/>
      <c r="Z13" s="161"/>
      <c r="AA13" s="161"/>
      <c r="AB13" s="161"/>
    </row>
    <row r="14" spans="1:28" x14ac:dyDescent="0.25">
      <c r="A14" s="77" t="s">
        <v>289</v>
      </c>
      <c r="B14" s="161">
        <v>415</v>
      </c>
      <c r="C14" s="161"/>
      <c r="D14" s="161"/>
      <c r="E14" s="161"/>
      <c r="F14" s="161"/>
      <c r="G14" s="161"/>
      <c r="H14" s="161"/>
      <c r="I14" s="161"/>
      <c r="J14" s="161"/>
      <c r="K14" s="161"/>
      <c r="L14" s="161"/>
      <c r="M14" s="161"/>
      <c r="P14" s="77" t="s">
        <v>289</v>
      </c>
      <c r="Q14" s="161">
        <v>415</v>
      </c>
      <c r="R14" s="161"/>
      <c r="S14" s="161"/>
      <c r="T14" s="161"/>
      <c r="U14" s="161"/>
      <c r="V14" s="161"/>
      <c r="W14" s="161"/>
      <c r="X14" s="161"/>
      <c r="Y14" s="161"/>
      <c r="Z14" s="161"/>
      <c r="AA14" s="161"/>
      <c r="AB14" s="161"/>
    </row>
    <row r="15" spans="1:28" x14ac:dyDescent="0.25">
      <c r="A15" s="77" t="s">
        <v>291</v>
      </c>
      <c r="B15" s="161" t="s">
        <v>464</v>
      </c>
      <c r="C15" s="161"/>
      <c r="D15" s="161"/>
      <c r="E15" s="161"/>
      <c r="F15" s="161"/>
      <c r="G15" s="161"/>
      <c r="H15" s="161"/>
      <c r="I15" s="161"/>
      <c r="J15" s="161"/>
      <c r="K15" s="161"/>
      <c r="L15" s="161"/>
      <c r="M15" s="161"/>
      <c r="P15" s="77" t="s">
        <v>291</v>
      </c>
      <c r="Q15" s="161" t="s">
        <v>467</v>
      </c>
      <c r="R15" s="161"/>
      <c r="S15" s="161"/>
      <c r="T15" s="161"/>
      <c r="U15" s="161"/>
      <c r="V15" s="161"/>
      <c r="W15" s="161"/>
      <c r="X15" s="161"/>
      <c r="Y15" s="161"/>
      <c r="Z15" s="161"/>
      <c r="AA15" s="161"/>
      <c r="AB15" s="161"/>
    </row>
    <row r="16" spans="1:28" x14ac:dyDescent="0.25">
      <c r="A16" s="77" t="s">
        <v>293</v>
      </c>
      <c r="B16" s="161" t="s">
        <v>465</v>
      </c>
      <c r="C16" s="161"/>
      <c r="D16" s="161"/>
      <c r="E16" s="161"/>
      <c r="F16" s="161"/>
      <c r="G16" s="161"/>
      <c r="H16" s="161"/>
      <c r="I16" s="161"/>
      <c r="J16" s="161"/>
      <c r="K16" s="161"/>
      <c r="L16" s="161"/>
      <c r="M16" s="161"/>
      <c r="P16" s="77" t="s">
        <v>293</v>
      </c>
      <c r="Q16" s="161" t="s">
        <v>468</v>
      </c>
      <c r="R16" s="161"/>
      <c r="S16" s="161"/>
      <c r="T16" s="161"/>
      <c r="U16" s="161"/>
      <c r="V16" s="161"/>
      <c r="W16" s="161"/>
      <c r="X16" s="161"/>
      <c r="Y16" s="161"/>
      <c r="Z16" s="161"/>
      <c r="AA16" s="161"/>
      <c r="AB16" s="161"/>
    </row>
    <row r="17" spans="1:28" x14ac:dyDescent="0.25">
      <c r="A17" s="74" t="s">
        <v>760</v>
      </c>
      <c r="B17" s="161"/>
      <c r="C17" s="161"/>
      <c r="D17" s="161"/>
      <c r="E17" s="161"/>
      <c r="F17" s="161"/>
      <c r="G17" s="161"/>
      <c r="H17" s="161"/>
      <c r="I17" s="161"/>
      <c r="J17" s="161"/>
      <c r="K17" s="161"/>
      <c r="L17" s="161"/>
      <c r="M17" s="161"/>
      <c r="P17" s="74" t="s">
        <v>760</v>
      </c>
      <c r="Q17" s="161"/>
      <c r="R17" s="161"/>
      <c r="S17" s="161"/>
      <c r="T17" s="161"/>
      <c r="U17" s="161"/>
      <c r="V17" s="161"/>
      <c r="W17" s="161"/>
      <c r="X17" s="161"/>
      <c r="Y17" s="161"/>
      <c r="Z17" s="161"/>
      <c r="AA17" s="161"/>
      <c r="AB17" s="161"/>
    </row>
    <row r="18" spans="1:28" x14ac:dyDescent="0.25">
      <c r="A18" s="77" t="s">
        <v>297</v>
      </c>
      <c r="B18" s="163">
        <v>45107</v>
      </c>
      <c r="C18" s="161"/>
      <c r="D18" s="161"/>
      <c r="E18" s="161"/>
      <c r="F18" s="161"/>
      <c r="G18" s="161"/>
      <c r="H18" s="161"/>
      <c r="I18" s="161"/>
      <c r="J18" s="161"/>
      <c r="K18" s="161"/>
      <c r="L18" s="161"/>
      <c r="M18" s="161"/>
      <c r="P18" s="77" t="s">
        <v>297</v>
      </c>
      <c r="Q18" s="163">
        <v>45107</v>
      </c>
      <c r="R18" s="161"/>
      <c r="S18" s="161"/>
      <c r="T18" s="161"/>
      <c r="U18" s="161"/>
      <c r="V18" s="161"/>
      <c r="W18" s="161"/>
      <c r="X18" s="161"/>
      <c r="Y18" s="161"/>
      <c r="Z18" s="161"/>
      <c r="AA18" s="161"/>
      <c r="AB18" s="161"/>
    </row>
    <row r="19" spans="1:28" x14ac:dyDescent="0.25">
      <c r="A19" s="77" t="s">
        <v>299</v>
      </c>
      <c r="B19" s="163">
        <v>45110</v>
      </c>
      <c r="C19" s="161"/>
      <c r="D19" s="161"/>
      <c r="E19" s="161"/>
      <c r="F19" s="161"/>
      <c r="G19" s="161"/>
      <c r="H19" s="161"/>
      <c r="I19" s="161"/>
      <c r="J19" s="161"/>
      <c r="K19" s="161"/>
      <c r="L19" s="161"/>
      <c r="M19" s="161"/>
      <c r="P19" s="77" t="s">
        <v>299</v>
      </c>
      <c r="Q19" s="163">
        <v>45110</v>
      </c>
      <c r="R19" s="161"/>
      <c r="S19" s="161"/>
      <c r="T19" s="161"/>
      <c r="U19" s="161"/>
      <c r="V19" s="161"/>
      <c r="W19" s="161"/>
      <c r="X19" s="161"/>
      <c r="Y19" s="161"/>
      <c r="Z19" s="161"/>
      <c r="AA19" s="161"/>
      <c r="AB19" s="161"/>
    </row>
    <row r="20" spans="1:28" x14ac:dyDescent="0.25">
      <c r="A20" s="77" t="s">
        <v>301</v>
      </c>
      <c r="B20" s="161" t="s">
        <v>314</v>
      </c>
      <c r="C20" s="161"/>
      <c r="D20" s="161"/>
      <c r="E20" s="161"/>
      <c r="F20" s="161"/>
      <c r="G20" s="161"/>
      <c r="H20" s="161"/>
      <c r="I20" s="161"/>
      <c r="J20" s="161"/>
      <c r="K20" s="161"/>
      <c r="L20" s="161"/>
      <c r="M20" s="161"/>
      <c r="P20" s="77" t="s">
        <v>301</v>
      </c>
      <c r="Q20" s="161" t="s">
        <v>314</v>
      </c>
      <c r="R20" s="161"/>
      <c r="S20" s="161"/>
      <c r="T20" s="161"/>
      <c r="U20" s="161"/>
      <c r="V20" s="161"/>
      <c r="W20" s="161"/>
      <c r="X20" s="161"/>
      <c r="Y20" s="161"/>
      <c r="Z20" s="161"/>
      <c r="AA20" s="161"/>
      <c r="AB20" s="161"/>
    </row>
    <row r="21" spans="1:28" x14ac:dyDescent="0.25">
      <c r="A21" s="77" t="s">
        <v>307</v>
      </c>
      <c r="B21" s="161" t="s">
        <v>315</v>
      </c>
      <c r="C21" s="161"/>
      <c r="D21" s="161"/>
      <c r="E21" s="161"/>
      <c r="F21" s="161"/>
      <c r="G21" s="161"/>
      <c r="H21" s="161"/>
      <c r="I21" s="161"/>
      <c r="J21" s="161"/>
      <c r="K21" s="161"/>
      <c r="L21" s="161"/>
      <c r="M21" s="161"/>
      <c r="P21" s="77" t="s">
        <v>307</v>
      </c>
      <c r="Q21" s="161" t="s">
        <v>315</v>
      </c>
      <c r="R21" s="161"/>
      <c r="S21" s="161"/>
      <c r="T21" s="161"/>
      <c r="U21" s="161"/>
      <c r="V21" s="161"/>
      <c r="W21" s="161"/>
      <c r="X21" s="161"/>
      <c r="Y21" s="161"/>
      <c r="Z21" s="161"/>
      <c r="AA21" s="161"/>
      <c r="AB21" s="161"/>
    </row>
    <row r="23" spans="1:28" x14ac:dyDescent="0.25">
      <c r="B23" s="100" t="str">
        <f>HYPERLINK("#'Factor List'!A1","Back to Factor List")</f>
        <v>Back to Factor List</v>
      </c>
    </row>
    <row r="24" spans="1:28" x14ac:dyDescent="0.25">
      <c r="B24" s="100" t="s">
        <v>13</v>
      </c>
    </row>
    <row r="26" spans="1:28" ht="13" x14ac:dyDescent="0.25">
      <c r="A26" s="79" t="s">
        <v>803</v>
      </c>
      <c r="B26" s="79">
        <v>0</v>
      </c>
      <c r="C26" s="79">
        <v>1</v>
      </c>
      <c r="D26" s="79">
        <v>2</v>
      </c>
      <c r="E26" s="79">
        <v>3</v>
      </c>
      <c r="F26" s="79">
        <v>4</v>
      </c>
      <c r="G26" s="79">
        <v>5</v>
      </c>
      <c r="H26" s="79">
        <v>6</v>
      </c>
      <c r="I26" s="79">
        <v>7</v>
      </c>
      <c r="J26" s="79">
        <v>8</v>
      </c>
      <c r="K26" s="79">
        <v>9</v>
      </c>
      <c r="L26" s="79">
        <v>10</v>
      </c>
      <c r="M26" s="79">
        <v>11</v>
      </c>
      <c r="P26" s="97" t="s">
        <v>803</v>
      </c>
      <c r="Q26" s="97">
        <v>0</v>
      </c>
      <c r="R26" s="97">
        <v>1</v>
      </c>
      <c r="S26" s="97">
        <v>2</v>
      </c>
      <c r="T26" s="97">
        <v>3</v>
      </c>
      <c r="U26" s="97">
        <v>4</v>
      </c>
      <c r="V26" s="97">
        <v>5</v>
      </c>
      <c r="W26" s="97">
        <v>6</v>
      </c>
      <c r="X26" s="97">
        <v>7</v>
      </c>
      <c r="Y26" s="97">
        <v>8</v>
      </c>
      <c r="Z26" s="97">
        <v>9</v>
      </c>
      <c r="AA26" s="97">
        <v>10</v>
      </c>
      <c r="AB26" s="97">
        <v>11</v>
      </c>
    </row>
    <row r="27" spans="1:28" x14ac:dyDescent="0.25">
      <c r="A27" s="80">
        <v>50</v>
      </c>
      <c r="B27" s="81">
        <v>0.182</v>
      </c>
      <c r="C27" s="81">
        <v>0.17899999999999999</v>
      </c>
      <c r="D27" s="81">
        <v>0.17599999999999999</v>
      </c>
      <c r="E27" s="81">
        <v>0.17299999999999999</v>
      </c>
      <c r="F27" s="81">
        <v>0.17</v>
      </c>
      <c r="G27" s="81">
        <v>0.16700000000000001</v>
      </c>
      <c r="H27" s="81">
        <v>0.16400000000000001</v>
      </c>
      <c r="I27" s="81">
        <v>0.161</v>
      </c>
      <c r="J27" s="81">
        <v>0.158</v>
      </c>
      <c r="K27" s="81">
        <v>0.155</v>
      </c>
      <c r="L27" s="81">
        <v>0.152</v>
      </c>
      <c r="M27" s="81">
        <v>0.14899999999999999</v>
      </c>
      <c r="P27" s="98">
        <v>50</v>
      </c>
      <c r="Q27" s="103">
        <v>0.90600000000000003</v>
      </c>
      <c r="R27" s="103">
        <v>0.90700000000000003</v>
      </c>
      <c r="S27" s="103">
        <v>0.90900000000000003</v>
      </c>
      <c r="T27" s="103">
        <v>0.91</v>
      </c>
      <c r="U27" s="103">
        <v>0.91200000000000003</v>
      </c>
      <c r="V27" s="103">
        <v>0.91300000000000003</v>
      </c>
      <c r="W27" s="103">
        <v>0.91500000000000004</v>
      </c>
      <c r="X27" s="103">
        <v>0.91600000000000004</v>
      </c>
      <c r="Y27" s="103">
        <v>0.91800000000000004</v>
      </c>
      <c r="Z27" s="103">
        <v>0.91900000000000004</v>
      </c>
      <c r="AA27" s="103">
        <v>0.92100000000000004</v>
      </c>
      <c r="AB27" s="103">
        <v>0.92200000000000004</v>
      </c>
    </row>
    <row r="28" spans="1:28" x14ac:dyDescent="0.25">
      <c r="A28" s="80">
        <v>51</v>
      </c>
      <c r="B28" s="81">
        <v>0.14599999999999999</v>
      </c>
      <c r="C28" s="81">
        <v>0.14299999999999999</v>
      </c>
      <c r="D28" s="81">
        <v>0.14000000000000001</v>
      </c>
      <c r="E28" s="81">
        <v>0.13700000000000001</v>
      </c>
      <c r="F28" s="81">
        <v>0.13400000000000001</v>
      </c>
      <c r="G28" s="81">
        <v>0.13100000000000001</v>
      </c>
      <c r="H28" s="81">
        <v>0.128</v>
      </c>
      <c r="I28" s="81">
        <v>0.125</v>
      </c>
      <c r="J28" s="81">
        <v>0.122</v>
      </c>
      <c r="K28" s="81">
        <v>0.11899999999999999</v>
      </c>
      <c r="L28" s="81">
        <v>0.11600000000000001</v>
      </c>
      <c r="M28" s="81">
        <v>0.113</v>
      </c>
      <c r="P28" s="98">
        <v>51</v>
      </c>
      <c r="Q28" s="103">
        <v>0.92400000000000004</v>
      </c>
      <c r="R28" s="103">
        <v>0.92500000000000004</v>
      </c>
      <c r="S28" s="103">
        <v>0.92700000000000005</v>
      </c>
      <c r="T28" s="103">
        <v>0.92800000000000005</v>
      </c>
      <c r="U28" s="103">
        <v>0.93</v>
      </c>
      <c r="V28" s="103">
        <v>0.93200000000000005</v>
      </c>
      <c r="W28" s="103">
        <v>0.93300000000000005</v>
      </c>
      <c r="X28" s="103">
        <v>0.93500000000000005</v>
      </c>
      <c r="Y28" s="103">
        <v>0.93600000000000005</v>
      </c>
      <c r="Z28" s="103">
        <v>0.93799999999999994</v>
      </c>
      <c r="AA28" s="103">
        <v>0.93899999999999995</v>
      </c>
      <c r="AB28" s="103">
        <v>0.94099999999999995</v>
      </c>
    </row>
    <row r="29" spans="1:28" x14ac:dyDescent="0.25">
      <c r="A29" s="80">
        <v>52</v>
      </c>
      <c r="B29" s="81">
        <v>0.11</v>
      </c>
      <c r="C29" s="81">
        <v>0.107</v>
      </c>
      <c r="D29" s="81">
        <v>0.10299999999999999</v>
      </c>
      <c r="E29" s="81">
        <v>0.1</v>
      </c>
      <c r="F29" s="81">
        <v>9.7000000000000003E-2</v>
      </c>
      <c r="G29" s="81">
        <v>9.4E-2</v>
      </c>
      <c r="H29" s="81">
        <v>9.0999999999999998E-2</v>
      </c>
      <c r="I29" s="81">
        <v>8.7999999999999995E-2</v>
      </c>
      <c r="J29" s="81">
        <v>8.5000000000000006E-2</v>
      </c>
      <c r="K29" s="81">
        <v>8.2000000000000003E-2</v>
      </c>
      <c r="L29" s="81">
        <v>7.9000000000000001E-2</v>
      </c>
      <c r="M29" s="81">
        <v>7.5999999999999998E-2</v>
      </c>
      <c r="P29" s="98">
        <v>52</v>
      </c>
      <c r="Q29" s="103">
        <v>0.94199999999999995</v>
      </c>
      <c r="R29" s="103">
        <v>0.94399999999999995</v>
      </c>
      <c r="S29" s="103">
        <v>0.94499999999999995</v>
      </c>
      <c r="T29" s="103">
        <v>0.94699999999999995</v>
      </c>
      <c r="U29" s="103">
        <v>0.94899999999999995</v>
      </c>
      <c r="V29" s="103">
        <v>0.95</v>
      </c>
      <c r="W29" s="103">
        <v>0.95199999999999996</v>
      </c>
      <c r="X29" s="103">
        <v>0.95299999999999996</v>
      </c>
      <c r="Y29" s="103">
        <v>0.95499999999999996</v>
      </c>
      <c r="Z29" s="103">
        <v>0.95599999999999996</v>
      </c>
      <c r="AA29" s="103">
        <v>0.95799999999999996</v>
      </c>
      <c r="AB29" s="103">
        <v>0.96</v>
      </c>
    </row>
    <row r="30" spans="1:28" x14ac:dyDescent="0.25">
      <c r="A30" s="80">
        <v>53</v>
      </c>
      <c r="B30" s="81">
        <v>7.2999999999999995E-2</v>
      </c>
      <c r="C30" s="81">
        <v>7.0000000000000007E-2</v>
      </c>
      <c r="D30" s="81">
        <v>6.7000000000000004E-2</v>
      </c>
      <c r="E30" s="81">
        <v>6.4000000000000001E-2</v>
      </c>
      <c r="F30" s="81">
        <v>6.0999999999999999E-2</v>
      </c>
      <c r="G30" s="81">
        <v>5.8000000000000003E-2</v>
      </c>
      <c r="H30" s="81">
        <v>5.5E-2</v>
      </c>
      <c r="I30" s="81">
        <v>5.1999999999999998E-2</v>
      </c>
      <c r="J30" s="81">
        <v>4.9000000000000002E-2</v>
      </c>
      <c r="K30" s="81">
        <v>4.5999999999999999E-2</v>
      </c>
      <c r="L30" s="81">
        <v>4.2999999999999997E-2</v>
      </c>
      <c r="M30" s="81">
        <v>0.04</v>
      </c>
      <c r="P30" s="98">
        <v>53</v>
      </c>
      <c r="Q30" s="103">
        <v>0.96099999999999997</v>
      </c>
      <c r="R30" s="103">
        <v>0.96299999999999997</v>
      </c>
      <c r="S30" s="103">
        <v>0.96399999999999997</v>
      </c>
      <c r="T30" s="103">
        <v>0.96599999999999997</v>
      </c>
      <c r="U30" s="103">
        <v>0.96799999999999997</v>
      </c>
      <c r="V30" s="103">
        <v>0.96899999999999997</v>
      </c>
      <c r="W30" s="103">
        <v>0.97099999999999997</v>
      </c>
      <c r="X30" s="103">
        <v>0.97199999999999998</v>
      </c>
      <c r="Y30" s="103">
        <v>0.97399999999999998</v>
      </c>
      <c r="Z30" s="103">
        <v>0.97599999999999998</v>
      </c>
      <c r="AA30" s="103">
        <v>0.97699999999999998</v>
      </c>
      <c r="AB30" s="103">
        <v>0.97899999999999998</v>
      </c>
    </row>
    <row r="31" spans="1:28" x14ac:dyDescent="0.25">
      <c r="A31" s="80">
        <v>54</v>
      </c>
      <c r="B31" s="81">
        <v>3.6999999999999998E-2</v>
      </c>
      <c r="C31" s="81">
        <v>3.4000000000000002E-2</v>
      </c>
      <c r="D31" s="81">
        <v>3.1E-2</v>
      </c>
      <c r="E31" s="81">
        <v>2.7E-2</v>
      </c>
      <c r="F31" s="81">
        <v>2.4E-2</v>
      </c>
      <c r="G31" s="81">
        <v>2.1000000000000001E-2</v>
      </c>
      <c r="H31" s="81">
        <v>1.7999999999999999E-2</v>
      </c>
      <c r="I31" s="81">
        <v>1.4999999999999999E-2</v>
      </c>
      <c r="J31" s="81">
        <v>1.2E-2</v>
      </c>
      <c r="K31" s="81">
        <v>8.9999999999999993E-3</v>
      </c>
      <c r="L31" s="81">
        <v>6.0000000000000001E-3</v>
      </c>
      <c r="M31" s="81">
        <v>3.0000000000000001E-3</v>
      </c>
      <c r="P31" s="98">
        <v>54</v>
      </c>
      <c r="Q31" s="103">
        <v>0.98</v>
      </c>
      <c r="R31" s="103">
        <v>0.98199999999999998</v>
      </c>
      <c r="S31" s="103">
        <v>0.98399999999999999</v>
      </c>
      <c r="T31" s="103">
        <v>0.98499999999999999</v>
      </c>
      <c r="U31" s="103">
        <v>0.98699999999999999</v>
      </c>
      <c r="V31" s="103">
        <v>0.98899999999999999</v>
      </c>
      <c r="W31" s="103">
        <v>0.99</v>
      </c>
      <c r="X31" s="103">
        <v>0.99199999999999999</v>
      </c>
      <c r="Y31" s="103">
        <v>0.99299999999999999</v>
      </c>
      <c r="Z31" s="103">
        <v>0.995</v>
      </c>
      <c r="AA31" s="103">
        <v>0.997</v>
      </c>
      <c r="AB31" s="103">
        <v>0.998</v>
      </c>
    </row>
    <row r="32" spans="1:28" x14ac:dyDescent="0.25">
      <c r="A32" s="80">
        <v>55</v>
      </c>
      <c r="B32" s="81">
        <v>0</v>
      </c>
      <c r="C32" s="81"/>
      <c r="D32" s="81"/>
      <c r="E32" s="81"/>
      <c r="F32" s="81"/>
      <c r="G32" s="81"/>
      <c r="H32" s="81"/>
      <c r="I32" s="81"/>
      <c r="J32" s="81"/>
      <c r="K32" s="81"/>
      <c r="L32" s="81"/>
      <c r="M32" s="81"/>
      <c r="P32" s="98">
        <v>55</v>
      </c>
      <c r="Q32" s="103">
        <v>1</v>
      </c>
      <c r="R32" s="103"/>
      <c r="S32" s="103"/>
      <c r="T32" s="103"/>
      <c r="U32" s="103"/>
      <c r="V32" s="103"/>
      <c r="W32" s="103"/>
      <c r="X32" s="103"/>
      <c r="Y32" s="103"/>
      <c r="Z32" s="103"/>
      <c r="AA32" s="103"/>
      <c r="AB32" s="103"/>
    </row>
    <row r="44" ht="39.65" customHeight="1" x14ac:dyDescent="0.25"/>
    <row r="46" ht="27.65" customHeight="1" x14ac:dyDescent="0.25"/>
  </sheetData>
  <sheetProtection algorithmName="SHA-512" hashValue="jp03BSW1GgfJ2vv1CLZ+3vC5DiZ6WT+NgRW55HyX7f8UqjCtCBy8N0iq/tNha62bEiEb3lx+lKZc+dyRNRfxbg==" saltValue="iNlwkN4PAOpoB2G98UpURw==" spinCount="100000" sheet="1" objects="1" scenarios="1"/>
  <conditionalFormatting sqref="A6:A21">
    <cfRule type="expression" dxfId="739" priority="27" stopIfTrue="1">
      <formula>MOD(ROW(),2)=0</formula>
    </cfRule>
    <cfRule type="expression" dxfId="738" priority="28" stopIfTrue="1">
      <formula>MOD(ROW(),2)&lt;&gt;0</formula>
    </cfRule>
  </conditionalFormatting>
  <conditionalFormatting sqref="A26:A32">
    <cfRule type="expression" dxfId="737" priority="11" stopIfTrue="1">
      <formula>MOD(ROW(),2)=0</formula>
    </cfRule>
    <cfRule type="expression" dxfId="736" priority="12" stopIfTrue="1">
      <formula>MOD(ROW(),2)&lt;&gt;0</formula>
    </cfRule>
  </conditionalFormatting>
  <conditionalFormatting sqref="B17:B21">
    <cfRule type="expression" dxfId="735" priority="9" stopIfTrue="1">
      <formula>MOD(ROW(),2)=0</formula>
    </cfRule>
    <cfRule type="expression" dxfId="734" priority="10" stopIfTrue="1">
      <formula>MOD(ROW(),2)&lt;&gt;0</formula>
    </cfRule>
  </conditionalFormatting>
  <conditionalFormatting sqref="B6:M21">
    <cfRule type="expression" dxfId="733" priority="35" stopIfTrue="1">
      <formula>MOD(ROW(),2)=0</formula>
    </cfRule>
    <cfRule type="expression" dxfId="732" priority="36" stopIfTrue="1">
      <formula>MOD(ROW(),2)&lt;&gt;0</formula>
    </cfRule>
  </conditionalFormatting>
  <conditionalFormatting sqref="B26:M32">
    <cfRule type="expression" dxfId="731" priority="13" stopIfTrue="1">
      <formula>MOD(ROW(),2)=0</formula>
    </cfRule>
    <cfRule type="expression" dxfId="730" priority="14" stopIfTrue="1">
      <formula>MOD(ROW(),2)&lt;&gt;0</formula>
    </cfRule>
  </conditionalFormatting>
  <conditionalFormatting sqref="P6:P21">
    <cfRule type="expression" dxfId="729" priority="5" stopIfTrue="1">
      <formula>MOD(ROW(),2)=0</formula>
    </cfRule>
    <cfRule type="expression" dxfId="728" priority="6" stopIfTrue="1">
      <formula>MOD(ROW(),2)&lt;&gt;0</formula>
    </cfRule>
  </conditionalFormatting>
  <conditionalFormatting sqref="P26:P32">
    <cfRule type="expression" dxfId="727" priority="15" stopIfTrue="1">
      <formula>MOD(ROW(),2)=0</formula>
    </cfRule>
    <cfRule type="expression" dxfId="726" priority="16" stopIfTrue="1">
      <formula>MOD(ROW(),2)&lt;&gt;0</formula>
    </cfRule>
  </conditionalFormatting>
  <conditionalFormatting sqref="Q17:Q19">
    <cfRule type="expression" dxfId="725" priority="1" stopIfTrue="1">
      <formula>MOD(ROW(),2)=0</formula>
    </cfRule>
    <cfRule type="expression" dxfId="724" priority="2" stopIfTrue="1">
      <formula>MOD(ROW(),2)&lt;&gt;0</formula>
    </cfRule>
  </conditionalFormatting>
  <conditionalFormatting sqref="Q6:AB21">
    <cfRule type="expression" dxfId="723" priority="43" stopIfTrue="1">
      <formula>MOD(ROW(),2)=0</formula>
    </cfRule>
    <cfRule type="expression" dxfId="722" priority="44" stopIfTrue="1">
      <formula>MOD(ROW(),2)&lt;&gt;0</formula>
    </cfRule>
  </conditionalFormatting>
  <conditionalFormatting sqref="Q26:AB32">
    <cfRule type="expression" dxfId="721" priority="17" stopIfTrue="1">
      <formula>MOD(ROW(),2)=0</formula>
    </cfRule>
    <cfRule type="expression" dxfId="720" priority="18" stopIfTrue="1">
      <formula>MOD(ROW(),2)&lt;&gt;0</formula>
    </cfRule>
  </conditionalFormatting>
  <hyperlinks>
    <hyperlink ref="B24" location="Assumptions!A1" display="Assumptions" xr:uid="{930EC9F8-9865-4253-A100-DBD598D889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0"/>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x-416</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73</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469</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470</v>
      </c>
      <c r="C12" s="161"/>
      <c r="D12" s="161"/>
      <c r="E12" s="161"/>
      <c r="F12" s="161"/>
      <c r="G12" s="161"/>
      <c r="H12" s="161"/>
      <c r="I12" s="161"/>
      <c r="J12" s="161"/>
      <c r="K12" s="161"/>
      <c r="L12" s="161"/>
      <c r="M12" s="161"/>
    </row>
    <row r="13" spans="1:13" x14ac:dyDescent="0.25">
      <c r="A13" s="77" t="s">
        <v>287</v>
      </c>
      <c r="B13" s="161">
        <v>0</v>
      </c>
      <c r="C13" s="161"/>
      <c r="D13" s="161"/>
      <c r="E13" s="161"/>
      <c r="F13" s="161"/>
      <c r="G13" s="161"/>
      <c r="H13" s="161"/>
      <c r="I13" s="161"/>
      <c r="J13" s="161"/>
      <c r="K13" s="161"/>
      <c r="L13" s="161"/>
      <c r="M13" s="161"/>
    </row>
    <row r="14" spans="1:13" x14ac:dyDescent="0.25">
      <c r="A14" s="77" t="s">
        <v>289</v>
      </c>
      <c r="B14" s="161">
        <v>416</v>
      </c>
      <c r="C14" s="161"/>
      <c r="D14" s="161"/>
      <c r="E14" s="161"/>
      <c r="F14" s="161"/>
      <c r="G14" s="161"/>
      <c r="H14" s="161"/>
      <c r="I14" s="161"/>
      <c r="J14" s="161"/>
      <c r="K14" s="161"/>
      <c r="L14" s="161"/>
      <c r="M14" s="161"/>
    </row>
    <row r="15" spans="1:13" x14ac:dyDescent="0.25">
      <c r="A15" s="77" t="s">
        <v>291</v>
      </c>
      <c r="B15" s="161" t="s">
        <v>471</v>
      </c>
      <c r="C15" s="161"/>
      <c r="D15" s="161"/>
      <c r="E15" s="161"/>
      <c r="F15" s="161"/>
      <c r="G15" s="161"/>
      <c r="H15" s="161"/>
      <c r="I15" s="161"/>
      <c r="J15" s="161"/>
      <c r="K15" s="161"/>
      <c r="L15" s="161"/>
      <c r="M15" s="161"/>
    </row>
    <row r="16" spans="1:13" x14ac:dyDescent="0.25">
      <c r="A16" s="77" t="s">
        <v>293</v>
      </c>
      <c r="B16" s="161" t="s">
        <v>472</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805</v>
      </c>
      <c r="B26" s="79">
        <v>0</v>
      </c>
      <c r="C26" s="79">
        <v>1</v>
      </c>
      <c r="D26" s="79">
        <v>2</v>
      </c>
      <c r="E26" s="79">
        <v>3</v>
      </c>
      <c r="F26" s="79">
        <v>4</v>
      </c>
      <c r="G26" s="79">
        <v>5</v>
      </c>
      <c r="H26" s="79">
        <v>6</v>
      </c>
      <c r="I26" s="79">
        <v>7</v>
      </c>
      <c r="J26" s="79">
        <v>8</v>
      </c>
      <c r="K26" s="79">
        <v>9</v>
      </c>
      <c r="L26" s="79">
        <v>10</v>
      </c>
      <c r="M26" s="79">
        <v>11</v>
      </c>
    </row>
    <row r="27" spans="1:13" x14ac:dyDescent="0.25">
      <c r="A27" s="80">
        <v>0</v>
      </c>
      <c r="B27" s="81">
        <v>1</v>
      </c>
      <c r="C27" s="81">
        <v>0.995</v>
      </c>
      <c r="D27" s="81">
        <v>0.99099999999999999</v>
      </c>
      <c r="E27" s="81">
        <v>0.98599999999999999</v>
      </c>
      <c r="F27" s="81">
        <v>0.98199999999999998</v>
      </c>
      <c r="G27" s="81">
        <v>0.97699999999999998</v>
      </c>
      <c r="H27" s="81">
        <v>0.97299999999999998</v>
      </c>
      <c r="I27" s="81">
        <v>0.96799999999999997</v>
      </c>
      <c r="J27" s="81">
        <v>0.96399999999999997</v>
      </c>
      <c r="K27" s="81">
        <v>0.95899999999999996</v>
      </c>
      <c r="L27" s="81">
        <v>0.95499999999999996</v>
      </c>
      <c r="M27" s="81">
        <v>0.95</v>
      </c>
    </row>
    <row r="28" spans="1:13" x14ac:dyDescent="0.25">
      <c r="A28" s="80">
        <v>1</v>
      </c>
      <c r="B28" s="81">
        <v>0.94599999999999995</v>
      </c>
      <c r="C28" s="81">
        <v>0.94199999999999995</v>
      </c>
      <c r="D28" s="81">
        <v>0.93799999999999994</v>
      </c>
      <c r="E28" s="81">
        <v>0.93400000000000005</v>
      </c>
      <c r="F28" s="81">
        <v>0.93</v>
      </c>
      <c r="G28" s="81">
        <v>0.92500000000000004</v>
      </c>
      <c r="H28" s="81">
        <v>0.92100000000000004</v>
      </c>
      <c r="I28" s="81">
        <v>0.91700000000000004</v>
      </c>
      <c r="J28" s="81">
        <v>0.91300000000000003</v>
      </c>
      <c r="K28" s="81">
        <v>0.90900000000000003</v>
      </c>
      <c r="L28" s="81">
        <v>0.90500000000000003</v>
      </c>
      <c r="M28" s="81">
        <v>0.90100000000000002</v>
      </c>
    </row>
    <row r="29" spans="1:13" x14ac:dyDescent="0.25">
      <c r="A29" s="80">
        <v>2</v>
      </c>
      <c r="B29" s="81">
        <v>0.89700000000000002</v>
      </c>
      <c r="C29" s="81">
        <v>0.89300000000000002</v>
      </c>
      <c r="D29" s="81">
        <v>0.88900000000000001</v>
      </c>
      <c r="E29" s="81">
        <v>0.88500000000000001</v>
      </c>
      <c r="F29" s="81">
        <v>0.88200000000000001</v>
      </c>
      <c r="G29" s="81">
        <v>0.878</v>
      </c>
      <c r="H29" s="81">
        <v>0.874</v>
      </c>
      <c r="I29" s="81">
        <v>0.87</v>
      </c>
      <c r="J29" s="81">
        <v>0.86699999999999999</v>
      </c>
      <c r="K29" s="81">
        <v>0.86299999999999999</v>
      </c>
      <c r="L29" s="81">
        <v>0.85899999999999999</v>
      </c>
      <c r="M29" s="81">
        <v>0.85499999999999998</v>
      </c>
    </row>
    <row r="30" spans="1:13" x14ac:dyDescent="0.25">
      <c r="A30" s="80">
        <v>3</v>
      </c>
      <c r="B30" s="81">
        <v>0.85199999999999998</v>
      </c>
      <c r="C30" s="81">
        <v>0.84799999999999998</v>
      </c>
      <c r="D30" s="81">
        <v>0.84499999999999997</v>
      </c>
      <c r="E30" s="81">
        <v>0.84099999999999997</v>
      </c>
      <c r="F30" s="81">
        <v>0.83799999999999997</v>
      </c>
      <c r="G30" s="81">
        <v>0.83399999999999996</v>
      </c>
      <c r="H30" s="81">
        <v>0.83099999999999996</v>
      </c>
      <c r="I30" s="81">
        <v>0.82699999999999996</v>
      </c>
      <c r="J30" s="81">
        <v>0.82399999999999995</v>
      </c>
      <c r="K30" s="81">
        <v>0.82</v>
      </c>
      <c r="L30" s="81">
        <v>0.81699999999999995</v>
      </c>
      <c r="M30" s="81">
        <v>0.81399999999999995</v>
      </c>
    </row>
    <row r="31" spans="1:13" x14ac:dyDescent="0.25">
      <c r="A31" s="80">
        <v>4</v>
      </c>
      <c r="B31" s="81">
        <v>0.81</v>
      </c>
      <c r="C31" s="81">
        <v>0.80700000000000005</v>
      </c>
      <c r="D31" s="81">
        <v>0.80400000000000005</v>
      </c>
      <c r="E31" s="81">
        <v>0.80100000000000005</v>
      </c>
      <c r="F31" s="81">
        <v>0.79700000000000004</v>
      </c>
      <c r="G31" s="81">
        <v>0.79400000000000004</v>
      </c>
      <c r="H31" s="81">
        <v>0.79100000000000004</v>
      </c>
      <c r="I31" s="81">
        <v>0.78800000000000003</v>
      </c>
      <c r="J31" s="81">
        <v>0.78500000000000003</v>
      </c>
      <c r="K31" s="81">
        <v>0.78200000000000003</v>
      </c>
      <c r="L31" s="81">
        <v>0.77800000000000002</v>
      </c>
      <c r="M31" s="81">
        <v>0.77500000000000002</v>
      </c>
    </row>
    <row r="32" spans="1:13" x14ac:dyDescent="0.25">
      <c r="A32" s="80">
        <v>5</v>
      </c>
      <c r="B32" s="81">
        <v>0.77200000000000002</v>
      </c>
      <c r="C32" s="81">
        <v>0.76900000000000002</v>
      </c>
      <c r="D32" s="81">
        <v>0.76600000000000001</v>
      </c>
      <c r="E32" s="81">
        <v>0.76300000000000001</v>
      </c>
      <c r="F32" s="81">
        <v>0.76</v>
      </c>
      <c r="G32" s="81">
        <v>0.75700000000000001</v>
      </c>
      <c r="H32" s="81">
        <v>0.754</v>
      </c>
      <c r="I32" s="81">
        <v>0.751</v>
      </c>
      <c r="J32" s="81">
        <v>0.749</v>
      </c>
      <c r="K32" s="81">
        <v>0.746</v>
      </c>
      <c r="L32" s="81">
        <v>0.74299999999999999</v>
      </c>
      <c r="M32" s="81">
        <v>0.74</v>
      </c>
    </row>
    <row r="33" spans="1:13" x14ac:dyDescent="0.25">
      <c r="A33" s="80">
        <v>6</v>
      </c>
      <c r="B33" s="81">
        <v>0.73699999999999999</v>
      </c>
      <c r="C33" s="81">
        <v>0.73399999999999999</v>
      </c>
      <c r="D33" s="81">
        <v>0.73099999999999998</v>
      </c>
      <c r="E33" s="81">
        <v>0.72899999999999998</v>
      </c>
      <c r="F33" s="81">
        <v>0.72599999999999998</v>
      </c>
      <c r="G33" s="81">
        <v>0.72299999999999998</v>
      </c>
      <c r="H33" s="81">
        <v>0.72099999999999997</v>
      </c>
      <c r="I33" s="81">
        <v>0.71799999999999997</v>
      </c>
      <c r="J33" s="81">
        <v>0.71499999999999997</v>
      </c>
      <c r="K33" s="81">
        <v>0.71199999999999997</v>
      </c>
      <c r="L33" s="81">
        <v>0.71</v>
      </c>
      <c r="M33" s="81">
        <v>0.70699999999999996</v>
      </c>
    </row>
    <row r="34" spans="1:13" x14ac:dyDescent="0.25">
      <c r="A34" s="80">
        <v>7</v>
      </c>
      <c r="B34" s="81">
        <v>0.70399999999999996</v>
      </c>
      <c r="C34" s="81">
        <v>0.70199999999999996</v>
      </c>
      <c r="D34" s="81">
        <v>0.69899999999999995</v>
      </c>
      <c r="E34" s="81">
        <v>0.69699999999999995</v>
      </c>
      <c r="F34" s="81">
        <v>0.69399999999999995</v>
      </c>
      <c r="G34" s="81">
        <v>0.69199999999999995</v>
      </c>
      <c r="H34" s="81">
        <v>0.68899999999999995</v>
      </c>
      <c r="I34" s="81">
        <v>0.68700000000000006</v>
      </c>
      <c r="J34" s="81">
        <v>0.68400000000000005</v>
      </c>
      <c r="K34" s="81">
        <v>0.68200000000000005</v>
      </c>
      <c r="L34" s="81">
        <v>0.67900000000000005</v>
      </c>
      <c r="M34" s="81">
        <v>0.67700000000000005</v>
      </c>
    </row>
    <row r="35" spans="1:13" x14ac:dyDescent="0.25">
      <c r="A35" s="80">
        <v>8</v>
      </c>
      <c r="B35" s="81">
        <v>0.67400000000000004</v>
      </c>
      <c r="C35" s="81">
        <v>0.67200000000000004</v>
      </c>
      <c r="D35" s="81">
        <v>0.66900000000000004</v>
      </c>
      <c r="E35" s="81">
        <v>0.66700000000000004</v>
      </c>
      <c r="F35" s="81">
        <v>0.66500000000000004</v>
      </c>
      <c r="G35" s="81">
        <v>0.66200000000000003</v>
      </c>
      <c r="H35" s="81">
        <v>0.66</v>
      </c>
      <c r="I35" s="81">
        <v>0.65800000000000003</v>
      </c>
      <c r="J35" s="81">
        <v>0.65500000000000003</v>
      </c>
      <c r="K35" s="81">
        <v>0.65300000000000002</v>
      </c>
      <c r="L35" s="81">
        <v>0.65100000000000002</v>
      </c>
      <c r="M35" s="81">
        <v>0.64800000000000002</v>
      </c>
    </row>
    <row r="36" spans="1:13" x14ac:dyDescent="0.25">
      <c r="A36" s="80">
        <v>9</v>
      </c>
      <c r="B36" s="81">
        <v>0.64600000000000002</v>
      </c>
      <c r="C36" s="81">
        <v>0.64400000000000002</v>
      </c>
      <c r="D36" s="81">
        <v>0.64200000000000002</v>
      </c>
      <c r="E36" s="81">
        <v>0.63900000000000001</v>
      </c>
      <c r="F36" s="81">
        <v>0.63700000000000001</v>
      </c>
      <c r="G36" s="81">
        <v>0.63500000000000001</v>
      </c>
      <c r="H36" s="81">
        <v>0.63300000000000001</v>
      </c>
      <c r="I36" s="81">
        <v>0.63100000000000001</v>
      </c>
      <c r="J36" s="81">
        <v>0.628</v>
      </c>
      <c r="K36" s="81">
        <v>0.626</v>
      </c>
      <c r="L36" s="81">
        <v>0.624</v>
      </c>
      <c r="M36" s="81">
        <v>0.622</v>
      </c>
    </row>
    <row r="37" spans="1:13" x14ac:dyDescent="0.25">
      <c r="A37" s="80">
        <v>10</v>
      </c>
      <c r="B37" s="81">
        <v>0.62</v>
      </c>
      <c r="C37" s="81">
        <v>0.61799999999999999</v>
      </c>
      <c r="D37" s="81">
        <v>0.61599999999999999</v>
      </c>
      <c r="E37" s="81">
        <v>0.61399999999999999</v>
      </c>
      <c r="F37" s="81">
        <v>0.61199999999999999</v>
      </c>
      <c r="G37" s="81">
        <v>0.60899999999999999</v>
      </c>
      <c r="H37" s="81">
        <v>0.60699999999999998</v>
      </c>
      <c r="I37" s="81">
        <v>0.60499999999999998</v>
      </c>
      <c r="J37" s="81">
        <v>0.60299999999999998</v>
      </c>
      <c r="K37" s="81">
        <v>0.60099999999999998</v>
      </c>
      <c r="L37" s="81">
        <v>0.59899999999999998</v>
      </c>
      <c r="M37" s="81">
        <v>0.59699999999999998</v>
      </c>
    </row>
    <row r="38" spans="1:13" x14ac:dyDescent="0.25">
      <c r="A38" s="80">
        <v>11</v>
      </c>
      <c r="B38" s="81">
        <v>0.59499999999999997</v>
      </c>
      <c r="C38" s="81">
        <v>0.59299999999999997</v>
      </c>
      <c r="D38" s="81">
        <v>0.59099999999999997</v>
      </c>
      <c r="E38" s="81">
        <v>0.58899999999999997</v>
      </c>
      <c r="F38" s="81">
        <v>0.58799999999999997</v>
      </c>
      <c r="G38" s="81">
        <v>0.58599999999999997</v>
      </c>
      <c r="H38" s="81">
        <v>0.58399999999999996</v>
      </c>
      <c r="I38" s="81">
        <v>0.58199999999999996</v>
      </c>
      <c r="J38" s="81">
        <v>0.57999999999999996</v>
      </c>
      <c r="K38" s="81">
        <v>0.57799999999999996</v>
      </c>
      <c r="L38" s="81">
        <v>0.57599999999999996</v>
      </c>
      <c r="M38" s="81">
        <v>0.57399999999999995</v>
      </c>
    </row>
    <row r="39" spans="1:13" x14ac:dyDescent="0.25">
      <c r="A39" s="80">
        <v>12</v>
      </c>
      <c r="B39" s="81">
        <v>0.57199999999999995</v>
      </c>
      <c r="C39" s="81">
        <v>0.56999999999999995</v>
      </c>
      <c r="D39" s="81">
        <v>0.56899999999999995</v>
      </c>
      <c r="E39" s="81">
        <v>0.56699999999999995</v>
      </c>
      <c r="F39" s="81">
        <v>0.56499999999999995</v>
      </c>
      <c r="G39" s="81">
        <v>0.56299999999999994</v>
      </c>
      <c r="H39" s="81">
        <v>0.56200000000000006</v>
      </c>
      <c r="I39" s="81">
        <v>0.56000000000000005</v>
      </c>
      <c r="J39" s="81">
        <v>0.55800000000000005</v>
      </c>
      <c r="K39" s="81">
        <v>0.55600000000000005</v>
      </c>
      <c r="L39" s="81">
        <v>0.55400000000000005</v>
      </c>
      <c r="M39" s="81">
        <v>0.55300000000000005</v>
      </c>
    </row>
    <row r="40" spans="1:13" x14ac:dyDescent="0.25">
      <c r="A40" s="80">
        <v>13</v>
      </c>
      <c r="B40" s="81">
        <v>0.55100000000000005</v>
      </c>
      <c r="C40" s="81"/>
      <c r="D40" s="81"/>
      <c r="E40" s="81"/>
      <c r="F40" s="81"/>
      <c r="G40" s="81"/>
      <c r="H40" s="81"/>
      <c r="I40" s="81"/>
      <c r="J40" s="81"/>
      <c r="K40" s="81"/>
      <c r="L40" s="81"/>
      <c r="M40" s="81"/>
    </row>
    <row r="44" spans="1:13" ht="39.65" customHeight="1" x14ac:dyDescent="0.25"/>
    <row r="46" spans="1:13" ht="27.65" customHeight="1" x14ac:dyDescent="0.25"/>
  </sheetData>
  <sheetProtection algorithmName="SHA-512" hashValue="ScgbRW1QDUdIMf8klnNiuz/9wIcNRDYinVPSmQTr+Mp1JIpxC8c/4ABNjXOEHwH0GOk19jJCiA56ponmUUbHJw==" saltValue="+iQxbumOGVJj3e6CNS+j7A==" spinCount="100000" sheet="1" objects="1" scenarios="1"/>
  <conditionalFormatting sqref="A6:A21">
    <cfRule type="expression" dxfId="719" priority="17" stopIfTrue="1">
      <formula>MOD(ROW(),2)=0</formula>
    </cfRule>
    <cfRule type="expression" dxfId="718" priority="18" stopIfTrue="1">
      <formula>MOD(ROW(),2)&lt;&gt;0</formula>
    </cfRule>
  </conditionalFormatting>
  <conditionalFormatting sqref="A26:A40">
    <cfRule type="expression" dxfId="717" priority="1" stopIfTrue="1">
      <formula>MOD(ROW(),2)=0</formula>
    </cfRule>
    <cfRule type="expression" dxfId="716" priority="2" stopIfTrue="1">
      <formula>MOD(ROW(),2)&lt;&gt;0</formula>
    </cfRule>
  </conditionalFormatting>
  <conditionalFormatting sqref="B17:B21">
    <cfRule type="expression" dxfId="715" priority="13" stopIfTrue="1">
      <formula>MOD(ROW(),2)=0</formula>
    </cfRule>
    <cfRule type="expression" dxfId="714" priority="14" stopIfTrue="1">
      <formula>MOD(ROW(),2)&lt;&gt;0</formula>
    </cfRule>
  </conditionalFormatting>
  <conditionalFormatting sqref="B6:M21">
    <cfRule type="expression" dxfId="713" priority="25" stopIfTrue="1">
      <formula>MOD(ROW(),2)=0</formula>
    </cfRule>
    <cfRule type="expression" dxfId="712" priority="26" stopIfTrue="1">
      <formula>MOD(ROW(),2)&lt;&gt;0</formula>
    </cfRule>
  </conditionalFormatting>
  <conditionalFormatting sqref="B26:M40">
    <cfRule type="expression" dxfId="711" priority="3" stopIfTrue="1">
      <formula>MOD(ROW(),2)=0</formula>
    </cfRule>
    <cfRule type="expression" dxfId="710" priority="4" stopIfTrue="1">
      <formula>MOD(ROW(),2)&lt;&gt;0</formula>
    </cfRule>
  </conditionalFormatting>
  <hyperlinks>
    <hyperlink ref="B24" location="Assumptions!A1" display="Assumptions" xr:uid="{DAACFABF-7D15-4B8D-8297-85CEF3D583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1"/>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LRF - x-417</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473</v>
      </c>
      <c r="C9" s="161"/>
      <c r="D9" s="161"/>
      <c r="E9" s="161"/>
      <c r="F9" s="161"/>
      <c r="G9" s="161"/>
      <c r="H9" s="161"/>
      <c r="I9" s="161"/>
      <c r="J9" s="161"/>
      <c r="K9" s="161"/>
      <c r="L9" s="161"/>
      <c r="M9" s="161"/>
    </row>
    <row r="10" spans="1:13" x14ac:dyDescent="0.25">
      <c r="A10" s="77" t="s">
        <v>6</v>
      </c>
      <c r="B10" s="161" t="s">
        <v>474</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2</v>
      </c>
      <c r="C13" s="161"/>
      <c r="D13" s="161"/>
      <c r="E13" s="161"/>
      <c r="F13" s="161"/>
      <c r="G13" s="161"/>
      <c r="H13" s="161"/>
      <c r="I13" s="161"/>
      <c r="J13" s="161"/>
      <c r="K13" s="161"/>
      <c r="L13" s="161"/>
      <c r="M13" s="161"/>
    </row>
    <row r="14" spans="1:13" x14ac:dyDescent="0.25">
      <c r="A14" s="77" t="s">
        <v>289</v>
      </c>
      <c r="B14" s="161">
        <v>417</v>
      </c>
      <c r="C14" s="161"/>
      <c r="D14" s="161"/>
      <c r="E14" s="161"/>
      <c r="F14" s="161"/>
      <c r="G14" s="161"/>
      <c r="H14" s="161"/>
      <c r="I14" s="161"/>
      <c r="J14" s="161"/>
      <c r="K14" s="161"/>
      <c r="L14" s="161"/>
      <c r="M14" s="161"/>
    </row>
    <row r="15" spans="1:13" x14ac:dyDescent="0.25">
      <c r="A15" s="77" t="s">
        <v>291</v>
      </c>
      <c r="B15" s="161" t="s">
        <v>475</v>
      </c>
      <c r="C15" s="161"/>
      <c r="D15" s="161"/>
      <c r="E15" s="161"/>
      <c r="F15" s="161"/>
      <c r="G15" s="161"/>
      <c r="H15" s="161"/>
      <c r="I15" s="161"/>
      <c r="J15" s="161"/>
      <c r="K15" s="161"/>
      <c r="L15" s="161"/>
      <c r="M15" s="161"/>
    </row>
    <row r="16" spans="1:13" x14ac:dyDescent="0.25">
      <c r="A16" s="77" t="s">
        <v>293</v>
      </c>
      <c r="B16" s="161" t="s">
        <v>476</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65</v>
      </c>
      <c r="B27" s="81">
        <v>1</v>
      </c>
      <c r="C27" s="81">
        <v>1.0029999999999999</v>
      </c>
      <c r="D27" s="81">
        <v>1.006</v>
      </c>
      <c r="E27" s="81">
        <v>1.0089999999999999</v>
      </c>
      <c r="F27" s="81">
        <v>1.012</v>
      </c>
      <c r="G27" s="81">
        <v>1.0149999999999999</v>
      </c>
      <c r="H27" s="81">
        <v>1.018</v>
      </c>
      <c r="I27" s="81">
        <v>1.0209999999999999</v>
      </c>
      <c r="J27" s="81">
        <v>1.024</v>
      </c>
      <c r="K27" s="81">
        <v>1.0269999999999999</v>
      </c>
      <c r="L27" s="81">
        <v>1.03</v>
      </c>
      <c r="M27" s="81">
        <v>1.0329999999999999</v>
      </c>
    </row>
    <row r="28" spans="1:13" x14ac:dyDescent="0.25">
      <c r="A28" s="80">
        <v>66</v>
      </c>
      <c r="B28" s="81">
        <v>1.036</v>
      </c>
      <c r="C28" s="81">
        <v>1.0389999999999999</v>
      </c>
      <c r="D28" s="81">
        <v>1.042</v>
      </c>
      <c r="E28" s="81">
        <v>1.0449999999999999</v>
      </c>
      <c r="F28" s="81">
        <v>1.0489999999999999</v>
      </c>
      <c r="G28" s="81">
        <v>1.052</v>
      </c>
      <c r="H28" s="81">
        <v>1.0549999999999999</v>
      </c>
      <c r="I28" s="81">
        <v>1.0580000000000001</v>
      </c>
      <c r="J28" s="81">
        <v>1.0620000000000001</v>
      </c>
      <c r="K28" s="81">
        <v>1.0649999999999999</v>
      </c>
      <c r="L28" s="81">
        <v>1.0680000000000001</v>
      </c>
      <c r="M28" s="81">
        <v>1.071</v>
      </c>
    </row>
    <row r="29" spans="1:13" x14ac:dyDescent="0.25">
      <c r="A29" s="80">
        <v>67</v>
      </c>
      <c r="B29" s="81">
        <v>1.0740000000000001</v>
      </c>
      <c r="C29" s="81">
        <v>1.0780000000000001</v>
      </c>
      <c r="D29" s="81">
        <v>1.0820000000000001</v>
      </c>
      <c r="E29" s="81">
        <v>1.085</v>
      </c>
      <c r="F29" s="81">
        <v>1.089</v>
      </c>
      <c r="G29" s="81">
        <v>1.0920000000000001</v>
      </c>
      <c r="H29" s="81">
        <v>1.0960000000000001</v>
      </c>
      <c r="I29" s="81">
        <v>1.099</v>
      </c>
      <c r="J29" s="81">
        <v>1.103</v>
      </c>
      <c r="K29" s="81">
        <v>1.1060000000000001</v>
      </c>
      <c r="L29" s="81">
        <v>1.1100000000000001</v>
      </c>
      <c r="M29" s="81">
        <v>1.1140000000000001</v>
      </c>
    </row>
    <row r="30" spans="1:13" x14ac:dyDescent="0.25">
      <c r="A30" s="80">
        <v>68</v>
      </c>
      <c r="B30" s="81">
        <v>1.117</v>
      </c>
      <c r="C30" s="81">
        <v>1.121</v>
      </c>
      <c r="D30" s="81">
        <v>1.125</v>
      </c>
      <c r="E30" s="81">
        <v>1.129</v>
      </c>
      <c r="F30" s="81">
        <v>1.133</v>
      </c>
      <c r="G30" s="81">
        <v>1.137</v>
      </c>
      <c r="H30" s="81">
        <v>1.1399999999999999</v>
      </c>
      <c r="I30" s="81">
        <v>1.1439999999999999</v>
      </c>
      <c r="J30" s="81">
        <v>1.1479999999999999</v>
      </c>
      <c r="K30" s="81">
        <v>1.1519999999999999</v>
      </c>
      <c r="L30" s="81">
        <v>1.1559999999999999</v>
      </c>
      <c r="M30" s="81">
        <v>1.1599999999999999</v>
      </c>
    </row>
    <row r="31" spans="1:13" x14ac:dyDescent="0.25">
      <c r="A31" s="80">
        <v>69</v>
      </c>
      <c r="B31" s="81">
        <v>1.1639999999999999</v>
      </c>
      <c r="C31" s="81">
        <v>1.1679999999999999</v>
      </c>
      <c r="D31" s="81">
        <v>1.1719999999999999</v>
      </c>
      <c r="E31" s="81">
        <v>1.177</v>
      </c>
      <c r="F31" s="81">
        <v>1.181</v>
      </c>
      <c r="G31" s="81">
        <v>1.1850000000000001</v>
      </c>
      <c r="H31" s="81">
        <v>1.19</v>
      </c>
      <c r="I31" s="81">
        <v>1.194</v>
      </c>
      <c r="J31" s="81">
        <v>1.198</v>
      </c>
      <c r="K31" s="81">
        <v>1.202</v>
      </c>
      <c r="L31" s="81">
        <v>1.2070000000000001</v>
      </c>
      <c r="M31" s="81">
        <v>1.2110000000000001</v>
      </c>
    </row>
    <row r="32" spans="1:13" x14ac:dyDescent="0.25">
      <c r="A32" s="80">
        <v>70</v>
      </c>
      <c r="B32" s="81">
        <v>1.2150000000000001</v>
      </c>
      <c r="C32" s="81">
        <v>1.22</v>
      </c>
      <c r="D32" s="81">
        <v>1.2250000000000001</v>
      </c>
      <c r="E32" s="81">
        <v>1.2290000000000001</v>
      </c>
      <c r="F32" s="81">
        <v>1.234</v>
      </c>
      <c r="G32" s="81">
        <v>1.2390000000000001</v>
      </c>
      <c r="H32" s="81">
        <v>1.244</v>
      </c>
      <c r="I32" s="81">
        <v>1.248</v>
      </c>
      <c r="J32" s="81">
        <v>1.2529999999999999</v>
      </c>
      <c r="K32" s="81">
        <v>1.258</v>
      </c>
      <c r="L32" s="81">
        <v>1.262</v>
      </c>
      <c r="M32" s="81">
        <v>1.2669999999999999</v>
      </c>
    </row>
    <row r="33" spans="1:13" x14ac:dyDescent="0.25">
      <c r="A33" s="80">
        <v>71</v>
      </c>
      <c r="B33" s="81">
        <v>1.272</v>
      </c>
      <c r="C33" s="81">
        <v>1.2769999999999999</v>
      </c>
      <c r="D33" s="81">
        <v>1.282</v>
      </c>
      <c r="E33" s="81">
        <v>1.2869999999999999</v>
      </c>
      <c r="F33" s="81">
        <v>1.2929999999999999</v>
      </c>
      <c r="G33" s="81">
        <v>1.298</v>
      </c>
      <c r="H33" s="81">
        <v>1.3029999999999999</v>
      </c>
      <c r="I33" s="81">
        <v>1.3080000000000001</v>
      </c>
      <c r="J33" s="81">
        <v>1.3129999999999999</v>
      </c>
      <c r="K33" s="81">
        <v>1.3180000000000001</v>
      </c>
      <c r="L33" s="81">
        <v>1.3240000000000001</v>
      </c>
      <c r="M33" s="81">
        <v>1.329</v>
      </c>
    </row>
    <row r="34" spans="1:13" x14ac:dyDescent="0.25">
      <c r="A34" s="80">
        <v>72</v>
      </c>
      <c r="B34" s="81">
        <v>1.3340000000000001</v>
      </c>
      <c r="C34" s="81">
        <v>1.34</v>
      </c>
      <c r="D34" s="81">
        <v>1.345</v>
      </c>
      <c r="E34" s="81">
        <v>1.351</v>
      </c>
      <c r="F34" s="81">
        <v>1.357</v>
      </c>
      <c r="G34" s="81">
        <v>1.3620000000000001</v>
      </c>
      <c r="H34" s="81">
        <v>1.3680000000000001</v>
      </c>
      <c r="I34" s="81">
        <v>1.3740000000000001</v>
      </c>
      <c r="J34" s="81">
        <v>1.379</v>
      </c>
      <c r="K34" s="81">
        <v>1.385</v>
      </c>
      <c r="L34" s="81">
        <v>1.391</v>
      </c>
      <c r="M34" s="81">
        <v>1.3959999999999999</v>
      </c>
    </row>
    <row r="35" spans="1:13" x14ac:dyDescent="0.25">
      <c r="A35" s="80">
        <v>73</v>
      </c>
      <c r="B35" s="81">
        <v>1.4019999999999999</v>
      </c>
      <c r="C35" s="81">
        <v>1.4079999999999999</v>
      </c>
      <c r="D35" s="81">
        <v>1.4139999999999999</v>
      </c>
      <c r="E35" s="81">
        <v>1.421</v>
      </c>
      <c r="F35" s="81">
        <v>1.427</v>
      </c>
      <c r="G35" s="81">
        <v>1.4330000000000001</v>
      </c>
      <c r="H35" s="81">
        <v>1.4390000000000001</v>
      </c>
      <c r="I35" s="81">
        <v>1.4450000000000001</v>
      </c>
      <c r="J35" s="81">
        <v>1.452</v>
      </c>
      <c r="K35" s="81">
        <v>1.458</v>
      </c>
      <c r="L35" s="81">
        <v>1.464</v>
      </c>
      <c r="M35" s="81">
        <v>1.47</v>
      </c>
    </row>
    <row r="36" spans="1:13" x14ac:dyDescent="0.25">
      <c r="A36" s="80">
        <v>74</v>
      </c>
      <c r="B36" s="81">
        <v>1.4770000000000001</v>
      </c>
      <c r="C36" s="81">
        <v>1.4830000000000001</v>
      </c>
      <c r="D36" s="81">
        <v>1.49</v>
      </c>
      <c r="E36" s="81">
        <v>1.4970000000000001</v>
      </c>
      <c r="F36" s="81">
        <v>1.504</v>
      </c>
      <c r="G36" s="81">
        <v>1.5109999999999999</v>
      </c>
      <c r="H36" s="81">
        <v>1.518</v>
      </c>
      <c r="I36" s="81">
        <v>1.5249999999999999</v>
      </c>
      <c r="J36" s="81">
        <v>1.5309999999999999</v>
      </c>
      <c r="K36" s="81">
        <v>1.538</v>
      </c>
      <c r="L36" s="81">
        <v>1.5449999999999999</v>
      </c>
      <c r="M36" s="81">
        <v>1.552</v>
      </c>
    </row>
    <row r="37" spans="1:13" x14ac:dyDescent="0.25">
      <c r="A37" s="80">
        <v>75</v>
      </c>
      <c r="B37" s="81">
        <v>1.5589999999999999</v>
      </c>
      <c r="C37" s="81"/>
      <c r="D37" s="81"/>
      <c r="E37" s="81"/>
      <c r="F37" s="81"/>
      <c r="G37" s="81"/>
      <c r="H37" s="81"/>
      <c r="I37" s="81"/>
      <c r="J37" s="81"/>
      <c r="K37" s="81"/>
      <c r="L37" s="81"/>
      <c r="M37" s="81"/>
    </row>
    <row r="44" spans="1:13" ht="39.65" customHeight="1" x14ac:dyDescent="0.25"/>
    <row r="46" spans="1:13" ht="27.65" customHeight="1" x14ac:dyDescent="0.25"/>
  </sheetData>
  <sheetProtection algorithmName="SHA-512" hashValue="30zjB0eimTQFMB2tTpelxdYfkAabuPSoFkjO+SGRH71TAqRcdB88kaPL7+EXyXmDolD+FUvBlGUKllx+ba2R6g==" saltValue="xmmrQ6qsgtETPD+etanV2w==" spinCount="100000" sheet="1" objects="1" scenarios="1"/>
  <conditionalFormatting sqref="A6:A21">
    <cfRule type="expression" dxfId="709" priority="13" stopIfTrue="1">
      <formula>MOD(ROW(),2)=0</formula>
    </cfRule>
    <cfRule type="expression" dxfId="708" priority="14" stopIfTrue="1">
      <formula>MOD(ROW(),2)&lt;&gt;0</formula>
    </cfRule>
  </conditionalFormatting>
  <conditionalFormatting sqref="A26:A37">
    <cfRule type="expression" dxfId="707" priority="1" stopIfTrue="1">
      <formula>MOD(ROW(),2)=0</formula>
    </cfRule>
    <cfRule type="expression" dxfId="706" priority="2" stopIfTrue="1">
      <formula>MOD(ROW(),2)&lt;&gt;0</formula>
    </cfRule>
  </conditionalFormatting>
  <conditionalFormatting sqref="B17:B21">
    <cfRule type="expression" dxfId="705" priority="9" stopIfTrue="1">
      <formula>MOD(ROW(),2)=0</formula>
    </cfRule>
    <cfRule type="expression" dxfId="704" priority="10" stopIfTrue="1">
      <formula>MOD(ROW(),2)&lt;&gt;0</formula>
    </cfRule>
  </conditionalFormatting>
  <conditionalFormatting sqref="B6:M21">
    <cfRule type="expression" dxfId="703" priority="21" stopIfTrue="1">
      <formula>MOD(ROW(),2)=0</formula>
    </cfRule>
    <cfRule type="expression" dxfId="702" priority="22" stopIfTrue="1">
      <formula>MOD(ROW(),2)&lt;&gt;0</formula>
    </cfRule>
  </conditionalFormatting>
  <conditionalFormatting sqref="B26:M37">
    <cfRule type="expression" dxfId="701" priority="3" stopIfTrue="1">
      <formula>MOD(ROW(),2)=0</formula>
    </cfRule>
    <cfRule type="expression" dxfId="700" priority="4" stopIfTrue="1">
      <formula>MOD(ROW(),2)&lt;&gt;0</formula>
    </cfRule>
  </conditionalFormatting>
  <hyperlinks>
    <hyperlink ref="B24" location="Assumptions!A1" display="Assumptions" xr:uid="{B05CFF85-D97C-4969-8FAD-98C4170EFC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2"/>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LRF - x-418</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473</v>
      </c>
      <c r="C9" s="161"/>
      <c r="D9" s="161"/>
      <c r="E9" s="161"/>
      <c r="F9" s="161"/>
      <c r="G9" s="161"/>
      <c r="H9" s="161"/>
      <c r="I9" s="161"/>
      <c r="J9" s="161"/>
      <c r="K9" s="161"/>
      <c r="L9" s="161"/>
      <c r="M9" s="161"/>
    </row>
    <row r="10" spans="1:13" x14ac:dyDescent="0.25">
      <c r="A10" s="77" t="s">
        <v>6</v>
      </c>
      <c r="B10" s="161" t="s">
        <v>477</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2</v>
      </c>
      <c r="C13" s="161"/>
      <c r="D13" s="161"/>
      <c r="E13" s="161"/>
      <c r="F13" s="161"/>
      <c r="G13" s="161"/>
      <c r="H13" s="161"/>
      <c r="I13" s="161"/>
      <c r="J13" s="161"/>
      <c r="K13" s="161"/>
      <c r="L13" s="161"/>
      <c r="M13" s="161"/>
    </row>
    <row r="14" spans="1:13" x14ac:dyDescent="0.25">
      <c r="A14" s="77" t="s">
        <v>289</v>
      </c>
      <c r="B14" s="161">
        <v>418</v>
      </c>
      <c r="C14" s="161"/>
      <c r="D14" s="161"/>
      <c r="E14" s="161"/>
      <c r="F14" s="161"/>
      <c r="G14" s="161"/>
      <c r="H14" s="161"/>
      <c r="I14" s="161"/>
      <c r="J14" s="161"/>
      <c r="K14" s="161"/>
      <c r="L14" s="161"/>
      <c r="M14" s="161"/>
    </row>
    <row r="15" spans="1:13" x14ac:dyDescent="0.25">
      <c r="A15" s="77" t="s">
        <v>291</v>
      </c>
      <c r="B15" s="161" t="s">
        <v>478</v>
      </c>
      <c r="C15" s="161"/>
      <c r="D15" s="161"/>
      <c r="E15" s="161"/>
      <c r="F15" s="161"/>
      <c r="G15" s="161"/>
      <c r="H15" s="161"/>
      <c r="I15" s="161"/>
      <c r="J15" s="161"/>
      <c r="K15" s="161"/>
      <c r="L15" s="161"/>
      <c r="M15" s="161"/>
    </row>
    <row r="16" spans="1:13" x14ac:dyDescent="0.25">
      <c r="A16" s="77" t="s">
        <v>293</v>
      </c>
      <c r="B16" s="161" t="s">
        <v>479</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65</v>
      </c>
      <c r="B27" s="81">
        <v>1</v>
      </c>
      <c r="C27" s="81">
        <v>1.0029999999999999</v>
      </c>
      <c r="D27" s="81">
        <v>1.0069999999999999</v>
      </c>
      <c r="E27" s="81">
        <v>1.01</v>
      </c>
      <c r="F27" s="81">
        <v>1.0129999999999999</v>
      </c>
      <c r="G27" s="81">
        <v>1.0169999999999999</v>
      </c>
      <c r="H27" s="81">
        <v>1.02</v>
      </c>
      <c r="I27" s="81">
        <v>1.0229999999999999</v>
      </c>
      <c r="J27" s="81">
        <v>1.026</v>
      </c>
      <c r="K27" s="81">
        <v>1.03</v>
      </c>
      <c r="L27" s="81">
        <v>1.0329999999999999</v>
      </c>
      <c r="M27" s="81">
        <v>1.036</v>
      </c>
    </row>
    <row r="28" spans="1:13" x14ac:dyDescent="0.25">
      <c r="A28" s="80">
        <v>66</v>
      </c>
      <c r="B28" s="81">
        <v>1.04</v>
      </c>
      <c r="C28" s="81">
        <v>1.044</v>
      </c>
      <c r="D28" s="81">
        <v>1.048</v>
      </c>
      <c r="E28" s="81">
        <v>1.0509999999999999</v>
      </c>
      <c r="F28" s="81">
        <v>1.0549999999999999</v>
      </c>
      <c r="G28" s="81">
        <v>1.0589999999999999</v>
      </c>
      <c r="H28" s="81">
        <v>1.0629999999999999</v>
      </c>
      <c r="I28" s="81">
        <v>1.0669999999999999</v>
      </c>
      <c r="J28" s="81">
        <v>1.071</v>
      </c>
      <c r="K28" s="81">
        <v>1.075</v>
      </c>
      <c r="L28" s="81">
        <v>1.079</v>
      </c>
      <c r="M28" s="81">
        <v>1.083</v>
      </c>
    </row>
    <row r="29" spans="1:13" x14ac:dyDescent="0.25">
      <c r="A29" s="80">
        <v>67</v>
      </c>
      <c r="B29" s="81">
        <v>1.0860000000000001</v>
      </c>
      <c r="C29" s="81">
        <v>1.091</v>
      </c>
      <c r="D29" s="81">
        <v>1.095</v>
      </c>
      <c r="E29" s="81">
        <v>1.099</v>
      </c>
      <c r="F29" s="81">
        <v>1.1040000000000001</v>
      </c>
      <c r="G29" s="81">
        <v>1.1080000000000001</v>
      </c>
      <c r="H29" s="81">
        <v>1.1120000000000001</v>
      </c>
      <c r="I29" s="81">
        <v>1.1160000000000001</v>
      </c>
      <c r="J29" s="81">
        <v>1.121</v>
      </c>
      <c r="K29" s="81">
        <v>1.125</v>
      </c>
      <c r="L29" s="81">
        <v>1.129</v>
      </c>
      <c r="M29" s="81">
        <v>1.133</v>
      </c>
    </row>
    <row r="30" spans="1:13" x14ac:dyDescent="0.25">
      <c r="A30" s="80">
        <v>68</v>
      </c>
      <c r="B30" s="81">
        <v>1.1379999999999999</v>
      </c>
      <c r="C30" s="81">
        <v>1.1419999999999999</v>
      </c>
      <c r="D30" s="81">
        <v>1.147</v>
      </c>
      <c r="E30" s="81">
        <v>1.151</v>
      </c>
      <c r="F30" s="81">
        <v>1.1559999999999999</v>
      </c>
      <c r="G30" s="81">
        <v>1.161</v>
      </c>
      <c r="H30" s="81">
        <v>1.165</v>
      </c>
      <c r="I30" s="81">
        <v>1.17</v>
      </c>
      <c r="J30" s="81">
        <v>1.175</v>
      </c>
      <c r="K30" s="81">
        <v>1.179</v>
      </c>
      <c r="L30" s="81">
        <v>1.1839999999999999</v>
      </c>
      <c r="M30" s="81">
        <v>1.1890000000000001</v>
      </c>
    </row>
    <row r="31" spans="1:13" x14ac:dyDescent="0.25">
      <c r="A31" s="80">
        <v>69</v>
      </c>
      <c r="B31" s="81">
        <v>1.1930000000000001</v>
      </c>
      <c r="C31" s="81">
        <v>1.198</v>
      </c>
      <c r="D31" s="81">
        <v>1.2030000000000001</v>
      </c>
      <c r="E31" s="81">
        <v>1.208</v>
      </c>
      <c r="F31" s="81">
        <v>1.214</v>
      </c>
      <c r="G31" s="81">
        <v>1.2190000000000001</v>
      </c>
      <c r="H31" s="81">
        <v>1.224</v>
      </c>
      <c r="I31" s="81">
        <v>1.2290000000000001</v>
      </c>
      <c r="J31" s="81">
        <v>1.234</v>
      </c>
      <c r="K31" s="81">
        <v>1.2390000000000001</v>
      </c>
      <c r="L31" s="81">
        <v>1.244</v>
      </c>
      <c r="M31" s="81">
        <v>1.2490000000000001</v>
      </c>
    </row>
    <row r="32" spans="1:13" x14ac:dyDescent="0.25">
      <c r="A32" s="80">
        <v>70</v>
      </c>
      <c r="B32" s="81">
        <v>1.254</v>
      </c>
      <c r="C32" s="81">
        <v>1.26</v>
      </c>
      <c r="D32" s="81">
        <v>1.2649999999999999</v>
      </c>
      <c r="E32" s="81">
        <v>1.2709999999999999</v>
      </c>
      <c r="F32" s="81">
        <v>1.276</v>
      </c>
      <c r="G32" s="81">
        <v>1.282</v>
      </c>
      <c r="H32" s="81">
        <v>1.2869999999999999</v>
      </c>
      <c r="I32" s="81">
        <v>1.2929999999999999</v>
      </c>
      <c r="J32" s="81">
        <v>1.2989999999999999</v>
      </c>
      <c r="K32" s="81">
        <v>1.304</v>
      </c>
      <c r="L32" s="81">
        <v>1.31</v>
      </c>
      <c r="M32" s="81">
        <v>1.3149999999999999</v>
      </c>
    </row>
    <row r="33" spans="1:13" x14ac:dyDescent="0.25">
      <c r="A33" s="80">
        <v>71</v>
      </c>
      <c r="B33" s="81">
        <v>1.321</v>
      </c>
      <c r="C33" s="81">
        <v>1.3280000000000001</v>
      </c>
      <c r="D33" s="81">
        <v>1.335</v>
      </c>
      <c r="E33" s="81">
        <v>1.343</v>
      </c>
      <c r="F33" s="81">
        <v>1.35</v>
      </c>
      <c r="G33" s="81">
        <v>1.357</v>
      </c>
      <c r="H33" s="81">
        <v>1.3640000000000001</v>
      </c>
      <c r="I33" s="81">
        <v>1.3720000000000001</v>
      </c>
      <c r="J33" s="81">
        <v>1.379</v>
      </c>
      <c r="K33" s="81">
        <v>1.3859999999999999</v>
      </c>
      <c r="L33" s="81">
        <v>1.3939999999999999</v>
      </c>
      <c r="M33" s="81">
        <v>1.401</v>
      </c>
    </row>
    <row r="34" spans="1:13" x14ac:dyDescent="0.25">
      <c r="A34" s="80">
        <v>72</v>
      </c>
      <c r="B34" s="81">
        <v>1.4079999999999999</v>
      </c>
      <c r="C34" s="81">
        <v>1.4159999999999999</v>
      </c>
      <c r="D34" s="81">
        <v>1.4239999999999999</v>
      </c>
      <c r="E34" s="81">
        <v>1.4319999999999999</v>
      </c>
      <c r="F34" s="81">
        <v>1.44</v>
      </c>
      <c r="G34" s="81">
        <v>1.448</v>
      </c>
      <c r="H34" s="81">
        <v>1.456</v>
      </c>
      <c r="I34" s="81">
        <v>1.464</v>
      </c>
      <c r="J34" s="81">
        <v>1.472</v>
      </c>
      <c r="K34" s="81">
        <v>1.48</v>
      </c>
      <c r="L34" s="81">
        <v>1.4890000000000001</v>
      </c>
      <c r="M34" s="81">
        <v>1.4970000000000001</v>
      </c>
    </row>
    <row r="35" spans="1:13" x14ac:dyDescent="0.25">
      <c r="A35" s="80">
        <v>73</v>
      </c>
      <c r="B35" s="81">
        <v>1.5049999999999999</v>
      </c>
      <c r="C35" s="81">
        <v>1.5129999999999999</v>
      </c>
      <c r="D35" s="81">
        <v>1.522</v>
      </c>
      <c r="E35" s="81">
        <v>1.5309999999999999</v>
      </c>
      <c r="F35" s="81">
        <v>1.54</v>
      </c>
      <c r="G35" s="81">
        <v>1.5489999999999999</v>
      </c>
      <c r="H35" s="81">
        <v>1.5580000000000001</v>
      </c>
      <c r="I35" s="81">
        <v>1.5669999999999999</v>
      </c>
      <c r="J35" s="81">
        <v>1.5760000000000001</v>
      </c>
      <c r="K35" s="81">
        <v>1.585</v>
      </c>
      <c r="L35" s="81">
        <v>1.593</v>
      </c>
      <c r="M35" s="81">
        <v>1.6020000000000001</v>
      </c>
    </row>
    <row r="36" spans="1:13" x14ac:dyDescent="0.25">
      <c r="A36" s="80">
        <v>74</v>
      </c>
      <c r="B36" s="81">
        <v>1.611</v>
      </c>
      <c r="C36" s="81">
        <v>1.621</v>
      </c>
      <c r="D36" s="81">
        <v>1.631</v>
      </c>
      <c r="E36" s="81">
        <v>1.641</v>
      </c>
      <c r="F36" s="81">
        <v>1.651</v>
      </c>
      <c r="G36" s="81">
        <v>1.66</v>
      </c>
      <c r="H36" s="81">
        <v>1.67</v>
      </c>
      <c r="I36" s="81">
        <v>1.68</v>
      </c>
      <c r="J36" s="81">
        <v>1.69</v>
      </c>
      <c r="K36" s="81">
        <v>1.7</v>
      </c>
      <c r="L36" s="81">
        <v>1.71</v>
      </c>
      <c r="M36" s="81">
        <v>1.7190000000000001</v>
      </c>
    </row>
    <row r="37" spans="1:13" x14ac:dyDescent="0.25">
      <c r="A37" s="80">
        <v>75</v>
      </c>
      <c r="B37" s="81">
        <v>1.7290000000000001</v>
      </c>
      <c r="C37" s="81"/>
      <c r="D37" s="81"/>
      <c r="E37" s="81"/>
      <c r="F37" s="81"/>
      <c r="G37" s="81"/>
      <c r="H37" s="81"/>
      <c r="I37" s="81"/>
      <c r="J37" s="81"/>
      <c r="K37" s="81"/>
      <c r="L37" s="81"/>
      <c r="M37" s="81"/>
    </row>
    <row r="44" spans="1:13" ht="39.65" customHeight="1" x14ac:dyDescent="0.25"/>
    <row r="46" spans="1:13" ht="27.65" customHeight="1" x14ac:dyDescent="0.25"/>
  </sheetData>
  <sheetProtection algorithmName="SHA-512" hashValue="QAgJhAZhGMJhC4z5bBa2OfMfCSMJuXNzh2KeoWhAIUc0i/5DGkOZNoCVAtdL0BiPlwt1IgpfRfIT+NLtMEL50w==" saltValue="Le+3Dsu+2tg+VCioJv9KTQ==" spinCount="100000" sheet="1" objects="1" scenarios="1"/>
  <conditionalFormatting sqref="A6:A21">
    <cfRule type="expression" dxfId="699" priority="15" stopIfTrue="1">
      <formula>MOD(ROW(),2)=0</formula>
    </cfRule>
    <cfRule type="expression" dxfId="698" priority="16" stopIfTrue="1">
      <formula>MOD(ROW(),2)&lt;&gt;0</formula>
    </cfRule>
  </conditionalFormatting>
  <conditionalFormatting sqref="A26:A37">
    <cfRule type="expression" dxfId="697" priority="3" stopIfTrue="1">
      <formula>MOD(ROW(),2)=0</formula>
    </cfRule>
    <cfRule type="expression" dxfId="696" priority="4" stopIfTrue="1">
      <formula>MOD(ROW(),2)&lt;&gt;0</formula>
    </cfRule>
  </conditionalFormatting>
  <conditionalFormatting sqref="B17:B21">
    <cfRule type="expression" dxfId="695" priority="1" stopIfTrue="1">
      <formula>MOD(ROW(),2)=0</formula>
    </cfRule>
    <cfRule type="expression" dxfId="694" priority="2" stopIfTrue="1">
      <formula>MOD(ROW(),2)&lt;&gt;0</formula>
    </cfRule>
  </conditionalFormatting>
  <conditionalFormatting sqref="B6:M21">
    <cfRule type="expression" dxfId="693" priority="23" stopIfTrue="1">
      <formula>MOD(ROW(),2)=0</formula>
    </cfRule>
    <cfRule type="expression" dxfId="692" priority="24" stopIfTrue="1">
      <formula>MOD(ROW(),2)&lt;&gt;0</formula>
    </cfRule>
  </conditionalFormatting>
  <conditionalFormatting sqref="B26:M37">
    <cfRule type="expression" dxfId="691" priority="5" stopIfTrue="1">
      <formula>MOD(ROW(),2)=0</formula>
    </cfRule>
    <cfRule type="expression" dxfId="690" priority="6" stopIfTrue="1">
      <formula>MOD(ROW(),2)&lt;&gt;0</formula>
    </cfRule>
  </conditionalFormatting>
  <hyperlinks>
    <hyperlink ref="B24" location="Assumptions!A1" display="Assumptions" xr:uid="{A2F87844-E1E4-4633-8584-3C5A061CFC7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3"/>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LRF - x-419</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473</v>
      </c>
      <c r="C9" s="161"/>
      <c r="D9" s="161"/>
      <c r="E9" s="161"/>
      <c r="F9" s="161"/>
      <c r="G9" s="161"/>
      <c r="H9" s="161"/>
      <c r="I9" s="161"/>
      <c r="J9" s="161"/>
      <c r="K9" s="161"/>
      <c r="L9" s="161"/>
      <c r="M9" s="161"/>
    </row>
    <row r="10" spans="1:13" x14ac:dyDescent="0.25">
      <c r="A10" s="77" t="s">
        <v>6</v>
      </c>
      <c r="B10" s="161" t="s">
        <v>480</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2</v>
      </c>
      <c r="C13" s="161"/>
      <c r="D13" s="161"/>
      <c r="E13" s="161"/>
      <c r="F13" s="161"/>
      <c r="G13" s="161"/>
      <c r="H13" s="161"/>
      <c r="I13" s="161"/>
      <c r="J13" s="161"/>
      <c r="K13" s="161"/>
      <c r="L13" s="161"/>
      <c r="M13" s="161"/>
    </row>
    <row r="14" spans="1:13" x14ac:dyDescent="0.25">
      <c r="A14" s="77" t="s">
        <v>289</v>
      </c>
      <c r="B14" s="161">
        <v>419</v>
      </c>
      <c r="C14" s="161"/>
      <c r="D14" s="161"/>
      <c r="E14" s="161"/>
      <c r="F14" s="161"/>
      <c r="G14" s="161"/>
      <c r="H14" s="161"/>
      <c r="I14" s="161"/>
      <c r="J14" s="161"/>
      <c r="K14" s="161"/>
      <c r="L14" s="161"/>
      <c r="M14" s="161"/>
    </row>
    <row r="15" spans="1:13" x14ac:dyDescent="0.25">
      <c r="A15" s="77" t="s">
        <v>291</v>
      </c>
      <c r="B15" s="161" t="s">
        <v>481</v>
      </c>
      <c r="C15" s="161"/>
      <c r="D15" s="161"/>
      <c r="E15" s="161"/>
      <c r="F15" s="161"/>
      <c r="G15" s="161"/>
      <c r="H15" s="161"/>
      <c r="I15" s="161"/>
      <c r="J15" s="161"/>
      <c r="K15" s="161"/>
      <c r="L15" s="161"/>
      <c r="M15" s="161"/>
    </row>
    <row r="16" spans="1:13" x14ac:dyDescent="0.25">
      <c r="A16" s="77" t="s">
        <v>293</v>
      </c>
      <c r="B16" s="161" t="s">
        <v>482</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65</v>
      </c>
      <c r="B27" s="81">
        <v>1</v>
      </c>
      <c r="C27" s="81">
        <v>1.004</v>
      </c>
      <c r="D27" s="81">
        <v>1.0089999999999999</v>
      </c>
      <c r="E27" s="81">
        <v>1.0129999999999999</v>
      </c>
      <c r="F27" s="81">
        <v>1.018</v>
      </c>
      <c r="G27" s="81">
        <v>1.022</v>
      </c>
      <c r="H27" s="81">
        <v>1.0269999999999999</v>
      </c>
      <c r="I27" s="81">
        <v>1.0309999999999999</v>
      </c>
      <c r="J27" s="81">
        <v>1.036</v>
      </c>
      <c r="K27" s="81">
        <v>1.04</v>
      </c>
      <c r="L27" s="81">
        <v>1.0449999999999999</v>
      </c>
      <c r="M27" s="81">
        <v>1.0489999999999999</v>
      </c>
    </row>
    <row r="28" spans="1:13" x14ac:dyDescent="0.25">
      <c r="A28" s="80">
        <v>66</v>
      </c>
      <c r="B28" s="81">
        <v>1.054</v>
      </c>
      <c r="C28" s="81">
        <v>1.0589999999999999</v>
      </c>
      <c r="D28" s="81">
        <v>1.0640000000000001</v>
      </c>
      <c r="E28" s="81">
        <v>1.069</v>
      </c>
      <c r="F28" s="81">
        <v>1.0740000000000001</v>
      </c>
      <c r="G28" s="81">
        <v>1.0780000000000001</v>
      </c>
      <c r="H28" s="81">
        <v>1.083</v>
      </c>
      <c r="I28" s="81">
        <v>1.0880000000000001</v>
      </c>
      <c r="J28" s="81">
        <v>1.093</v>
      </c>
      <c r="K28" s="81">
        <v>1.0980000000000001</v>
      </c>
      <c r="L28" s="81">
        <v>1.103</v>
      </c>
      <c r="M28" s="81">
        <v>1.1080000000000001</v>
      </c>
    </row>
    <row r="29" spans="1:13" x14ac:dyDescent="0.25">
      <c r="A29" s="80">
        <v>67</v>
      </c>
      <c r="B29" s="81">
        <v>1.113</v>
      </c>
      <c r="C29" s="81">
        <v>1.1180000000000001</v>
      </c>
      <c r="D29" s="81">
        <v>1.1240000000000001</v>
      </c>
      <c r="E29" s="81">
        <v>1.129</v>
      </c>
      <c r="F29" s="81">
        <v>1.1339999999999999</v>
      </c>
      <c r="G29" s="81">
        <v>1.1399999999999999</v>
      </c>
      <c r="H29" s="81">
        <v>1.145</v>
      </c>
      <c r="I29" s="81">
        <v>1.1499999999999999</v>
      </c>
      <c r="J29" s="81">
        <v>1.1559999999999999</v>
      </c>
      <c r="K29" s="81">
        <v>1.161</v>
      </c>
      <c r="L29" s="81">
        <v>1.167</v>
      </c>
      <c r="M29" s="81">
        <v>1.1719999999999999</v>
      </c>
    </row>
    <row r="30" spans="1:13" x14ac:dyDescent="0.25">
      <c r="A30" s="80">
        <v>68</v>
      </c>
      <c r="B30" s="81">
        <v>1.177</v>
      </c>
      <c r="C30" s="81">
        <v>1.1830000000000001</v>
      </c>
      <c r="D30" s="81">
        <v>1.1890000000000001</v>
      </c>
      <c r="E30" s="81">
        <v>1.1950000000000001</v>
      </c>
      <c r="F30" s="81">
        <v>1.2010000000000001</v>
      </c>
      <c r="G30" s="81">
        <v>1.2070000000000001</v>
      </c>
      <c r="H30" s="81">
        <v>1.2130000000000001</v>
      </c>
      <c r="I30" s="81">
        <v>1.2190000000000001</v>
      </c>
      <c r="J30" s="81">
        <v>1.2250000000000001</v>
      </c>
      <c r="K30" s="81">
        <v>1.23</v>
      </c>
      <c r="L30" s="81">
        <v>1.236</v>
      </c>
      <c r="M30" s="81">
        <v>1.242</v>
      </c>
    </row>
    <row r="31" spans="1:13" x14ac:dyDescent="0.25">
      <c r="A31" s="80">
        <v>69</v>
      </c>
      <c r="B31" s="81">
        <v>1.248</v>
      </c>
      <c r="C31" s="81">
        <v>1.2549999999999999</v>
      </c>
      <c r="D31" s="81">
        <v>1.2609999999999999</v>
      </c>
      <c r="E31" s="81">
        <v>1.268</v>
      </c>
      <c r="F31" s="81">
        <v>1.274</v>
      </c>
      <c r="G31" s="81">
        <v>1.2809999999999999</v>
      </c>
      <c r="H31" s="81">
        <v>1.2869999999999999</v>
      </c>
      <c r="I31" s="81">
        <v>1.294</v>
      </c>
      <c r="J31" s="81">
        <v>1.3</v>
      </c>
      <c r="K31" s="81">
        <v>1.3069999999999999</v>
      </c>
      <c r="L31" s="81">
        <v>1.3129999999999999</v>
      </c>
      <c r="M31" s="81">
        <v>1.32</v>
      </c>
    </row>
    <row r="32" spans="1:13" x14ac:dyDescent="0.25">
      <c r="A32" s="80">
        <v>70</v>
      </c>
      <c r="B32" s="81">
        <v>1.3260000000000001</v>
      </c>
      <c r="C32" s="81">
        <v>1.3340000000000001</v>
      </c>
      <c r="D32" s="81">
        <v>1.341</v>
      </c>
      <c r="E32" s="81">
        <v>1.3480000000000001</v>
      </c>
      <c r="F32" s="81">
        <v>1.355</v>
      </c>
      <c r="G32" s="81">
        <v>1.3620000000000001</v>
      </c>
      <c r="H32" s="81">
        <v>1.37</v>
      </c>
      <c r="I32" s="81">
        <v>1.377</v>
      </c>
      <c r="J32" s="81">
        <v>1.3839999999999999</v>
      </c>
      <c r="K32" s="81">
        <v>1.391</v>
      </c>
      <c r="L32" s="81">
        <v>1.3979999999999999</v>
      </c>
      <c r="M32" s="81">
        <v>1.405</v>
      </c>
    </row>
    <row r="33" spans="1:13" x14ac:dyDescent="0.25">
      <c r="A33" s="80">
        <v>71</v>
      </c>
      <c r="B33" s="81">
        <v>1.413</v>
      </c>
      <c r="C33" s="81">
        <v>1.421</v>
      </c>
      <c r="D33" s="81">
        <v>1.429</v>
      </c>
      <c r="E33" s="81">
        <v>1.4359999999999999</v>
      </c>
      <c r="F33" s="81">
        <v>1.444</v>
      </c>
      <c r="G33" s="81">
        <v>1.452</v>
      </c>
      <c r="H33" s="81">
        <v>1.46</v>
      </c>
      <c r="I33" s="81">
        <v>1.468</v>
      </c>
      <c r="J33" s="81">
        <v>1.476</v>
      </c>
      <c r="K33" s="81">
        <v>1.484</v>
      </c>
      <c r="L33" s="81">
        <v>1.492</v>
      </c>
      <c r="M33" s="81">
        <v>1.5</v>
      </c>
    </row>
    <row r="34" spans="1:13" x14ac:dyDescent="0.25">
      <c r="A34" s="80">
        <v>72</v>
      </c>
      <c r="B34" s="81">
        <v>1.508</v>
      </c>
      <c r="C34" s="81">
        <v>1.516</v>
      </c>
      <c r="D34" s="81">
        <v>1.5249999999999999</v>
      </c>
      <c r="E34" s="81">
        <v>1.534</v>
      </c>
      <c r="F34" s="81">
        <v>1.5429999999999999</v>
      </c>
      <c r="G34" s="81">
        <v>1.5509999999999999</v>
      </c>
      <c r="H34" s="81">
        <v>1.56</v>
      </c>
      <c r="I34" s="81">
        <v>1.569</v>
      </c>
      <c r="J34" s="81">
        <v>1.5780000000000001</v>
      </c>
      <c r="K34" s="81">
        <v>1.5860000000000001</v>
      </c>
      <c r="L34" s="81">
        <v>1.595</v>
      </c>
      <c r="M34" s="81">
        <v>1.6040000000000001</v>
      </c>
    </row>
    <row r="35" spans="1:13" x14ac:dyDescent="0.25">
      <c r="A35" s="80">
        <v>73</v>
      </c>
      <c r="B35" s="81">
        <v>1.6120000000000001</v>
      </c>
      <c r="C35" s="81">
        <v>1.6220000000000001</v>
      </c>
      <c r="D35" s="81">
        <v>1.6319999999999999</v>
      </c>
      <c r="E35" s="81">
        <v>1.641</v>
      </c>
      <c r="F35" s="81">
        <v>1.651</v>
      </c>
      <c r="G35" s="81">
        <v>1.661</v>
      </c>
      <c r="H35" s="81">
        <v>1.67</v>
      </c>
      <c r="I35" s="81">
        <v>1.68</v>
      </c>
      <c r="J35" s="81">
        <v>1.69</v>
      </c>
      <c r="K35" s="81">
        <v>1.6990000000000001</v>
      </c>
      <c r="L35" s="81">
        <v>1.7090000000000001</v>
      </c>
      <c r="M35" s="81">
        <v>1.7190000000000001</v>
      </c>
    </row>
    <row r="36" spans="1:13" x14ac:dyDescent="0.25">
      <c r="A36" s="80">
        <v>74</v>
      </c>
      <c r="B36" s="81">
        <v>1.728</v>
      </c>
      <c r="C36" s="81">
        <v>1.7390000000000001</v>
      </c>
      <c r="D36" s="81">
        <v>1.75</v>
      </c>
      <c r="E36" s="81">
        <v>1.7609999999999999</v>
      </c>
      <c r="F36" s="81">
        <v>1.7709999999999999</v>
      </c>
      <c r="G36" s="81">
        <v>1.782</v>
      </c>
      <c r="H36" s="81">
        <v>1.7929999999999999</v>
      </c>
      <c r="I36" s="81">
        <v>1.8029999999999999</v>
      </c>
      <c r="J36" s="81">
        <v>1.8140000000000001</v>
      </c>
      <c r="K36" s="81">
        <v>1.825</v>
      </c>
      <c r="L36" s="81">
        <v>1.835</v>
      </c>
      <c r="M36" s="81">
        <v>1.8460000000000001</v>
      </c>
    </row>
    <row r="37" spans="1:13" x14ac:dyDescent="0.25">
      <c r="A37" s="80">
        <v>75</v>
      </c>
      <c r="B37" s="81">
        <v>1.857</v>
      </c>
      <c r="C37" s="81"/>
      <c r="D37" s="81"/>
      <c r="E37" s="81"/>
      <c r="F37" s="81"/>
      <c r="G37" s="81"/>
      <c r="H37" s="81"/>
      <c r="I37" s="81"/>
      <c r="J37" s="81"/>
      <c r="K37" s="81"/>
      <c r="L37" s="81"/>
      <c r="M37" s="81"/>
    </row>
    <row r="44" spans="1:13" ht="39.65" customHeight="1" x14ac:dyDescent="0.25"/>
    <row r="46" spans="1:13" ht="27.65" customHeight="1" x14ac:dyDescent="0.25"/>
  </sheetData>
  <sheetProtection algorithmName="SHA-512" hashValue="K/eIlbmQHCvqepl2KVVWYtB1hFvyTHc6BhjOJnXmGKgZvaV1S31EJ+ZPaGWFEbwjqrC8VZwkWI7ItvQZKhj0Cg==" saltValue="+8IgDPZ8yxOCmwHhYwifHQ==" spinCount="100000" sheet="1" objects="1" scenarios="1"/>
  <conditionalFormatting sqref="A6:A21">
    <cfRule type="expression" dxfId="689" priority="15" stopIfTrue="1">
      <formula>MOD(ROW(),2)=0</formula>
    </cfRule>
    <cfRule type="expression" dxfId="688" priority="16" stopIfTrue="1">
      <formula>MOD(ROW(),2)&lt;&gt;0</formula>
    </cfRule>
  </conditionalFormatting>
  <conditionalFormatting sqref="A26:A37">
    <cfRule type="expression" dxfId="687" priority="3" stopIfTrue="1">
      <formula>MOD(ROW(),2)=0</formula>
    </cfRule>
    <cfRule type="expression" dxfId="686" priority="4" stopIfTrue="1">
      <formula>MOD(ROW(),2)&lt;&gt;0</formula>
    </cfRule>
  </conditionalFormatting>
  <conditionalFormatting sqref="B17:B21">
    <cfRule type="expression" dxfId="685" priority="1" stopIfTrue="1">
      <formula>MOD(ROW(),2)=0</formula>
    </cfRule>
    <cfRule type="expression" dxfId="684" priority="2" stopIfTrue="1">
      <formula>MOD(ROW(),2)&lt;&gt;0</formula>
    </cfRule>
  </conditionalFormatting>
  <conditionalFormatting sqref="B6:M21">
    <cfRule type="expression" dxfId="683" priority="23" stopIfTrue="1">
      <formula>MOD(ROW(),2)=0</formula>
    </cfRule>
    <cfRule type="expression" dxfId="682" priority="24" stopIfTrue="1">
      <formula>MOD(ROW(),2)&lt;&gt;0</formula>
    </cfRule>
  </conditionalFormatting>
  <conditionalFormatting sqref="B26:M37">
    <cfRule type="expression" dxfId="681" priority="5" stopIfTrue="1">
      <formula>MOD(ROW(),2)=0</formula>
    </cfRule>
    <cfRule type="expression" dxfId="680" priority="6" stopIfTrue="1">
      <formula>MOD(ROW(),2)&lt;&gt;0</formula>
    </cfRule>
  </conditionalFormatting>
  <hyperlinks>
    <hyperlink ref="B24" location="Assumptions!A1" display="Assumptions" xr:uid="{9B8682DA-01A4-449A-91EE-D3B02CBA593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LRF - x-420</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473</v>
      </c>
      <c r="C9" s="161"/>
      <c r="D9" s="161"/>
      <c r="E9" s="161"/>
      <c r="F9" s="161"/>
      <c r="G9" s="161"/>
      <c r="H9" s="161"/>
      <c r="I9" s="161"/>
      <c r="J9" s="161"/>
      <c r="K9" s="161"/>
      <c r="L9" s="161"/>
      <c r="M9" s="161"/>
    </row>
    <row r="10" spans="1:13" x14ac:dyDescent="0.25">
      <c r="A10" s="77" t="s">
        <v>6</v>
      </c>
      <c r="B10" s="161" t="s">
        <v>483</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407</v>
      </c>
      <c r="C12" s="161"/>
      <c r="D12" s="161"/>
      <c r="E12" s="161"/>
      <c r="F12" s="161"/>
      <c r="G12" s="161"/>
      <c r="H12" s="161"/>
      <c r="I12" s="161"/>
      <c r="J12" s="161"/>
      <c r="K12" s="161"/>
      <c r="L12" s="161"/>
      <c r="M12" s="161"/>
    </row>
    <row r="13" spans="1:13" x14ac:dyDescent="0.25">
      <c r="A13" s="77" t="s">
        <v>287</v>
      </c>
      <c r="B13" s="161">
        <v>2</v>
      </c>
      <c r="C13" s="161"/>
      <c r="D13" s="161"/>
      <c r="E13" s="161"/>
      <c r="F13" s="161"/>
      <c r="G13" s="161"/>
      <c r="H13" s="161"/>
      <c r="I13" s="161"/>
      <c r="J13" s="161"/>
      <c r="K13" s="161"/>
      <c r="L13" s="161"/>
      <c r="M13" s="161"/>
    </row>
    <row r="14" spans="1:13" x14ac:dyDescent="0.25">
      <c r="A14" s="77" t="s">
        <v>289</v>
      </c>
      <c r="B14" s="161">
        <v>420</v>
      </c>
      <c r="C14" s="161"/>
      <c r="D14" s="161"/>
      <c r="E14" s="161"/>
      <c r="F14" s="161"/>
      <c r="G14" s="161"/>
      <c r="H14" s="161"/>
      <c r="I14" s="161"/>
      <c r="J14" s="161"/>
      <c r="K14" s="161"/>
      <c r="L14" s="161"/>
      <c r="M14" s="161"/>
    </row>
    <row r="15" spans="1:13" x14ac:dyDescent="0.25">
      <c r="A15" s="77" t="s">
        <v>291</v>
      </c>
      <c r="B15" s="161" t="s">
        <v>484</v>
      </c>
      <c r="C15" s="161"/>
      <c r="D15" s="161"/>
      <c r="E15" s="161"/>
      <c r="F15" s="161"/>
      <c r="G15" s="161"/>
      <c r="H15" s="161"/>
      <c r="I15" s="161"/>
      <c r="J15" s="161"/>
      <c r="K15" s="161"/>
      <c r="L15" s="161"/>
      <c r="M15" s="161"/>
    </row>
    <row r="16" spans="1:13" x14ac:dyDescent="0.25">
      <c r="A16" s="77" t="s">
        <v>293</v>
      </c>
      <c r="B16" s="161" t="s">
        <v>485</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65</v>
      </c>
      <c r="B27" s="81">
        <v>0</v>
      </c>
      <c r="C27" s="81">
        <v>0</v>
      </c>
      <c r="D27" s="81">
        <v>0</v>
      </c>
      <c r="E27" s="81">
        <v>0</v>
      </c>
      <c r="F27" s="81">
        <v>0</v>
      </c>
      <c r="G27" s="81">
        <v>0</v>
      </c>
      <c r="H27" s="81">
        <v>0</v>
      </c>
      <c r="I27" s="81">
        <v>0</v>
      </c>
      <c r="J27" s="81">
        <v>0</v>
      </c>
      <c r="K27" s="81">
        <v>0</v>
      </c>
      <c r="L27" s="81">
        <v>0</v>
      </c>
      <c r="M27" s="81">
        <v>0</v>
      </c>
    </row>
    <row r="28" spans="1:13" x14ac:dyDescent="0.25">
      <c r="A28" s="80">
        <v>66</v>
      </c>
      <c r="B28" s="81">
        <v>0</v>
      </c>
      <c r="C28" s="81">
        <v>0</v>
      </c>
      <c r="D28" s="81">
        <v>0</v>
      </c>
      <c r="E28" s="81">
        <v>0</v>
      </c>
      <c r="F28" s="81">
        <v>0</v>
      </c>
      <c r="G28" s="81">
        <v>0</v>
      </c>
      <c r="H28" s="81">
        <v>0</v>
      </c>
      <c r="I28" s="81">
        <v>0</v>
      </c>
      <c r="J28" s="81">
        <v>0</v>
      </c>
      <c r="K28" s="81">
        <v>0</v>
      </c>
      <c r="L28" s="81">
        <v>0</v>
      </c>
      <c r="M28" s="81">
        <v>0</v>
      </c>
    </row>
    <row r="29" spans="1:13" x14ac:dyDescent="0.25">
      <c r="A29" s="80">
        <v>67</v>
      </c>
      <c r="B29" s="81">
        <v>0</v>
      </c>
      <c r="C29" s="81">
        <v>0</v>
      </c>
      <c r="D29" s="81">
        <v>0</v>
      </c>
      <c r="E29" s="81">
        <v>0</v>
      </c>
      <c r="F29" s="81">
        <v>0</v>
      </c>
      <c r="G29" s="81">
        <v>0</v>
      </c>
      <c r="H29" s="81">
        <v>0</v>
      </c>
      <c r="I29" s="81">
        <v>0</v>
      </c>
      <c r="J29" s="81">
        <v>0</v>
      </c>
      <c r="K29" s="81">
        <v>0</v>
      </c>
      <c r="L29" s="81">
        <v>0</v>
      </c>
      <c r="M29" s="81">
        <v>0</v>
      </c>
    </row>
    <row r="30" spans="1:13" x14ac:dyDescent="0.25">
      <c r="A30" s="80">
        <v>68</v>
      </c>
      <c r="B30" s="81">
        <v>0</v>
      </c>
      <c r="C30" s="81">
        <v>0</v>
      </c>
      <c r="D30" s="81">
        <v>0</v>
      </c>
      <c r="E30" s="81">
        <v>0</v>
      </c>
      <c r="F30" s="81">
        <v>0</v>
      </c>
      <c r="G30" s="81">
        <v>0</v>
      </c>
      <c r="H30" s="81">
        <v>0</v>
      </c>
      <c r="I30" s="81">
        <v>0</v>
      </c>
      <c r="J30" s="81">
        <v>0</v>
      </c>
      <c r="K30" s="81">
        <v>0</v>
      </c>
      <c r="L30" s="81">
        <v>0</v>
      </c>
      <c r="M30" s="81">
        <v>0</v>
      </c>
    </row>
    <row r="31" spans="1:13" x14ac:dyDescent="0.25">
      <c r="A31" s="80">
        <v>69</v>
      </c>
      <c r="B31" s="81">
        <v>0</v>
      </c>
      <c r="C31" s="81">
        <v>0</v>
      </c>
      <c r="D31" s="81">
        <v>0</v>
      </c>
      <c r="E31" s="81">
        <v>0</v>
      </c>
      <c r="F31" s="81">
        <v>0</v>
      </c>
      <c r="G31" s="81">
        <v>0</v>
      </c>
      <c r="H31" s="81">
        <v>0</v>
      </c>
      <c r="I31" s="81">
        <v>0</v>
      </c>
      <c r="J31" s="81">
        <v>0</v>
      </c>
      <c r="K31" s="81">
        <v>0</v>
      </c>
      <c r="L31" s="81">
        <v>0</v>
      </c>
      <c r="M31" s="81">
        <v>0</v>
      </c>
    </row>
    <row r="32" spans="1:13" x14ac:dyDescent="0.25">
      <c r="A32" s="80">
        <v>70</v>
      </c>
      <c r="B32" s="81">
        <v>0</v>
      </c>
      <c r="C32" s="81">
        <v>0</v>
      </c>
      <c r="D32" s="81">
        <v>0</v>
      </c>
      <c r="E32" s="81">
        <v>0</v>
      </c>
      <c r="F32" s="81">
        <v>0</v>
      </c>
      <c r="G32" s="81">
        <v>0</v>
      </c>
      <c r="H32" s="81">
        <v>0</v>
      </c>
      <c r="I32" s="81">
        <v>0</v>
      </c>
      <c r="J32" s="81">
        <v>0</v>
      </c>
      <c r="K32" s="81">
        <v>0</v>
      </c>
      <c r="L32" s="81">
        <v>0</v>
      </c>
      <c r="M32" s="81">
        <v>0</v>
      </c>
    </row>
    <row r="33" spans="1:13" x14ac:dyDescent="0.25">
      <c r="A33" s="80">
        <v>71</v>
      </c>
      <c r="B33" s="81">
        <v>0</v>
      </c>
      <c r="C33" s="81">
        <v>0</v>
      </c>
      <c r="D33" s="81">
        <v>0</v>
      </c>
      <c r="E33" s="81">
        <v>0</v>
      </c>
      <c r="F33" s="81">
        <v>0</v>
      </c>
      <c r="G33" s="81">
        <v>0</v>
      </c>
      <c r="H33" s="81">
        <v>0</v>
      </c>
      <c r="I33" s="81">
        <v>0</v>
      </c>
      <c r="J33" s="81">
        <v>0</v>
      </c>
      <c r="K33" s="81">
        <v>0</v>
      </c>
      <c r="L33" s="81">
        <v>0</v>
      </c>
      <c r="M33" s="81">
        <v>0</v>
      </c>
    </row>
    <row r="34" spans="1:13" x14ac:dyDescent="0.25">
      <c r="A34" s="80">
        <v>72</v>
      </c>
      <c r="B34" s="81">
        <v>0</v>
      </c>
      <c r="C34" s="81">
        <v>0</v>
      </c>
      <c r="D34" s="81">
        <v>0</v>
      </c>
      <c r="E34" s="81">
        <v>0</v>
      </c>
      <c r="F34" s="81">
        <v>0</v>
      </c>
      <c r="G34" s="81">
        <v>0</v>
      </c>
      <c r="H34" s="81">
        <v>0</v>
      </c>
      <c r="I34" s="81">
        <v>0</v>
      </c>
      <c r="J34" s="81">
        <v>0</v>
      </c>
      <c r="K34" s="81">
        <v>0</v>
      </c>
      <c r="L34" s="81">
        <v>0</v>
      </c>
      <c r="M34" s="81">
        <v>0</v>
      </c>
    </row>
    <row r="35" spans="1:13" x14ac:dyDescent="0.25">
      <c r="A35" s="80">
        <v>73</v>
      </c>
      <c r="B35" s="81">
        <v>0</v>
      </c>
      <c r="C35" s="81">
        <v>0</v>
      </c>
      <c r="D35" s="81">
        <v>0</v>
      </c>
      <c r="E35" s="81">
        <v>0</v>
      </c>
      <c r="F35" s="81">
        <v>0</v>
      </c>
      <c r="G35" s="81">
        <v>0</v>
      </c>
      <c r="H35" s="81">
        <v>0</v>
      </c>
      <c r="I35" s="81">
        <v>0</v>
      </c>
      <c r="J35" s="81">
        <v>0</v>
      </c>
      <c r="K35" s="81">
        <v>0</v>
      </c>
      <c r="L35" s="81">
        <v>0</v>
      </c>
      <c r="M35" s="81">
        <v>0</v>
      </c>
    </row>
    <row r="36" spans="1:13" x14ac:dyDescent="0.25">
      <c r="A36" s="80">
        <v>74</v>
      </c>
      <c r="B36" s="81">
        <v>0</v>
      </c>
      <c r="C36" s="81">
        <v>0</v>
      </c>
      <c r="D36" s="81">
        <v>0</v>
      </c>
      <c r="E36" s="81">
        <v>0</v>
      </c>
      <c r="F36" s="81">
        <v>0</v>
      </c>
      <c r="G36" s="81">
        <v>0</v>
      </c>
      <c r="H36" s="81">
        <v>0</v>
      </c>
      <c r="I36" s="81">
        <v>0</v>
      </c>
      <c r="J36" s="81">
        <v>0</v>
      </c>
      <c r="K36" s="81">
        <v>0</v>
      </c>
      <c r="L36" s="81">
        <v>0</v>
      </c>
      <c r="M36" s="81">
        <v>0</v>
      </c>
    </row>
    <row r="37" spans="1:13" x14ac:dyDescent="0.25">
      <c r="A37" s="80">
        <v>75</v>
      </c>
      <c r="B37" s="81">
        <v>0</v>
      </c>
      <c r="C37" s="81"/>
      <c r="D37" s="81"/>
      <c r="E37" s="81"/>
      <c r="F37" s="81"/>
      <c r="G37" s="81"/>
      <c r="H37" s="81"/>
      <c r="I37" s="81"/>
      <c r="J37" s="81"/>
      <c r="K37" s="81"/>
      <c r="L37" s="81"/>
      <c r="M37" s="81"/>
    </row>
    <row r="44" spans="1:13" ht="39.65" customHeight="1" x14ac:dyDescent="0.25"/>
    <row r="46" spans="1:13" ht="27.65" customHeight="1" x14ac:dyDescent="0.25"/>
  </sheetData>
  <sheetProtection algorithmName="SHA-512" hashValue="LlB+wrMKU5RIJrnOpi2u7yB8LUwJOfOBxuHqjrcImhZ2C3OzrbbupPZsQVMnJFh1brLVJsW8f3Opo+PEMTy1BQ==" saltValue="3Qw+GkHdah+aN3ljgbbuqA==" spinCount="100000" sheet="1" objects="1" scenarios="1"/>
  <conditionalFormatting sqref="A6:A21">
    <cfRule type="expression" dxfId="679" priority="15" stopIfTrue="1">
      <formula>MOD(ROW(),2)=0</formula>
    </cfRule>
    <cfRule type="expression" dxfId="678" priority="16" stopIfTrue="1">
      <formula>MOD(ROW(),2)&lt;&gt;0</formula>
    </cfRule>
  </conditionalFormatting>
  <conditionalFormatting sqref="A26:A37">
    <cfRule type="expression" dxfId="677" priority="3" stopIfTrue="1">
      <formula>MOD(ROW(),2)=0</formula>
    </cfRule>
    <cfRule type="expression" dxfId="676" priority="4" stopIfTrue="1">
      <formula>MOD(ROW(),2)&lt;&gt;0</formula>
    </cfRule>
  </conditionalFormatting>
  <conditionalFormatting sqref="B17:B21">
    <cfRule type="expression" dxfId="675" priority="1" stopIfTrue="1">
      <formula>MOD(ROW(),2)=0</formula>
    </cfRule>
    <cfRule type="expression" dxfId="674" priority="2" stopIfTrue="1">
      <formula>MOD(ROW(),2)&lt;&gt;0</formula>
    </cfRule>
  </conditionalFormatting>
  <conditionalFormatting sqref="B6:M21">
    <cfRule type="expression" dxfId="673" priority="23" stopIfTrue="1">
      <formula>MOD(ROW(),2)=0</formula>
    </cfRule>
    <cfRule type="expression" dxfId="672" priority="24" stopIfTrue="1">
      <formula>MOD(ROW(),2)&lt;&gt;0</formula>
    </cfRule>
  </conditionalFormatting>
  <conditionalFormatting sqref="B26:M37">
    <cfRule type="expression" dxfId="671" priority="5" stopIfTrue="1">
      <formula>MOD(ROW(),2)=0</formula>
    </cfRule>
    <cfRule type="expression" dxfId="670" priority="6" stopIfTrue="1">
      <formula>MOD(ROW(),2)&lt;&gt;0</formula>
    </cfRule>
  </conditionalFormatting>
  <hyperlinks>
    <hyperlink ref="B24" location="Assumptions!A1" display="Assumptions" xr:uid="{9008D2EA-1A1A-497C-BE33-5922624B31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LRF - x-421</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73</v>
      </c>
      <c r="C8" s="161"/>
      <c r="D8" s="161"/>
      <c r="E8" s="161"/>
      <c r="F8" s="161"/>
      <c r="G8" s="161"/>
      <c r="H8" s="161"/>
      <c r="I8" s="161"/>
      <c r="J8" s="161"/>
      <c r="K8" s="161"/>
      <c r="L8" s="161"/>
      <c r="M8" s="161"/>
    </row>
    <row r="9" spans="1:13" x14ac:dyDescent="0.25">
      <c r="A9" s="77" t="s">
        <v>280</v>
      </c>
      <c r="B9" s="161" t="s">
        <v>473</v>
      </c>
      <c r="C9" s="161"/>
      <c r="D9" s="161"/>
      <c r="E9" s="161"/>
      <c r="F9" s="161"/>
      <c r="G9" s="161"/>
      <c r="H9" s="161"/>
      <c r="I9" s="161"/>
      <c r="J9" s="161"/>
      <c r="K9" s="161"/>
      <c r="L9" s="161"/>
      <c r="M9" s="161"/>
    </row>
    <row r="10" spans="1:13" x14ac:dyDescent="0.25">
      <c r="A10" s="77" t="s">
        <v>6</v>
      </c>
      <c r="B10" s="161" t="s">
        <v>486</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487</v>
      </c>
      <c r="C12" s="161"/>
      <c r="D12" s="161"/>
      <c r="E12" s="161"/>
      <c r="F12" s="161"/>
      <c r="G12" s="161"/>
      <c r="H12" s="161"/>
      <c r="I12" s="161"/>
      <c r="J12" s="161"/>
      <c r="K12" s="161"/>
      <c r="L12" s="161"/>
      <c r="M12" s="161"/>
    </row>
    <row r="13" spans="1:13" x14ac:dyDescent="0.25">
      <c r="A13" s="77" t="s">
        <v>287</v>
      </c>
      <c r="B13" s="161">
        <v>0</v>
      </c>
      <c r="C13" s="161"/>
      <c r="D13" s="161"/>
      <c r="E13" s="161"/>
      <c r="F13" s="161"/>
      <c r="G13" s="161"/>
      <c r="H13" s="161"/>
      <c r="I13" s="161"/>
      <c r="J13" s="161"/>
      <c r="K13" s="161"/>
      <c r="L13" s="161"/>
      <c r="M13" s="161"/>
    </row>
    <row r="14" spans="1:13" x14ac:dyDescent="0.25">
      <c r="A14" s="77" t="s">
        <v>289</v>
      </c>
      <c r="B14" s="161">
        <v>421</v>
      </c>
      <c r="C14" s="161"/>
      <c r="D14" s="161"/>
      <c r="E14" s="161"/>
      <c r="F14" s="161"/>
      <c r="G14" s="161"/>
      <c r="H14" s="161"/>
      <c r="I14" s="161"/>
      <c r="J14" s="161"/>
      <c r="K14" s="161"/>
      <c r="L14" s="161"/>
      <c r="M14" s="161"/>
    </row>
    <row r="15" spans="1:13" x14ac:dyDescent="0.25">
      <c r="A15" s="77" t="s">
        <v>291</v>
      </c>
      <c r="B15" s="161" t="s">
        <v>488</v>
      </c>
      <c r="C15" s="161"/>
      <c r="D15" s="161"/>
      <c r="E15" s="161"/>
      <c r="F15" s="161"/>
      <c r="G15" s="161"/>
      <c r="H15" s="161"/>
      <c r="I15" s="161"/>
      <c r="J15" s="161"/>
      <c r="K15" s="161"/>
      <c r="L15" s="161"/>
      <c r="M15" s="161"/>
    </row>
    <row r="16" spans="1:13" x14ac:dyDescent="0.25">
      <c r="A16" s="77" t="s">
        <v>293</v>
      </c>
      <c r="B16" s="161" t="s">
        <v>489</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806</v>
      </c>
      <c r="B26" s="79">
        <v>0</v>
      </c>
      <c r="C26" s="79">
        <v>1</v>
      </c>
      <c r="D26" s="79">
        <v>2</v>
      </c>
      <c r="E26" s="79">
        <v>3</v>
      </c>
      <c r="F26" s="79">
        <v>4</v>
      </c>
      <c r="G26" s="79">
        <v>5</v>
      </c>
      <c r="H26" s="79">
        <v>6</v>
      </c>
      <c r="I26" s="79">
        <v>7</v>
      </c>
      <c r="J26" s="79">
        <v>8</v>
      </c>
      <c r="K26" s="79">
        <v>9</v>
      </c>
      <c r="L26" s="79">
        <v>10</v>
      </c>
      <c r="M26" s="79">
        <v>11</v>
      </c>
    </row>
    <row r="27" spans="1:13" x14ac:dyDescent="0.25">
      <c r="A27" s="80">
        <v>0</v>
      </c>
      <c r="B27" s="81">
        <v>1</v>
      </c>
      <c r="C27" s="81">
        <v>1.004</v>
      </c>
      <c r="D27" s="81">
        <v>1.0069999999999999</v>
      </c>
      <c r="E27" s="81">
        <v>1.0109999999999999</v>
      </c>
      <c r="F27" s="81">
        <v>1.014</v>
      </c>
      <c r="G27" s="81">
        <v>1.018</v>
      </c>
      <c r="H27" s="81">
        <v>1.0209999999999999</v>
      </c>
      <c r="I27" s="81">
        <v>1.0249999999999999</v>
      </c>
      <c r="J27" s="81">
        <v>1.028</v>
      </c>
      <c r="K27" s="81">
        <v>1.032</v>
      </c>
      <c r="L27" s="81">
        <v>1.0349999999999999</v>
      </c>
      <c r="M27" s="81">
        <v>1.0389999999999999</v>
      </c>
    </row>
    <row r="28" spans="1:13" x14ac:dyDescent="0.25">
      <c r="A28" s="80">
        <v>1</v>
      </c>
      <c r="B28" s="81">
        <v>1.042</v>
      </c>
      <c r="C28" s="81">
        <v>1.046</v>
      </c>
      <c r="D28" s="81">
        <v>1.05</v>
      </c>
      <c r="E28" s="81">
        <v>1.054</v>
      </c>
      <c r="F28" s="81">
        <v>1.0580000000000001</v>
      </c>
      <c r="G28" s="81">
        <v>1.0620000000000001</v>
      </c>
      <c r="H28" s="81">
        <v>1.0649999999999999</v>
      </c>
      <c r="I28" s="81">
        <v>1.069</v>
      </c>
      <c r="J28" s="81">
        <v>1.073</v>
      </c>
      <c r="K28" s="81">
        <v>1.077</v>
      </c>
      <c r="L28" s="81">
        <v>1.081</v>
      </c>
      <c r="M28" s="81">
        <v>1.085</v>
      </c>
    </row>
    <row r="29" spans="1:13" x14ac:dyDescent="0.25">
      <c r="A29" s="80">
        <v>2</v>
      </c>
      <c r="B29" s="81">
        <v>1.089</v>
      </c>
      <c r="C29" s="81">
        <v>1.093</v>
      </c>
      <c r="D29" s="81">
        <v>1.097</v>
      </c>
      <c r="E29" s="81">
        <v>1.101</v>
      </c>
      <c r="F29" s="81">
        <v>1.1060000000000001</v>
      </c>
      <c r="G29" s="81">
        <v>1.1100000000000001</v>
      </c>
      <c r="H29" s="81">
        <v>1.1140000000000001</v>
      </c>
      <c r="I29" s="81">
        <v>1.1180000000000001</v>
      </c>
      <c r="J29" s="81">
        <v>1.123</v>
      </c>
      <c r="K29" s="81">
        <v>1.127</v>
      </c>
      <c r="L29" s="81">
        <v>1.131</v>
      </c>
      <c r="M29" s="81">
        <v>1.135</v>
      </c>
    </row>
    <row r="30" spans="1:13" x14ac:dyDescent="0.25">
      <c r="A30" s="80">
        <v>3</v>
      </c>
      <c r="B30" s="81">
        <v>1.1399999999999999</v>
      </c>
      <c r="C30" s="81">
        <v>1.1439999999999999</v>
      </c>
      <c r="D30" s="81">
        <v>1.149</v>
      </c>
      <c r="E30" s="81">
        <v>1.1539999999999999</v>
      </c>
      <c r="F30" s="81">
        <v>1.1579999999999999</v>
      </c>
      <c r="G30" s="81">
        <v>1.163</v>
      </c>
      <c r="H30" s="81">
        <v>1.1679999999999999</v>
      </c>
      <c r="I30" s="81">
        <v>1.1719999999999999</v>
      </c>
      <c r="J30" s="81">
        <v>1.177</v>
      </c>
      <c r="K30" s="81">
        <v>1.1819999999999999</v>
      </c>
      <c r="L30" s="81">
        <v>1.1870000000000001</v>
      </c>
      <c r="M30" s="81">
        <v>1.1910000000000001</v>
      </c>
    </row>
    <row r="31" spans="1:13" x14ac:dyDescent="0.25">
      <c r="A31" s="80">
        <v>4</v>
      </c>
      <c r="B31" s="81">
        <v>1.196</v>
      </c>
      <c r="C31" s="81">
        <v>1.2010000000000001</v>
      </c>
      <c r="D31" s="81">
        <v>1.206</v>
      </c>
      <c r="E31" s="81">
        <v>1.2110000000000001</v>
      </c>
      <c r="F31" s="81">
        <v>1.2170000000000001</v>
      </c>
      <c r="G31" s="81">
        <v>1.222</v>
      </c>
      <c r="H31" s="81">
        <v>1.2270000000000001</v>
      </c>
      <c r="I31" s="81">
        <v>1.232</v>
      </c>
      <c r="J31" s="81">
        <v>1.2370000000000001</v>
      </c>
      <c r="K31" s="81">
        <v>1.2430000000000001</v>
      </c>
      <c r="L31" s="81">
        <v>1.248</v>
      </c>
      <c r="M31" s="81">
        <v>1.2529999999999999</v>
      </c>
    </row>
    <row r="32" spans="1:13" x14ac:dyDescent="0.25">
      <c r="A32" s="80">
        <v>5</v>
      </c>
      <c r="B32" s="81">
        <v>1.258</v>
      </c>
      <c r="C32" s="81">
        <v>1.264</v>
      </c>
      <c r="D32" s="81">
        <v>1.27</v>
      </c>
      <c r="E32" s="81">
        <v>1.2749999999999999</v>
      </c>
      <c r="F32" s="81">
        <v>1.2809999999999999</v>
      </c>
      <c r="G32" s="81">
        <v>1.2869999999999999</v>
      </c>
      <c r="H32" s="81">
        <v>1.2929999999999999</v>
      </c>
      <c r="I32" s="81">
        <v>1.298</v>
      </c>
      <c r="J32" s="81">
        <v>1.304</v>
      </c>
      <c r="K32" s="81">
        <v>1.31</v>
      </c>
      <c r="L32" s="81">
        <v>1.3149999999999999</v>
      </c>
      <c r="M32" s="81">
        <v>1.321</v>
      </c>
    </row>
    <row r="33" spans="1:13" x14ac:dyDescent="0.25">
      <c r="A33" s="80">
        <v>6</v>
      </c>
      <c r="B33" s="81">
        <v>1.327</v>
      </c>
      <c r="C33" s="81">
        <v>1.333</v>
      </c>
      <c r="D33" s="81">
        <v>1.339</v>
      </c>
      <c r="E33" s="81">
        <v>1.3460000000000001</v>
      </c>
      <c r="F33" s="81">
        <v>1.3520000000000001</v>
      </c>
      <c r="G33" s="81">
        <v>1.3580000000000001</v>
      </c>
      <c r="H33" s="81">
        <v>1.365</v>
      </c>
      <c r="I33" s="81">
        <v>1.371</v>
      </c>
      <c r="J33" s="81">
        <v>1.377</v>
      </c>
      <c r="K33" s="81">
        <v>1.3839999999999999</v>
      </c>
      <c r="L33" s="81">
        <v>1.39</v>
      </c>
      <c r="M33" s="81">
        <v>1.3959999999999999</v>
      </c>
    </row>
    <row r="34" spans="1:13" x14ac:dyDescent="0.25">
      <c r="A34" s="80">
        <v>7</v>
      </c>
      <c r="B34" s="81">
        <v>1.403</v>
      </c>
      <c r="C34" s="81">
        <v>1.409</v>
      </c>
      <c r="D34" s="81">
        <v>1.4159999999999999</v>
      </c>
      <c r="E34" s="81">
        <v>1.423</v>
      </c>
      <c r="F34" s="81">
        <v>1.43</v>
      </c>
      <c r="G34" s="81">
        <v>1.4370000000000001</v>
      </c>
      <c r="H34" s="81">
        <v>1.444</v>
      </c>
      <c r="I34" s="81">
        <v>1.4510000000000001</v>
      </c>
      <c r="J34" s="81">
        <v>1.458</v>
      </c>
      <c r="K34" s="81">
        <v>1.4650000000000001</v>
      </c>
      <c r="L34" s="81">
        <v>1.472</v>
      </c>
      <c r="M34" s="81">
        <v>1.4790000000000001</v>
      </c>
    </row>
    <row r="35" spans="1:13" x14ac:dyDescent="0.25">
      <c r="A35" s="80">
        <v>8</v>
      </c>
      <c r="B35" s="81">
        <v>1.486</v>
      </c>
      <c r="C35" s="81">
        <v>1.494</v>
      </c>
      <c r="D35" s="81">
        <v>1.5009999999999999</v>
      </c>
      <c r="E35" s="81">
        <v>1.5089999999999999</v>
      </c>
      <c r="F35" s="81">
        <v>1.5169999999999999</v>
      </c>
      <c r="G35" s="81">
        <v>1.524</v>
      </c>
      <c r="H35" s="81">
        <v>1.532</v>
      </c>
      <c r="I35" s="81">
        <v>1.54</v>
      </c>
      <c r="J35" s="81">
        <v>1.5469999999999999</v>
      </c>
      <c r="K35" s="81">
        <v>1.5549999999999999</v>
      </c>
      <c r="L35" s="81">
        <v>1.5629999999999999</v>
      </c>
      <c r="M35" s="81">
        <v>1.57</v>
      </c>
    </row>
    <row r="36" spans="1:13" x14ac:dyDescent="0.25">
      <c r="A36" s="80">
        <v>9</v>
      </c>
      <c r="B36" s="81">
        <v>1.5780000000000001</v>
      </c>
      <c r="C36" s="81">
        <v>1.5860000000000001</v>
      </c>
      <c r="D36" s="81">
        <v>1.595</v>
      </c>
      <c r="E36" s="81">
        <v>1.603</v>
      </c>
      <c r="F36" s="81">
        <v>1.6120000000000001</v>
      </c>
      <c r="G36" s="81">
        <v>1.62</v>
      </c>
      <c r="H36" s="81">
        <v>1.629</v>
      </c>
      <c r="I36" s="81">
        <v>1.637</v>
      </c>
      <c r="J36" s="81">
        <v>1.6459999999999999</v>
      </c>
      <c r="K36" s="81">
        <v>1.6539999999999999</v>
      </c>
      <c r="L36" s="81">
        <v>1.663</v>
      </c>
      <c r="M36" s="81">
        <v>1.671</v>
      </c>
    </row>
    <row r="37" spans="1:13" x14ac:dyDescent="0.25">
      <c r="A37" s="80">
        <v>10</v>
      </c>
      <c r="B37" s="81">
        <v>1.68</v>
      </c>
      <c r="C37" s="81"/>
      <c r="D37" s="81"/>
      <c r="E37" s="81"/>
      <c r="F37" s="81"/>
      <c r="G37" s="81"/>
      <c r="H37" s="81"/>
      <c r="I37" s="81"/>
      <c r="J37" s="81"/>
      <c r="K37" s="81"/>
      <c r="L37" s="81"/>
      <c r="M37" s="81"/>
    </row>
    <row r="44" spans="1:13" ht="39.65" customHeight="1" x14ac:dyDescent="0.25"/>
    <row r="46" spans="1:13" ht="27.65" customHeight="1" x14ac:dyDescent="0.25"/>
  </sheetData>
  <sheetProtection algorithmName="SHA-512" hashValue="MO7oc3GXR/o2aV9hw8auGmUsR8l1NzkGrd2YsGHODxrgHEXBhw3CWauRu30B/cxh/eebedP+URqdo7NBXE3Paw==" saltValue="1DsVgNDcEY9SIV0TGbr0Lg==" spinCount="100000" sheet="1" objects="1" scenarios="1"/>
  <conditionalFormatting sqref="A6:A21">
    <cfRule type="expression" dxfId="669" priority="15" stopIfTrue="1">
      <formula>MOD(ROW(),2)=0</formula>
    </cfRule>
    <cfRule type="expression" dxfId="668" priority="16" stopIfTrue="1">
      <formula>MOD(ROW(),2)&lt;&gt;0</formula>
    </cfRule>
  </conditionalFormatting>
  <conditionalFormatting sqref="A26:A37">
    <cfRule type="expression" dxfId="667" priority="3" stopIfTrue="1">
      <formula>MOD(ROW(),2)=0</formula>
    </cfRule>
    <cfRule type="expression" dxfId="666" priority="4" stopIfTrue="1">
      <formula>MOD(ROW(),2)&lt;&gt;0</formula>
    </cfRule>
  </conditionalFormatting>
  <conditionalFormatting sqref="B17:B21">
    <cfRule type="expression" dxfId="665" priority="1" stopIfTrue="1">
      <formula>MOD(ROW(),2)=0</formula>
    </cfRule>
    <cfRule type="expression" dxfId="664" priority="2" stopIfTrue="1">
      <formula>MOD(ROW(),2)&lt;&gt;0</formula>
    </cfRule>
  </conditionalFormatting>
  <conditionalFormatting sqref="B6:M21">
    <cfRule type="expression" dxfId="663" priority="23" stopIfTrue="1">
      <formula>MOD(ROW(),2)=0</formula>
    </cfRule>
    <cfRule type="expression" dxfId="662" priority="24" stopIfTrue="1">
      <formula>MOD(ROW(),2)&lt;&gt;0</formula>
    </cfRule>
  </conditionalFormatting>
  <conditionalFormatting sqref="B26:M37">
    <cfRule type="expression" dxfId="661" priority="5" stopIfTrue="1">
      <formula>MOD(ROW(),2)=0</formula>
    </cfRule>
    <cfRule type="expression" dxfId="660" priority="6" stopIfTrue="1">
      <formula>MOD(ROW(),2)&lt;&gt;0</formula>
    </cfRule>
  </conditionalFormatting>
  <hyperlinks>
    <hyperlink ref="B24" location="Assumptions!A1" display="Assumptions" xr:uid="{BF7B30AA-9CC7-4047-8845-4FA982418D6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6"/>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LRF - x-422</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73</v>
      </c>
      <c r="C8" s="161"/>
      <c r="D8" s="161"/>
      <c r="E8" s="161"/>
      <c r="F8" s="161"/>
      <c r="G8" s="161"/>
      <c r="H8" s="161"/>
      <c r="I8" s="161"/>
      <c r="J8" s="161"/>
      <c r="K8" s="161"/>
      <c r="L8" s="161"/>
      <c r="M8" s="161"/>
    </row>
    <row r="9" spans="1:13" x14ac:dyDescent="0.25">
      <c r="A9" s="77" t="s">
        <v>280</v>
      </c>
      <c r="B9" s="161" t="s">
        <v>473</v>
      </c>
      <c r="C9" s="161"/>
      <c r="D9" s="161"/>
      <c r="E9" s="161"/>
      <c r="F9" s="161"/>
      <c r="G9" s="161"/>
      <c r="H9" s="161"/>
      <c r="I9" s="161"/>
      <c r="J9" s="161"/>
      <c r="K9" s="161"/>
      <c r="L9" s="161"/>
      <c r="M9" s="161"/>
    </row>
    <row r="10" spans="1:13" x14ac:dyDescent="0.25">
      <c r="A10" s="77" t="s">
        <v>6</v>
      </c>
      <c r="B10" s="161" t="s">
        <v>490</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487</v>
      </c>
      <c r="C12" s="161"/>
      <c r="D12" s="161"/>
      <c r="E12" s="161"/>
      <c r="F12" s="161"/>
      <c r="G12" s="161"/>
      <c r="H12" s="161"/>
      <c r="I12" s="161"/>
      <c r="J12" s="161"/>
      <c r="K12" s="161"/>
      <c r="L12" s="161"/>
      <c r="M12" s="161"/>
    </row>
    <row r="13" spans="1:13" x14ac:dyDescent="0.25">
      <c r="A13" s="77" t="s">
        <v>287</v>
      </c>
      <c r="B13" s="161">
        <v>0</v>
      </c>
      <c r="C13" s="161"/>
      <c r="D13" s="161"/>
      <c r="E13" s="161"/>
      <c r="F13" s="161"/>
      <c r="G13" s="161"/>
      <c r="H13" s="161"/>
      <c r="I13" s="161"/>
      <c r="J13" s="161"/>
      <c r="K13" s="161"/>
      <c r="L13" s="161"/>
      <c r="M13" s="161"/>
    </row>
    <row r="14" spans="1:13" x14ac:dyDescent="0.25">
      <c r="A14" s="77" t="s">
        <v>289</v>
      </c>
      <c r="B14" s="161">
        <v>422</v>
      </c>
      <c r="C14" s="161"/>
      <c r="D14" s="161"/>
      <c r="E14" s="161"/>
      <c r="F14" s="161"/>
      <c r="G14" s="161"/>
      <c r="H14" s="161"/>
      <c r="I14" s="161"/>
      <c r="J14" s="161"/>
      <c r="K14" s="161"/>
      <c r="L14" s="161"/>
      <c r="M14" s="161"/>
    </row>
    <row r="15" spans="1:13" x14ac:dyDescent="0.25">
      <c r="A15" s="77" t="s">
        <v>291</v>
      </c>
      <c r="B15" s="161" t="s">
        <v>491</v>
      </c>
      <c r="C15" s="161"/>
      <c r="D15" s="161"/>
      <c r="E15" s="161"/>
      <c r="F15" s="161"/>
      <c r="G15" s="161"/>
      <c r="H15" s="161"/>
      <c r="I15" s="161"/>
      <c r="J15" s="161"/>
      <c r="K15" s="161"/>
      <c r="L15" s="161"/>
      <c r="M15" s="161"/>
    </row>
    <row r="16" spans="1:13" x14ac:dyDescent="0.25">
      <c r="A16" s="77" t="s">
        <v>293</v>
      </c>
      <c r="B16" s="161" t="s">
        <v>492</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806</v>
      </c>
      <c r="B26" s="79">
        <v>0</v>
      </c>
      <c r="C26" s="79">
        <v>1</v>
      </c>
      <c r="D26" s="79">
        <v>2</v>
      </c>
      <c r="E26" s="79">
        <v>3</v>
      </c>
      <c r="F26" s="79">
        <v>4</v>
      </c>
      <c r="G26" s="79">
        <v>5</v>
      </c>
      <c r="H26" s="79">
        <v>6</v>
      </c>
      <c r="I26" s="79">
        <v>7</v>
      </c>
      <c r="J26" s="79">
        <v>8</v>
      </c>
      <c r="K26" s="79">
        <v>9</v>
      </c>
      <c r="L26" s="79">
        <v>10</v>
      </c>
      <c r="M26" s="79">
        <v>11</v>
      </c>
    </row>
    <row r="27" spans="1:13" x14ac:dyDescent="0.25">
      <c r="A27" s="80">
        <v>0</v>
      </c>
      <c r="B27" s="81">
        <v>1</v>
      </c>
      <c r="C27" s="81">
        <v>1.0049999999999999</v>
      </c>
      <c r="D27" s="81">
        <v>1.01</v>
      </c>
      <c r="E27" s="81">
        <v>1.014</v>
      </c>
      <c r="F27" s="81">
        <v>1.0189999999999999</v>
      </c>
      <c r="G27" s="81">
        <v>1.024</v>
      </c>
      <c r="H27" s="81">
        <v>1.0289999999999999</v>
      </c>
      <c r="I27" s="81">
        <v>1.034</v>
      </c>
      <c r="J27" s="81">
        <v>1.038</v>
      </c>
      <c r="K27" s="81">
        <v>1.0429999999999999</v>
      </c>
      <c r="L27" s="81">
        <v>1.048</v>
      </c>
      <c r="M27" s="81">
        <v>1.0529999999999999</v>
      </c>
    </row>
    <row r="28" spans="1:13" x14ac:dyDescent="0.25">
      <c r="A28" s="80">
        <v>1</v>
      </c>
      <c r="B28" s="81">
        <v>1.0580000000000001</v>
      </c>
      <c r="C28" s="81">
        <v>1.0629999999999999</v>
      </c>
      <c r="D28" s="81">
        <v>1.0680000000000001</v>
      </c>
      <c r="E28" s="81">
        <v>1.073</v>
      </c>
      <c r="F28" s="81">
        <v>1.079</v>
      </c>
      <c r="G28" s="81">
        <v>1.0840000000000001</v>
      </c>
      <c r="H28" s="81">
        <v>1.089</v>
      </c>
      <c r="I28" s="81">
        <v>1.095</v>
      </c>
      <c r="J28" s="81">
        <v>1.1000000000000001</v>
      </c>
      <c r="K28" s="81">
        <v>1.105</v>
      </c>
      <c r="L28" s="81">
        <v>1.1100000000000001</v>
      </c>
      <c r="M28" s="81">
        <v>1.1160000000000001</v>
      </c>
    </row>
    <row r="29" spans="1:13" x14ac:dyDescent="0.25">
      <c r="A29" s="80">
        <v>2</v>
      </c>
      <c r="B29" s="81">
        <v>1.121</v>
      </c>
      <c r="C29" s="81">
        <v>1.127</v>
      </c>
      <c r="D29" s="81">
        <v>1.133</v>
      </c>
      <c r="E29" s="81">
        <v>1.1379999999999999</v>
      </c>
      <c r="F29" s="81">
        <v>1.1439999999999999</v>
      </c>
      <c r="G29" s="81">
        <v>1.1499999999999999</v>
      </c>
      <c r="H29" s="81">
        <v>1.1559999999999999</v>
      </c>
      <c r="I29" s="81">
        <v>1.1619999999999999</v>
      </c>
      <c r="J29" s="81">
        <v>1.167</v>
      </c>
      <c r="K29" s="81">
        <v>1.173</v>
      </c>
      <c r="L29" s="81">
        <v>1.179</v>
      </c>
      <c r="M29" s="81">
        <v>1.1850000000000001</v>
      </c>
    </row>
    <row r="30" spans="1:13" x14ac:dyDescent="0.25">
      <c r="A30" s="80">
        <v>3</v>
      </c>
      <c r="B30" s="81">
        <v>1.1910000000000001</v>
      </c>
      <c r="C30" s="81">
        <v>1.1970000000000001</v>
      </c>
      <c r="D30" s="81">
        <v>1.204</v>
      </c>
      <c r="E30" s="81">
        <v>1.21</v>
      </c>
      <c r="F30" s="81">
        <v>1.216</v>
      </c>
      <c r="G30" s="81">
        <v>1.2230000000000001</v>
      </c>
      <c r="H30" s="81">
        <v>1.2290000000000001</v>
      </c>
      <c r="I30" s="81">
        <v>1.236</v>
      </c>
      <c r="J30" s="81">
        <v>1.242</v>
      </c>
      <c r="K30" s="81">
        <v>1.2490000000000001</v>
      </c>
      <c r="L30" s="81">
        <v>1.2549999999999999</v>
      </c>
      <c r="M30" s="81">
        <v>1.2609999999999999</v>
      </c>
    </row>
    <row r="31" spans="1:13" x14ac:dyDescent="0.25">
      <c r="A31" s="80">
        <v>4</v>
      </c>
      <c r="B31" s="81">
        <v>1.268</v>
      </c>
      <c r="C31" s="81">
        <v>1.2749999999999999</v>
      </c>
      <c r="D31" s="81">
        <v>1.282</v>
      </c>
      <c r="E31" s="81">
        <v>1.2889999999999999</v>
      </c>
      <c r="F31" s="81">
        <v>1.296</v>
      </c>
      <c r="G31" s="81">
        <v>1.3029999999999999</v>
      </c>
      <c r="H31" s="81">
        <v>1.3109999999999999</v>
      </c>
      <c r="I31" s="81">
        <v>1.3180000000000001</v>
      </c>
      <c r="J31" s="81">
        <v>1.325</v>
      </c>
      <c r="K31" s="81">
        <v>1.3320000000000001</v>
      </c>
      <c r="L31" s="81">
        <v>1.339</v>
      </c>
      <c r="M31" s="81">
        <v>1.3460000000000001</v>
      </c>
    </row>
    <row r="32" spans="1:13" x14ac:dyDescent="0.25">
      <c r="A32" s="80">
        <v>5</v>
      </c>
      <c r="B32" s="81">
        <v>1.353</v>
      </c>
      <c r="C32" s="81">
        <v>1.361</v>
      </c>
      <c r="D32" s="81">
        <v>1.369</v>
      </c>
      <c r="E32" s="81">
        <v>1.377</v>
      </c>
      <c r="F32" s="81">
        <v>1.385</v>
      </c>
      <c r="G32" s="81">
        <v>1.393</v>
      </c>
      <c r="H32" s="81">
        <v>1.401</v>
      </c>
      <c r="I32" s="81">
        <v>1.409</v>
      </c>
      <c r="J32" s="81">
        <v>1.417</v>
      </c>
      <c r="K32" s="81">
        <v>1.425</v>
      </c>
      <c r="L32" s="81">
        <v>1.4330000000000001</v>
      </c>
      <c r="M32" s="81">
        <v>1.44</v>
      </c>
    </row>
    <row r="33" spans="1:13" x14ac:dyDescent="0.25">
      <c r="A33" s="80">
        <v>6</v>
      </c>
      <c r="B33" s="81">
        <v>1.448</v>
      </c>
      <c r="C33" s="81">
        <v>1.4570000000000001</v>
      </c>
      <c r="D33" s="81">
        <v>1.466</v>
      </c>
      <c r="E33" s="81">
        <v>1.4750000000000001</v>
      </c>
      <c r="F33" s="81">
        <v>1.4830000000000001</v>
      </c>
      <c r="G33" s="81">
        <v>1.492</v>
      </c>
      <c r="H33" s="81">
        <v>1.5009999999999999</v>
      </c>
      <c r="I33" s="81">
        <v>1.51</v>
      </c>
      <c r="J33" s="81">
        <v>1.518</v>
      </c>
      <c r="K33" s="81">
        <v>1.5269999999999999</v>
      </c>
      <c r="L33" s="81">
        <v>1.536</v>
      </c>
      <c r="M33" s="81">
        <v>1.5449999999999999</v>
      </c>
    </row>
    <row r="34" spans="1:13" x14ac:dyDescent="0.25">
      <c r="A34" s="80">
        <v>7</v>
      </c>
      <c r="B34" s="81">
        <v>1.5529999999999999</v>
      </c>
      <c r="C34" s="81">
        <v>1.5629999999999999</v>
      </c>
      <c r="D34" s="81">
        <v>1.573</v>
      </c>
      <c r="E34" s="81">
        <v>1.583</v>
      </c>
      <c r="F34" s="81">
        <v>1.5920000000000001</v>
      </c>
      <c r="G34" s="81">
        <v>1.6020000000000001</v>
      </c>
      <c r="H34" s="81">
        <v>1.6120000000000001</v>
      </c>
      <c r="I34" s="81">
        <v>1.621</v>
      </c>
      <c r="J34" s="81">
        <v>1.631</v>
      </c>
      <c r="K34" s="81">
        <v>1.641</v>
      </c>
      <c r="L34" s="81">
        <v>1.651</v>
      </c>
      <c r="M34" s="81">
        <v>1.66</v>
      </c>
    </row>
    <row r="35" spans="1:13" x14ac:dyDescent="0.25">
      <c r="A35" s="80">
        <v>8</v>
      </c>
      <c r="B35" s="81">
        <v>1.67</v>
      </c>
      <c r="C35" s="81">
        <v>1.681</v>
      </c>
      <c r="D35" s="81">
        <v>1.6919999999999999</v>
      </c>
      <c r="E35" s="81">
        <v>1.702</v>
      </c>
      <c r="F35" s="81">
        <v>1.7130000000000001</v>
      </c>
      <c r="G35" s="81">
        <v>1.724</v>
      </c>
      <c r="H35" s="81">
        <v>1.7350000000000001</v>
      </c>
      <c r="I35" s="81">
        <v>1.746</v>
      </c>
      <c r="J35" s="81">
        <v>1.756</v>
      </c>
      <c r="K35" s="81">
        <v>1.7669999999999999</v>
      </c>
      <c r="L35" s="81">
        <v>1.778</v>
      </c>
      <c r="M35" s="81">
        <v>1.7889999999999999</v>
      </c>
    </row>
    <row r="36" spans="1:13" x14ac:dyDescent="0.25">
      <c r="A36" s="80">
        <v>9</v>
      </c>
      <c r="B36" s="81">
        <v>1.8</v>
      </c>
      <c r="C36" s="81">
        <v>1.8120000000000001</v>
      </c>
      <c r="D36" s="81">
        <v>1.8240000000000001</v>
      </c>
      <c r="E36" s="81">
        <v>1.8360000000000001</v>
      </c>
      <c r="F36" s="81">
        <v>1.8480000000000001</v>
      </c>
      <c r="G36" s="81">
        <v>1.86</v>
      </c>
      <c r="H36" s="81">
        <v>1.8720000000000001</v>
      </c>
      <c r="I36" s="81">
        <v>1.8839999999999999</v>
      </c>
      <c r="J36" s="81">
        <v>1.8959999999999999</v>
      </c>
      <c r="K36" s="81">
        <v>1.9079999999999999</v>
      </c>
      <c r="L36" s="81">
        <v>1.92</v>
      </c>
      <c r="M36" s="81">
        <v>1.9319999999999999</v>
      </c>
    </row>
    <row r="37" spans="1:13" x14ac:dyDescent="0.25">
      <c r="A37" s="80">
        <v>10</v>
      </c>
      <c r="B37" s="81">
        <v>1.944</v>
      </c>
      <c r="C37" s="81"/>
      <c r="D37" s="81"/>
      <c r="E37" s="81"/>
      <c r="F37" s="81"/>
      <c r="G37" s="81"/>
      <c r="H37" s="81"/>
      <c r="I37" s="81"/>
      <c r="J37" s="81"/>
      <c r="K37" s="81"/>
      <c r="L37" s="81"/>
      <c r="M37" s="81"/>
    </row>
    <row r="44" spans="1:13" ht="39.65" customHeight="1" x14ac:dyDescent="0.25"/>
    <row r="46" spans="1:13" ht="27.65" customHeight="1" x14ac:dyDescent="0.25"/>
  </sheetData>
  <sheetProtection algorithmName="SHA-512" hashValue="MTBEI6iGnoEdL9d+8tf51ec5WbX/boHWHINDlj47Ho7Ga+V0fKR5aoTuzrIdSPZM7fsdH8SIqyjKpddAl2YE5Q==" saltValue="dSx9LF3b4tWu9IlAotiN2g==" spinCount="100000" sheet="1" objects="1" scenarios="1"/>
  <conditionalFormatting sqref="A6:A21">
    <cfRule type="expression" dxfId="659" priority="15" stopIfTrue="1">
      <formula>MOD(ROW(),2)=0</formula>
    </cfRule>
    <cfRule type="expression" dxfId="658" priority="16" stopIfTrue="1">
      <formula>MOD(ROW(),2)&lt;&gt;0</formula>
    </cfRule>
  </conditionalFormatting>
  <conditionalFormatting sqref="A26:A37">
    <cfRule type="expression" dxfId="657" priority="3" stopIfTrue="1">
      <formula>MOD(ROW(),2)=0</formula>
    </cfRule>
    <cfRule type="expression" dxfId="656" priority="4" stopIfTrue="1">
      <formula>MOD(ROW(),2)&lt;&gt;0</formula>
    </cfRule>
  </conditionalFormatting>
  <conditionalFormatting sqref="B17:B21">
    <cfRule type="expression" dxfId="655" priority="1" stopIfTrue="1">
      <formula>MOD(ROW(),2)=0</formula>
    </cfRule>
    <cfRule type="expression" dxfId="654" priority="2" stopIfTrue="1">
      <formula>MOD(ROW(),2)&lt;&gt;0</formula>
    </cfRule>
  </conditionalFormatting>
  <conditionalFormatting sqref="B6:M21">
    <cfRule type="expression" dxfId="653" priority="23" stopIfTrue="1">
      <formula>MOD(ROW(),2)=0</formula>
    </cfRule>
    <cfRule type="expression" dxfId="652" priority="24" stopIfTrue="1">
      <formula>MOD(ROW(),2)&lt;&gt;0</formula>
    </cfRule>
  </conditionalFormatting>
  <conditionalFormatting sqref="B26:M37">
    <cfRule type="expression" dxfId="651" priority="5" stopIfTrue="1">
      <formula>MOD(ROW(),2)=0</formula>
    </cfRule>
    <cfRule type="expression" dxfId="650" priority="6" stopIfTrue="1">
      <formula>MOD(ROW(),2)&lt;&gt;0</formula>
    </cfRule>
  </conditionalFormatting>
  <hyperlinks>
    <hyperlink ref="B24" location="Assumptions!A1" display="Assumptions" xr:uid="{CBDC14DA-3E34-4095-B5BA-25D3B8FE723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37"/>
  <dimension ref="A1:M44"/>
  <sheetViews>
    <sheetView showGridLines="0" topLeftCell="A3"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LRF - x-423</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473</v>
      </c>
      <c r="C9" s="161"/>
      <c r="D9" s="161"/>
      <c r="E9" s="161"/>
      <c r="F9" s="161"/>
      <c r="G9" s="161"/>
      <c r="H9" s="161"/>
      <c r="I9" s="161"/>
      <c r="J9" s="161"/>
      <c r="K9" s="161"/>
      <c r="L9" s="161"/>
      <c r="M9" s="161"/>
    </row>
    <row r="10" spans="1:13" x14ac:dyDescent="0.25">
      <c r="A10" s="77" t="s">
        <v>6</v>
      </c>
      <c r="B10" s="161" t="s">
        <v>493</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494</v>
      </c>
      <c r="C12" s="161"/>
      <c r="D12" s="161"/>
      <c r="E12" s="161"/>
      <c r="F12" s="161"/>
      <c r="G12" s="161"/>
      <c r="H12" s="161"/>
      <c r="I12" s="161"/>
      <c r="J12" s="161"/>
      <c r="K12" s="161"/>
      <c r="L12" s="161"/>
      <c r="M12" s="161"/>
    </row>
    <row r="13" spans="1:13" x14ac:dyDescent="0.25">
      <c r="A13" s="77" t="s">
        <v>287</v>
      </c>
      <c r="B13" s="161">
        <v>0</v>
      </c>
      <c r="C13" s="161"/>
      <c r="D13" s="161"/>
      <c r="E13" s="161"/>
      <c r="F13" s="161"/>
      <c r="G13" s="161"/>
      <c r="H13" s="161"/>
      <c r="I13" s="161"/>
      <c r="J13" s="161"/>
      <c r="K13" s="161"/>
      <c r="L13" s="161"/>
      <c r="M13" s="161"/>
    </row>
    <row r="14" spans="1:13" x14ac:dyDescent="0.25">
      <c r="A14" s="77" t="s">
        <v>289</v>
      </c>
      <c r="B14" s="161">
        <v>423</v>
      </c>
      <c r="C14" s="161"/>
      <c r="D14" s="161"/>
      <c r="E14" s="161"/>
      <c r="F14" s="161"/>
      <c r="G14" s="161"/>
      <c r="H14" s="161"/>
      <c r="I14" s="161"/>
      <c r="J14" s="161"/>
      <c r="K14" s="161"/>
      <c r="L14" s="161"/>
      <c r="M14" s="161"/>
    </row>
    <row r="15" spans="1:13" x14ac:dyDescent="0.25">
      <c r="A15" s="77" t="s">
        <v>291</v>
      </c>
      <c r="B15" s="161" t="s">
        <v>495</v>
      </c>
      <c r="C15" s="161"/>
      <c r="D15" s="161"/>
      <c r="E15" s="161"/>
      <c r="F15" s="161"/>
      <c r="G15" s="161"/>
      <c r="H15" s="161"/>
      <c r="I15" s="161"/>
      <c r="J15" s="161"/>
      <c r="K15" s="161"/>
      <c r="L15" s="161"/>
      <c r="M15" s="161"/>
    </row>
    <row r="16" spans="1:13" x14ac:dyDescent="0.25">
      <c r="A16" s="77" t="s">
        <v>293</v>
      </c>
      <c r="B16" s="161" t="s">
        <v>496</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45107</v>
      </c>
      <c r="C18" s="161"/>
      <c r="D18" s="161"/>
      <c r="E18" s="161"/>
      <c r="F18" s="161"/>
      <c r="G18" s="161"/>
      <c r="H18" s="161"/>
      <c r="I18" s="161"/>
      <c r="J18" s="161"/>
      <c r="K18" s="161"/>
      <c r="L18" s="161"/>
      <c r="M18" s="161"/>
    </row>
    <row r="19" spans="1:13" x14ac:dyDescent="0.25">
      <c r="A19" s="77" t="s">
        <v>299</v>
      </c>
      <c r="B19" s="163">
        <v>45110</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79" t="s">
        <v>803</v>
      </c>
      <c r="B26" s="79">
        <v>0</v>
      </c>
      <c r="C26" s="79">
        <v>1</v>
      </c>
      <c r="D26" s="79">
        <v>2</v>
      </c>
      <c r="E26" s="79">
        <v>3</v>
      </c>
      <c r="F26" s="79">
        <v>4</v>
      </c>
      <c r="G26" s="79">
        <v>5</v>
      </c>
      <c r="H26" s="79">
        <v>6</v>
      </c>
      <c r="I26" s="79">
        <v>7</v>
      </c>
      <c r="J26" s="79">
        <v>8</v>
      </c>
      <c r="K26" s="79">
        <v>9</v>
      </c>
      <c r="L26" s="79">
        <v>10</v>
      </c>
      <c r="M26" s="79">
        <v>11</v>
      </c>
    </row>
    <row r="27" spans="1:13" x14ac:dyDescent="0.25">
      <c r="A27" s="80">
        <v>60</v>
      </c>
      <c r="B27" s="81">
        <v>1.002</v>
      </c>
      <c r="C27" s="81">
        <v>1.0049999999999999</v>
      </c>
      <c r="D27" s="81">
        <v>1.0089999999999999</v>
      </c>
      <c r="E27" s="81">
        <v>1.012</v>
      </c>
      <c r="F27" s="81">
        <v>1.016</v>
      </c>
      <c r="G27" s="81">
        <v>1.02</v>
      </c>
      <c r="H27" s="81">
        <v>1.0229999999999999</v>
      </c>
      <c r="I27" s="81">
        <v>1.0269999999999999</v>
      </c>
      <c r="J27" s="81">
        <v>1.03</v>
      </c>
      <c r="K27" s="81">
        <v>1.034</v>
      </c>
      <c r="L27" s="81">
        <v>1.0369999999999999</v>
      </c>
      <c r="M27" s="81">
        <v>1.0409999999999999</v>
      </c>
    </row>
    <row r="28" spans="1:13" x14ac:dyDescent="0.25">
      <c r="A28" s="80">
        <v>61</v>
      </c>
      <c r="B28" s="81">
        <v>1.0449999999999999</v>
      </c>
      <c r="C28" s="81">
        <v>1.0489999999999999</v>
      </c>
      <c r="D28" s="81">
        <v>1.052</v>
      </c>
      <c r="E28" s="81">
        <v>1.056</v>
      </c>
      <c r="F28" s="81">
        <v>1.06</v>
      </c>
      <c r="G28" s="81">
        <v>1.0640000000000001</v>
      </c>
      <c r="H28" s="81">
        <v>1.0680000000000001</v>
      </c>
      <c r="I28" s="81">
        <v>1.0720000000000001</v>
      </c>
      <c r="J28" s="81">
        <v>1.075</v>
      </c>
      <c r="K28" s="81">
        <v>1.079</v>
      </c>
      <c r="L28" s="81">
        <v>1.083</v>
      </c>
      <c r="M28" s="81">
        <v>1.087</v>
      </c>
    </row>
    <row r="29" spans="1:13" x14ac:dyDescent="0.25">
      <c r="A29" s="80">
        <v>62</v>
      </c>
      <c r="B29" s="81">
        <v>1.091</v>
      </c>
      <c r="C29" s="81">
        <v>1.095</v>
      </c>
      <c r="D29" s="81">
        <v>1.099</v>
      </c>
      <c r="E29" s="81">
        <v>1.103</v>
      </c>
      <c r="F29" s="81">
        <v>1.107</v>
      </c>
      <c r="G29" s="81">
        <v>1.111</v>
      </c>
      <c r="H29" s="81">
        <v>1.115</v>
      </c>
      <c r="I29" s="81">
        <v>1.119</v>
      </c>
      <c r="J29" s="81">
        <v>1.1240000000000001</v>
      </c>
      <c r="K29" s="81">
        <v>1.1279999999999999</v>
      </c>
      <c r="L29" s="81">
        <v>1.1319999999999999</v>
      </c>
      <c r="M29" s="81">
        <v>1.1359999999999999</v>
      </c>
    </row>
    <row r="30" spans="1:13" x14ac:dyDescent="0.25">
      <c r="A30" s="80">
        <v>63</v>
      </c>
      <c r="B30" s="81">
        <v>1.1399999999999999</v>
      </c>
      <c r="C30" s="81">
        <v>1.145</v>
      </c>
      <c r="D30" s="81">
        <v>1.149</v>
      </c>
      <c r="E30" s="81">
        <v>1.153</v>
      </c>
      <c r="F30" s="81">
        <v>1.1579999999999999</v>
      </c>
      <c r="G30" s="81">
        <v>1.1619999999999999</v>
      </c>
      <c r="H30" s="81">
        <v>1.167</v>
      </c>
      <c r="I30" s="81">
        <v>1.171</v>
      </c>
      <c r="J30" s="81">
        <v>1.175</v>
      </c>
      <c r="K30" s="81">
        <v>1.18</v>
      </c>
      <c r="L30" s="81">
        <v>1.1839999999999999</v>
      </c>
      <c r="M30" s="81">
        <v>1.1890000000000001</v>
      </c>
    </row>
    <row r="31" spans="1:13" x14ac:dyDescent="0.25">
      <c r="A31" s="80">
        <v>64</v>
      </c>
      <c r="B31" s="81">
        <v>1.1930000000000001</v>
      </c>
      <c r="C31" s="81">
        <v>1.198</v>
      </c>
      <c r="D31" s="81">
        <v>1.2030000000000001</v>
      </c>
      <c r="E31" s="81">
        <v>1.2070000000000001</v>
      </c>
      <c r="F31" s="81">
        <v>1.212</v>
      </c>
      <c r="G31" s="81">
        <v>1.2170000000000001</v>
      </c>
      <c r="H31" s="81">
        <v>1.222</v>
      </c>
      <c r="I31" s="81">
        <v>1.226</v>
      </c>
      <c r="J31" s="81">
        <v>1.2310000000000001</v>
      </c>
      <c r="K31" s="81">
        <v>1.236</v>
      </c>
      <c r="L31" s="81">
        <v>1.2410000000000001</v>
      </c>
      <c r="M31" s="81">
        <v>1.246</v>
      </c>
    </row>
    <row r="32" spans="1:13" x14ac:dyDescent="0.25">
      <c r="A32" s="80">
        <v>65</v>
      </c>
      <c r="B32" s="81">
        <v>1.25</v>
      </c>
      <c r="C32" s="81">
        <v>1.256</v>
      </c>
      <c r="D32" s="81">
        <v>1.2609999999999999</v>
      </c>
      <c r="E32" s="81">
        <v>1.266</v>
      </c>
      <c r="F32" s="81">
        <v>1.2709999999999999</v>
      </c>
      <c r="G32" s="81">
        <v>1.276</v>
      </c>
      <c r="H32" s="81">
        <v>1.2809999999999999</v>
      </c>
      <c r="I32" s="81">
        <v>1.286</v>
      </c>
      <c r="J32" s="81">
        <v>1.2909999999999999</v>
      </c>
      <c r="K32" s="81">
        <v>1.2969999999999999</v>
      </c>
      <c r="L32" s="81">
        <v>1.302</v>
      </c>
      <c r="M32" s="81">
        <v>1.3069999999999999</v>
      </c>
    </row>
    <row r="33" spans="1:13" x14ac:dyDescent="0.25">
      <c r="A33" s="80">
        <v>66</v>
      </c>
      <c r="B33" s="81">
        <v>1.3120000000000001</v>
      </c>
      <c r="C33" s="81">
        <v>1.3180000000000001</v>
      </c>
      <c r="D33" s="81">
        <v>1.323</v>
      </c>
      <c r="E33" s="81">
        <v>1.329</v>
      </c>
      <c r="F33" s="81">
        <v>1.3340000000000001</v>
      </c>
      <c r="G33" s="81">
        <v>1.34</v>
      </c>
      <c r="H33" s="81">
        <v>1.345</v>
      </c>
      <c r="I33" s="81">
        <v>1.351</v>
      </c>
      <c r="J33" s="81">
        <v>1.3560000000000001</v>
      </c>
      <c r="K33" s="81">
        <v>1.3620000000000001</v>
      </c>
      <c r="L33" s="81">
        <v>1.367</v>
      </c>
      <c r="M33" s="81">
        <v>1.373</v>
      </c>
    </row>
    <row r="34" spans="1:13" x14ac:dyDescent="0.25">
      <c r="A34" s="80">
        <v>67</v>
      </c>
      <c r="B34" s="81">
        <v>1.379</v>
      </c>
      <c r="C34" s="81">
        <v>1.385</v>
      </c>
      <c r="D34" s="81">
        <v>1.391</v>
      </c>
      <c r="E34" s="81">
        <v>1.3959999999999999</v>
      </c>
      <c r="F34" s="81">
        <v>1.4019999999999999</v>
      </c>
      <c r="G34" s="81">
        <v>1.4079999999999999</v>
      </c>
      <c r="H34" s="81">
        <v>1.4139999999999999</v>
      </c>
      <c r="I34" s="81">
        <v>1.42</v>
      </c>
      <c r="J34" s="81">
        <v>1.4259999999999999</v>
      </c>
      <c r="K34" s="81">
        <v>1.4319999999999999</v>
      </c>
      <c r="L34" s="81">
        <v>1.4379999999999999</v>
      </c>
      <c r="M34" s="81">
        <v>1.444</v>
      </c>
    </row>
    <row r="35" spans="1:13" x14ac:dyDescent="0.25">
      <c r="A35" s="80">
        <v>68</v>
      </c>
      <c r="B35" s="81">
        <v>1.45</v>
      </c>
      <c r="C35" s="81">
        <v>1.4570000000000001</v>
      </c>
      <c r="D35" s="81">
        <v>1.4630000000000001</v>
      </c>
      <c r="E35" s="81">
        <v>1.47</v>
      </c>
      <c r="F35" s="81">
        <v>1.476</v>
      </c>
      <c r="G35" s="81">
        <v>1.4830000000000001</v>
      </c>
      <c r="H35" s="81">
        <v>1.4890000000000001</v>
      </c>
      <c r="I35" s="81">
        <v>1.4950000000000001</v>
      </c>
      <c r="J35" s="81">
        <v>1.502</v>
      </c>
      <c r="K35" s="81">
        <v>1.508</v>
      </c>
      <c r="L35" s="81">
        <v>1.5149999999999999</v>
      </c>
      <c r="M35" s="81">
        <v>1.5209999999999999</v>
      </c>
    </row>
    <row r="36" spans="1:13" x14ac:dyDescent="0.25">
      <c r="A36" s="80">
        <v>69</v>
      </c>
      <c r="B36" s="81">
        <v>1.528</v>
      </c>
      <c r="C36" s="81">
        <v>1.5349999999999999</v>
      </c>
      <c r="D36" s="81">
        <v>1.542</v>
      </c>
      <c r="E36" s="81">
        <v>1.5489999999999999</v>
      </c>
      <c r="F36" s="81">
        <v>1.556</v>
      </c>
      <c r="G36" s="81">
        <v>1.5629999999999999</v>
      </c>
      <c r="H36" s="81">
        <v>1.57</v>
      </c>
      <c r="I36" s="81">
        <v>1.577</v>
      </c>
      <c r="J36" s="81">
        <v>1.5840000000000001</v>
      </c>
      <c r="K36" s="81">
        <v>1.591</v>
      </c>
      <c r="L36" s="81">
        <v>1.5980000000000001</v>
      </c>
      <c r="M36" s="81">
        <v>1.605</v>
      </c>
    </row>
    <row r="37" spans="1:13" x14ac:dyDescent="0.25">
      <c r="A37" s="80">
        <v>70</v>
      </c>
      <c r="B37" s="81">
        <v>1.6120000000000001</v>
      </c>
      <c r="C37" s="81">
        <v>1.619</v>
      </c>
      <c r="D37" s="81">
        <v>1.627</v>
      </c>
      <c r="E37" s="81">
        <v>1.635</v>
      </c>
      <c r="F37" s="81">
        <v>1.6419999999999999</v>
      </c>
      <c r="G37" s="81">
        <v>1.65</v>
      </c>
      <c r="H37" s="81">
        <v>1.657</v>
      </c>
      <c r="I37" s="81">
        <v>1.665</v>
      </c>
      <c r="J37" s="81">
        <v>1.6719999999999999</v>
      </c>
      <c r="K37" s="81">
        <v>1.68</v>
      </c>
      <c r="L37" s="81">
        <v>1.6870000000000001</v>
      </c>
      <c r="M37" s="81">
        <v>1.6950000000000001</v>
      </c>
    </row>
    <row r="38" spans="1:13" x14ac:dyDescent="0.25">
      <c r="A38" s="80">
        <v>71</v>
      </c>
      <c r="B38" s="81">
        <v>1.7030000000000001</v>
      </c>
      <c r="C38" s="81">
        <v>1.7110000000000001</v>
      </c>
      <c r="D38" s="81">
        <v>1.7190000000000001</v>
      </c>
      <c r="E38" s="81">
        <v>1.7270000000000001</v>
      </c>
      <c r="F38" s="81">
        <v>1.736</v>
      </c>
      <c r="G38" s="81">
        <v>1.744</v>
      </c>
      <c r="H38" s="81">
        <v>1.752</v>
      </c>
      <c r="I38" s="81">
        <v>1.76</v>
      </c>
      <c r="J38" s="81">
        <v>1.768</v>
      </c>
      <c r="K38" s="81">
        <v>1.7769999999999999</v>
      </c>
      <c r="L38" s="81">
        <v>1.7849999999999999</v>
      </c>
      <c r="M38" s="81">
        <v>1.7929999999999999</v>
      </c>
    </row>
    <row r="39" spans="1:13" x14ac:dyDescent="0.25">
      <c r="A39" s="80">
        <v>72</v>
      </c>
      <c r="B39" s="81">
        <v>1.8009999999999999</v>
      </c>
      <c r="C39" s="81">
        <v>1.81</v>
      </c>
      <c r="D39" s="81">
        <v>1.819</v>
      </c>
      <c r="E39" s="81">
        <v>1.8280000000000001</v>
      </c>
      <c r="F39" s="81">
        <v>1.837</v>
      </c>
      <c r="G39" s="81">
        <v>1.8460000000000001</v>
      </c>
      <c r="H39" s="81">
        <v>1.855</v>
      </c>
      <c r="I39" s="81">
        <v>1.8640000000000001</v>
      </c>
      <c r="J39" s="81">
        <v>1.873</v>
      </c>
      <c r="K39" s="81">
        <v>1.881</v>
      </c>
      <c r="L39" s="81">
        <v>1.89</v>
      </c>
      <c r="M39" s="81">
        <v>1.899</v>
      </c>
    </row>
    <row r="40" spans="1:13" x14ac:dyDescent="0.25">
      <c r="A40" s="80">
        <v>73</v>
      </c>
      <c r="B40" s="81">
        <v>1.909</v>
      </c>
      <c r="C40" s="81">
        <v>1.9179999999999999</v>
      </c>
      <c r="D40" s="81">
        <v>1.9279999999999999</v>
      </c>
      <c r="E40" s="81">
        <v>1.9379999999999999</v>
      </c>
      <c r="F40" s="81">
        <v>1.9470000000000001</v>
      </c>
      <c r="G40" s="81">
        <v>1.9570000000000001</v>
      </c>
      <c r="H40" s="81">
        <v>1.9670000000000001</v>
      </c>
      <c r="I40" s="81">
        <v>1.976</v>
      </c>
      <c r="J40" s="81">
        <v>1.986</v>
      </c>
      <c r="K40" s="81">
        <v>1.996</v>
      </c>
      <c r="L40" s="81">
        <v>2.0049999999999999</v>
      </c>
      <c r="M40" s="81">
        <v>2.0150000000000001</v>
      </c>
    </row>
    <row r="41" spans="1:13" x14ac:dyDescent="0.25">
      <c r="A41" s="80">
        <v>74</v>
      </c>
      <c r="B41" s="81">
        <v>2.0249999999999999</v>
      </c>
      <c r="C41" s="81">
        <v>2.0350000000000001</v>
      </c>
      <c r="D41" s="81">
        <v>2.0459999999999998</v>
      </c>
      <c r="E41" s="81">
        <v>2.056</v>
      </c>
      <c r="F41" s="81">
        <v>2.0670000000000002</v>
      </c>
      <c r="G41" s="81">
        <v>2.0779999999999998</v>
      </c>
      <c r="H41" s="81">
        <v>2.0880000000000001</v>
      </c>
      <c r="I41" s="81">
        <v>2.0990000000000002</v>
      </c>
      <c r="J41" s="81">
        <v>2.109</v>
      </c>
      <c r="K41" s="81">
        <v>2.12</v>
      </c>
      <c r="L41" s="81">
        <v>2.13</v>
      </c>
      <c r="M41" s="81">
        <v>2.141</v>
      </c>
    </row>
    <row r="42" spans="1:13" x14ac:dyDescent="0.25">
      <c r="A42" s="80">
        <v>75</v>
      </c>
      <c r="B42" s="81">
        <v>2.1459999999999999</v>
      </c>
      <c r="C42" s="81"/>
      <c r="D42" s="81"/>
      <c r="E42" s="81"/>
      <c r="F42" s="81"/>
      <c r="G42" s="81"/>
      <c r="H42" s="81"/>
      <c r="I42" s="81"/>
      <c r="J42" s="81"/>
      <c r="K42" s="81"/>
      <c r="L42" s="81"/>
      <c r="M42" s="81"/>
    </row>
    <row r="44" spans="1:13" ht="27.65" customHeight="1" x14ac:dyDescent="0.25"/>
  </sheetData>
  <sheetProtection algorithmName="SHA-512" hashValue="9zgDYtrW3rVc0W7MgRj3Z5qjNDABXxM53qdBpVFN4E6QBG0dG858wXKHHCigpeo9D7F6ayhP4WruZ7TYZUWZ6g==" saltValue="wTDcACfu+oH0h7C4c9FSQQ==" spinCount="100000" sheet="1" objects="1" scenarios="1"/>
  <conditionalFormatting sqref="A6:A21">
    <cfRule type="expression" dxfId="649" priority="15" stopIfTrue="1">
      <formula>MOD(ROW(),2)=0</formula>
    </cfRule>
    <cfRule type="expression" dxfId="648" priority="16" stopIfTrue="1">
      <formula>MOD(ROW(),2)&lt;&gt;0</formula>
    </cfRule>
  </conditionalFormatting>
  <conditionalFormatting sqref="A26:A42">
    <cfRule type="expression" dxfId="647" priority="3" stopIfTrue="1">
      <formula>MOD(ROW(),2)=0</formula>
    </cfRule>
    <cfRule type="expression" dxfId="646" priority="4" stopIfTrue="1">
      <formula>MOD(ROW(),2)&lt;&gt;0</formula>
    </cfRule>
  </conditionalFormatting>
  <conditionalFormatting sqref="B17:B21">
    <cfRule type="expression" dxfId="645" priority="1" stopIfTrue="1">
      <formula>MOD(ROW(),2)=0</formula>
    </cfRule>
    <cfRule type="expression" dxfId="644" priority="2" stopIfTrue="1">
      <formula>MOD(ROW(),2)&lt;&gt;0</formula>
    </cfRule>
  </conditionalFormatting>
  <conditionalFormatting sqref="B6:M21">
    <cfRule type="expression" dxfId="643" priority="23" stopIfTrue="1">
      <formula>MOD(ROW(),2)=0</formula>
    </cfRule>
    <cfRule type="expression" dxfId="642" priority="24" stopIfTrue="1">
      <formula>MOD(ROW(),2)&lt;&gt;0</formula>
    </cfRule>
  </conditionalFormatting>
  <conditionalFormatting sqref="B26:M42">
    <cfRule type="expression" dxfId="641" priority="5" stopIfTrue="1">
      <formula>MOD(ROW(),2)=0</formula>
    </cfRule>
    <cfRule type="expression" dxfId="640" priority="6" stopIfTrue="1">
      <formula>MOD(ROW(),2)&lt;&gt;0</formula>
    </cfRule>
  </conditionalFormatting>
  <hyperlinks>
    <hyperlink ref="B24" location="Assumptions!A1" display="Assumptions" xr:uid="{014C48F8-51F1-4025-BC7A-FA65B434FAE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F9E9-932A-4558-BE70-D565F63D31AD}">
  <sheetPr codeName="Sheet121">
    <pageSetUpPr fitToPage="1"/>
  </sheetPr>
  <dimension ref="A1:I27"/>
  <sheetViews>
    <sheetView showGridLines="0" zoomScale="85" zoomScaleNormal="85" workbookViewId="0">
      <selection activeCell="A4" sqref="A4"/>
    </sheetView>
  </sheetViews>
  <sheetFormatPr defaultColWidth="10" defaultRowHeight="12.5" x14ac:dyDescent="0.25"/>
  <cols>
    <col min="1" max="1" width="31.6328125" style="26" customWidth="1"/>
    <col min="2" max="2" width="24.45312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IF(new_title="&gt; Enter workbook title here","Enter workbook title in Cover sheet",new_title)</f>
        <v>NHSPS_S - Consolidated Factor Spreadsheet</v>
      </c>
      <c r="B2" s="40"/>
      <c r="C2" s="40"/>
      <c r="D2" s="40"/>
      <c r="E2" s="40"/>
      <c r="F2" s="40"/>
      <c r="G2" s="40"/>
      <c r="H2" s="40"/>
      <c r="I2" s="40"/>
    </row>
    <row r="3" spans="1:9" ht="15.5" x14ac:dyDescent="0.35">
      <c r="A3" s="41" t="str">
        <f>TABLE_FACTOR_TYPE_1&amp;" - x-"&amp;TABLE_SERIES_NUMBER_1</f>
        <v>ERF - x-424</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74</v>
      </c>
    </row>
    <row r="9" spans="1:9" x14ac:dyDescent="0.25">
      <c r="A9" s="77" t="s">
        <v>280</v>
      </c>
      <c r="B9" s="161" t="s">
        <v>405</v>
      </c>
    </row>
    <row r="10" spans="1:9" x14ac:dyDescent="0.25">
      <c r="A10" s="77" t="s">
        <v>6</v>
      </c>
      <c r="B10" s="161" t="s">
        <v>497</v>
      </c>
    </row>
    <row r="11" spans="1:9" x14ac:dyDescent="0.25">
      <c r="A11" s="77" t="s">
        <v>283</v>
      </c>
      <c r="B11" s="161" t="s">
        <v>355</v>
      </c>
    </row>
    <row r="12" spans="1:9" x14ac:dyDescent="0.25">
      <c r="A12" s="77" t="s">
        <v>285</v>
      </c>
      <c r="B12" s="161" t="s">
        <v>407</v>
      </c>
    </row>
    <row r="13" spans="1:9" x14ac:dyDescent="0.25">
      <c r="A13" s="77" t="s">
        <v>287</v>
      </c>
      <c r="B13" s="161">
        <v>1</v>
      </c>
    </row>
    <row r="14" spans="1:9" x14ac:dyDescent="0.25">
      <c r="A14" s="77" t="s">
        <v>289</v>
      </c>
      <c r="B14" s="161">
        <v>424</v>
      </c>
    </row>
    <row r="15" spans="1:9" x14ac:dyDescent="0.25">
      <c r="A15" s="77" t="s">
        <v>291</v>
      </c>
      <c r="B15" s="161" t="s">
        <v>498</v>
      </c>
    </row>
    <row r="16" spans="1:9" x14ac:dyDescent="0.25">
      <c r="A16" s="77" t="s">
        <v>293</v>
      </c>
      <c r="B16" s="161" t="s">
        <v>499</v>
      </c>
    </row>
    <row r="17" spans="1:3" ht="48" customHeight="1" x14ac:dyDescent="0.25">
      <c r="A17" s="77" t="s">
        <v>760</v>
      </c>
      <c r="B17" s="161"/>
    </row>
    <row r="18" spans="1:3" x14ac:dyDescent="0.25">
      <c r="A18" s="77" t="s">
        <v>297</v>
      </c>
      <c r="B18" s="163">
        <v>45107</v>
      </c>
    </row>
    <row r="19" spans="1:3" x14ac:dyDescent="0.25">
      <c r="A19" s="77" t="s">
        <v>299</v>
      </c>
      <c r="B19" s="163">
        <v>45110</v>
      </c>
    </row>
    <row r="20" spans="1:3" x14ac:dyDescent="0.25">
      <c r="A20" s="77" t="s">
        <v>301</v>
      </c>
      <c r="B20" s="161" t="s">
        <v>314</v>
      </c>
    </row>
    <row r="21" spans="1:3" x14ac:dyDescent="0.25">
      <c r="A21" s="77" t="s">
        <v>307</v>
      </c>
      <c r="B21" s="161" t="s">
        <v>315</v>
      </c>
    </row>
    <row r="22" spans="1:3" x14ac:dyDescent="0.25">
      <c r="B22" s="100"/>
    </row>
    <row r="23" spans="1:3" ht="13" x14ac:dyDescent="0.3">
      <c r="B23" s="100" t="str">
        <f>HYPERLINK("#'Factor List'!A1","Back to Factor List")</f>
        <v>Back to Factor List</v>
      </c>
      <c r="C23" s="144" t="s">
        <v>807</v>
      </c>
    </row>
    <row r="24" spans="1:3" x14ac:dyDescent="0.25">
      <c r="B24" s="100" t="s">
        <v>13</v>
      </c>
    </row>
    <row r="26" spans="1:3" ht="13" x14ac:dyDescent="0.25">
      <c r="A26" s="146" t="s">
        <v>801</v>
      </c>
      <c r="B26" s="147" t="s">
        <v>802</v>
      </c>
    </row>
    <row r="27" spans="1:3" x14ac:dyDescent="0.25">
      <c r="A27" s="148" t="s">
        <v>499</v>
      </c>
      <c r="B27" s="149">
        <v>2.1999999999999999E-2</v>
      </c>
    </row>
  </sheetData>
  <sheetProtection algorithmName="SHA-512" hashValue="XjeFoYU4J6uncuDK5oDjBf8ReeXAJAxG+jvy8qwta7zBmWKUxKLem9dYERccPCPjen95XjPRdg2pTVzcMEjrdg==" saltValue="zZmBcL958vyKN2ZkaOsiWw==" spinCount="100000" sheet="1" objects="1" scenarios="1"/>
  <conditionalFormatting sqref="A6:A21">
    <cfRule type="expression" dxfId="639" priority="19" stopIfTrue="1">
      <formula>MOD(ROW(),2)=0</formula>
    </cfRule>
    <cfRule type="expression" dxfId="638" priority="20" stopIfTrue="1">
      <formula>MOD(ROW(),2)&lt;&gt;0</formula>
    </cfRule>
  </conditionalFormatting>
  <conditionalFormatting sqref="A26:A27">
    <cfRule type="expression" dxfId="637" priority="1" stopIfTrue="1">
      <formula>MOD(ROW(),2)=0</formula>
    </cfRule>
    <cfRule type="expression" dxfId="636" priority="2" stopIfTrue="1">
      <formula>MOD(ROW(),2)&lt;&gt;0</formula>
    </cfRule>
  </conditionalFormatting>
  <conditionalFormatting sqref="B6">
    <cfRule type="expression" dxfId="635" priority="23" stopIfTrue="1">
      <formula>MOD(ROW(),2)=0</formula>
    </cfRule>
    <cfRule type="expression" dxfId="634" priority="24" stopIfTrue="1">
      <formula>MOD(ROW(),2)&lt;&gt;0</formula>
    </cfRule>
  </conditionalFormatting>
  <conditionalFormatting sqref="B6:B21">
    <cfRule type="expression" dxfId="633" priority="5" stopIfTrue="1">
      <formula>MOD(ROW(),2)=0</formula>
    </cfRule>
    <cfRule type="expression" dxfId="632" priority="6" stopIfTrue="1">
      <formula>MOD(ROW(),2)&lt;&gt;0</formula>
    </cfRule>
  </conditionalFormatting>
  <conditionalFormatting sqref="B13:B21">
    <cfRule type="expression" dxfId="631" priority="7" stopIfTrue="1">
      <formula>MOD(ROW(),2)=0</formula>
    </cfRule>
    <cfRule type="expression" dxfId="630" priority="8" stopIfTrue="1">
      <formula>MOD(ROW(),2)&lt;&gt;0</formula>
    </cfRule>
  </conditionalFormatting>
  <conditionalFormatting sqref="B26:B27">
    <cfRule type="expression" dxfId="629" priority="3" stopIfTrue="1">
      <formula>MOD(ROW(),2)=0</formula>
    </cfRule>
    <cfRule type="expression" dxfId="628" priority="4" stopIfTrue="1">
      <formula>MOD(ROW(),2)&lt;&gt;0</formula>
    </cfRule>
  </conditionalFormatting>
  <hyperlinks>
    <hyperlink ref="B24" location="Assumptions!A1" display="Assumptions" xr:uid="{7F296094-E788-4DBB-9901-60983C48519F}"/>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2.5" x14ac:dyDescent="0.25"/>
  <cols>
    <col min="1" max="1" width="31.54296875" style="26" customWidth="1"/>
    <col min="2" max="2" width="40.45312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0"/>
      <c r="C3" s="40"/>
      <c r="D3" s="40"/>
      <c r="E3" s="40"/>
      <c r="F3" s="40"/>
      <c r="G3" s="40"/>
      <c r="H3" s="40"/>
      <c r="I3" s="40"/>
    </row>
    <row r="4" spans="1:9" x14ac:dyDescent="0.25">
      <c r="A4" s="42" t="str">
        <f ca="1">CELL("filename",A1)</f>
        <v>https://tris42.sharepoint.com/sites/gad_wrkgrp_actuarial/pspsactuarialwork/Central/Factors &amp; Guidance/2024 Guidance Review/4. Online portal/3. Import data/3. Factor tables/0_client_friendly/Ready to be uploaded/2025-03/[NHS S Consolidated Factors 2025-02.xlsx]x-Series Number</v>
      </c>
    </row>
    <row r="6" spans="1:9" ht="13" x14ac:dyDescent="0.25">
      <c r="A6" s="43" t="s">
        <v>274</v>
      </c>
      <c r="B6" s="44" t="s">
        <v>275</v>
      </c>
    </row>
    <row r="7" spans="1:9" x14ac:dyDescent="0.25">
      <c r="A7" s="45" t="s">
        <v>276</v>
      </c>
      <c r="B7" s="47" t="s">
        <v>277</v>
      </c>
    </row>
    <row r="8" spans="1:9" x14ac:dyDescent="0.25">
      <c r="A8" s="45" t="s">
        <v>278</v>
      </c>
      <c r="B8" s="47" t="s">
        <v>279</v>
      </c>
    </row>
    <row r="9" spans="1:9" ht="12.75" customHeight="1" x14ac:dyDescent="0.25">
      <c r="A9" s="45" t="s">
        <v>280</v>
      </c>
      <c r="B9" s="48" t="s">
        <v>281</v>
      </c>
    </row>
    <row r="10" spans="1:9" ht="12.75" customHeight="1" x14ac:dyDescent="0.25">
      <c r="A10" s="45" t="s">
        <v>6</v>
      </c>
      <c r="B10" s="48" t="s">
        <v>282</v>
      </c>
    </row>
    <row r="11" spans="1:9" x14ac:dyDescent="0.25">
      <c r="A11" s="45" t="s">
        <v>283</v>
      </c>
      <c r="B11" s="48" t="s">
        <v>284</v>
      </c>
    </row>
    <row r="12" spans="1:9" x14ac:dyDescent="0.25">
      <c r="A12" s="45" t="s">
        <v>285</v>
      </c>
      <c r="B12" s="46" t="s">
        <v>286</v>
      </c>
    </row>
    <row r="13" spans="1:9" ht="12.75" customHeight="1" x14ac:dyDescent="0.25">
      <c r="A13" s="45" t="s">
        <v>287</v>
      </c>
      <c r="B13" s="46" t="s">
        <v>288</v>
      </c>
    </row>
    <row r="14" spans="1:9" ht="12.75" customHeight="1" x14ac:dyDescent="0.25">
      <c r="A14" s="45" t="s">
        <v>289</v>
      </c>
      <c r="B14" s="46" t="s">
        <v>290</v>
      </c>
    </row>
    <row r="15" spans="1:9" ht="75" x14ac:dyDescent="0.25">
      <c r="A15" s="49" t="s">
        <v>291</v>
      </c>
      <c r="B15" s="50" t="s">
        <v>292</v>
      </c>
    </row>
    <row r="16" spans="1:9" ht="25" x14ac:dyDescent="0.25">
      <c r="A16" s="51" t="s">
        <v>293</v>
      </c>
      <c r="B16" s="50" t="s">
        <v>294</v>
      </c>
    </row>
    <row r="17" spans="1:2" ht="52.5" customHeight="1" x14ac:dyDescent="0.25">
      <c r="A17" s="52" t="s">
        <v>295</v>
      </c>
      <c r="B17" s="50" t="s">
        <v>296</v>
      </c>
    </row>
    <row r="18" spans="1:2" ht="25" x14ac:dyDescent="0.25">
      <c r="A18" s="49" t="s">
        <v>297</v>
      </c>
      <c r="B18" s="53" t="s">
        <v>298</v>
      </c>
    </row>
    <row r="19" spans="1:2" x14ac:dyDescent="0.25">
      <c r="A19" s="51" t="s">
        <v>299</v>
      </c>
      <c r="B19" s="53" t="s">
        <v>300</v>
      </c>
    </row>
    <row r="20" spans="1:2" ht="25" x14ac:dyDescent="0.25">
      <c r="A20" s="51" t="s">
        <v>301</v>
      </c>
      <c r="B20" s="53" t="s">
        <v>302</v>
      </c>
    </row>
    <row r="22" spans="1:2" x14ac:dyDescent="0.25">
      <c r="B22" s="100" t="str">
        <f>HYPERLINK("#'Factor List'!A1","Back to Factor List")</f>
        <v>Back to Factor List</v>
      </c>
    </row>
    <row r="25" spans="1:2" ht="13" x14ac:dyDescent="0.3">
      <c r="A25" s="54" t="s">
        <v>303</v>
      </c>
      <c r="B25" s="55"/>
    </row>
    <row r="26" spans="1:2" ht="13" x14ac:dyDescent="0.3">
      <c r="A26" s="56"/>
      <c r="B26" s="57"/>
    </row>
    <row r="27" spans="1:2" ht="13" x14ac:dyDescent="0.3">
      <c r="A27" s="58"/>
      <c r="B27" s="59"/>
    </row>
    <row r="28" spans="1:2" ht="13" x14ac:dyDescent="0.3">
      <c r="A28" s="56"/>
      <c r="B28" s="57"/>
    </row>
    <row r="29" spans="1:2" x14ac:dyDescent="0.25">
      <c r="A29" s="60"/>
      <c r="B29" s="61"/>
    </row>
    <row r="30" spans="1:2" x14ac:dyDescent="0.25">
      <c r="A30" s="62"/>
      <c r="B30" s="63"/>
    </row>
    <row r="31" spans="1:2" ht="13" x14ac:dyDescent="0.3">
      <c r="A31" s="56"/>
      <c r="B31" s="57"/>
    </row>
    <row r="32" spans="1:2" x14ac:dyDescent="0.25">
      <c r="A32" s="64"/>
      <c r="B32" s="65"/>
    </row>
    <row r="33" spans="1:2" x14ac:dyDescent="0.25">
      <c r="A33" s="64"/>
      <c r="B33" s="65"/>
    </row>
    <row r="34" spans="1:2" x14ac:dyDescent="0.25">
      <c r="A34" s="64"/>
      <c r="B34" s="65"/>
    </row>
    <row r="35" spans="1:2" x14ac:dyDescent="0.25">
      <c r="A35" s="64"/>
      <c r="B35" s="65"/>
    </row>
    <row r="36" spans="1:2" x14ac:dyDescent="0.25">
      <c r="A36" s="64"/>
      <c r="B36" s="65"/>
    </row>
    <row r="37" spans="1:2" x14ac:dyDescent="0.25">
      <c r="A37" s="64"/>
      <c r="B37" s="65"/>
    </row>
    <row r="38" spans="1:2" x14ac:dyDescent="0.25">
      <c r="A38" s="64"/>
      <c r="B38" s="65"/>
    </row>
    <row r="39" spans="1:2" x14ac:dyDescent="0.25">
      <c r="A39" s="64"/>
      <c r="B39" s="65"/>
    </row>
    <row r="40" spans="1:2" x14ac:dyDescent="0.25">
      <c r="A40" s="64"/>
      <c r="B40" s="65"/>
    </row>
    <row r="41" spans="1:2" x14ac:dyDescent="0.25">
      <c r="A41" s="64"/>
      <c r="B41" s="65"/>
    </row>
    <row r="42" spans="1:2" x14ac:dyDescent="0.25">
      <c r="A42" s="60"/>
      <c r="B42" s="61"/>
    </row>
    <row r="43" spans="1:2" ht="39.65" customHeight="1" x14ac:dyDescent="0.25">
      <c r="A43" s="66"/>
      <c r="B43" s="67"/>
    </row>
    <row r="44" spans="1:2" x14ac:dyDescent="0.25">
      <c r="A44" s="60"/>
      <c r="B44" s="61"/>
    </row>
    <row r="45" spans="1:2" ht="27.65" customHeight="1" x14ac:dyDescent="0.25">
      <c r="A45" s="60"/>
      <c r="B45" s="61"/>
    </row>
    <row r="46" spans="1:2" x14ac:dyDescent="0.25">
      <c r="A46" s="60"/>
      <c r="B46" s="61"/>
    </row>
    <row r="47" spans="1:2" x14ac:dyDescent="0.25">
      <c r="A47" s="60"/>
      <c r="B47" s="61"/>
    </row>
    <row r="48" spans="1:2" x14ac:dyDescent="0.25">
      <c r="A48" s="60"/>
      <c r="B48" s="61"/>
    </row>
    <row r="49" spans="1:2" x14ac:dyDescent="0.25">
      <c r="A49" s="60"/>
      <c r="B49" s="61"/>
    </row>
    <row r="50" spans="1:2" x14ac:dyDescent="0.25">
      <c r="A50" s="60"/>
      <c r="B50" s="61"/>
    </row>
    <row r="51" spans="1:2" x14ac:dyDescent="0.25">
      <c r="A51" s="60"/>
      <c r="B51" s="61"/>
    </row>
    <row r="52" spans="1:2" x14ac:dyDescent="0.25">
      <c r="A52" s="60"/>
      <c r="B52" s="61"/>
    </row>
    <row r="53" spans="1:2" x14ac:dyDescent="0.25">
      <c r="A53" s="60"/>
      <c r="B53" s="61"/>
    </row>
    <row r="54" spans="1:2" x14ac:dyDescent="0.25">
      <c r="A54" s="60"/>
      <c r="B54" s="61"/>
    </row>
    <row r="55" spans="1:2" x14ac:dyDescent="0.25">
      <c r="A55" s="60"/>
      <c r="B55" s="61"/>
    </row>
    <row r="56" spans="1:2" x14ac:dyDescent="0.25">
      <c r="A56" s="60"/>
      <c r="B56" s="61"/>
    </row>
    <row r="57" spans="1:2" x14ac:dyDescent="0.25">
      <c r="A57" s="60"/>
      <c r="B57" s="61"/>
    </row>
    <row r="58" spans="1:2" x14ac:dyDescent="0.25">
      <c r="A58" s="60"/>
      <c r="B58" s="61"/>
    </row>
    <row r="59" spans="1:2" x14ac:dyDescent="0.25">
      <c r="A59" s="60"/>
      <c r="B59" s="61"/>
    </row>
    <row r="60" spans="1:2" x14ac:dyDescent="0.25">
      <c r="A60" s="60"/>
      <c r="B60" s="61"/>
    </row>
    <row r="61" spans="1:2" x14ac:dyDescent="0.25">
      <c r="A61" s="60"/>
      <c r="B61" s="61"/>
    </row>
    <row r="62" spans="1:2" x14ac:dyDescent="0.25">
      <c r="A62" s="60"/>
      <c r="B62" s="61"/>
    </row>
    <row r="63" spans="1:2" x14ac:dyDescent="0.25">
      <c r="A63" s="60"/>
      <c r="B63" s="61"/>
    </row>
    <row r="64" spans="1:2" x14ac:dyDescent="0.25">
      <c r="A64" s="68"/>
      <c r="B64" s="69"/>
    </row>
  </sheetData>
  <sheetProtection algorithmName="SHA-512" hashValue="WcJoWo9YUjnctnMaIrhC1Qu7Z79W4UJRNkElH42WerlMGY+Hm6xjMj8hDUC3QcedS6+9cGaPHZR0zGTPE03IRQ==" saltValue="nrjlioyXYUHt58C8OTgvH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9"/>
  <dimension ref="A1:I107"/>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Triv Comm - x-501</v>
      </c>
      <c r="B3" s="40"/>
      <c r="C3" s="40"/>
      <c r="D3" s="40"/>
      <c r="E3" s="40"/>
      <c r="F3" s="40"/>
      <c r="G3" s="40"/>
      <c r="H3" s="40"/>
      <c r="I3" s="40"/>
    </row>
    <row r="4" spans="1:9" x14ac:dyDescent="0.25">
      <c r="A4" s="42"/>
    </row>
    <row r="6" spans="1:9" ht="13" x14ac:dyDescent="0.3">
      <c r="A6" s="75" t="s">
        <v>274</v>
      </c>
      <c r="B6" s="161" t="s">
        <v>275</v>
      </c>
      <c r="C6" s="161"/>
    </row>
    <row r="7" spans="1:9" x14ac:dyDescent="0.25">
      <c r="A7" s="77" t="s">
        <v>276</v>
      </c>
      <c r="B7" s="161" t="s">
        <v>72</v>
      </c>
      <c r="C7" s="161"/>
    </row>
    <row r="8" spans="1:9" x14ac:dyDescent="0.25">
      <c r="A8" s="77" t="s">
        <v>278</v>
      </c>
      <c r="B8" s="161">
        <v>1995</v>
      </c>
      <c r="C8" s="161"/>
    </row>
    <row r="9" spans="1:9" x14ac:dyDescent="0.25">
      <c r="A9" s="77" t="s">
        <v>280</v>
      </c>
      <c r="B9" s="161" t="s">
        <v>500</v>
      </c>
      <c r="C9" s="161"/>
    </row>
    <row r="10" spans="1:9" x14ac:dyDescent="0.25">
      <c r="A10" s="77" t="s">
        <v>6</v>
      </c>
      <c r="B10" s="161" t="s">
        <v>501</v>
      </c>
      <c r="C10" s="161"/>
    </row>
    <row r="11" spans="1:9" x14ac:dyDescent="0.25">
      <c r="A11" s="77" t="s">
        <v>283</v>
      </c>
      <c r="B11" s="161" t="s">
        <v>355</v>
      </c>
      <c r="C11" s="161"/>
    </row>
    <row r="12" spans="1:9" x14ac:dyDescent="0.25">
      <c r="A12" s="77" t="s">
        <v>285</v>
      </c>
      <c r="B12" s="161" t="s">
        <v>417</v>
      </c>
      <c r="C12" s="161"/>
    </row>
    <row r="13" spans="1:9" x14ac:dyDescent="0.25">
      <c r="A13" s="77" t="s">
        <v>287</v>
      </c>
      <c r="B13" s="161">
        <v>1</v>
      </c>
      <c r="C13" s="161"/>
    </row>
    <row r="14" spans="1:9" x14ac:dyDescent="0.25">
      <c r="A14" s="77" t="s">
        <v>289</v>
      </c>
      <c r="B14" s="161">
        <v>501</v>
      </c>
      <c r="C14" s="161"/>
    </row>
    <row r="15" spans="1:9" x14ac:dyDescent="0.25">
      <c r="A15" s="77" t="s">
        <v>291</v>
      </c>
      <c r="B15" s="161" t="s">
        <v>502</v>
      </c>
      <c r="C15" s="161"/>
    </row>
    <row r="16" spans="1:9" x14ac:dyDescent="0.25">
      <c r="A16" s="77" t="s">
        <v>293</v>
      </c>
      <c r="B16" s="161" t="s">
        <v>503</v>
      </c>
      <c r="C16" s="161"/>
    </row>
    <row r="17" spans="1:3" x14ac:dyDescent="0.25">
      <c r="A17" s="74" t="s">
        <v>760</v>
      </c>
      <c r="B17" s="161"/>
      <c r="C17" s="161"/>
    </row>
    <row r="18" spans="1:3" x14ac:dyDescent="0.25">
      <c r="A18" s="77" t="s">
        <v>297</v>
      </c>
      <c r="B18" s="163">
        <v>45138</v>
      </c>
      <c r="C18" s="161"/>
    </row>
    <row r="19" spans="1:3" x14ac:dyDescent="0.25">
      <c r="A19" s="77" t="s">
        <v>299</v>
      </c>
      <c r="B19" s="163">
        <v>45138</v>
      </c>
      <c r="C19" s="161"/>
    </row>
    <row r="20" spans="1:3" x14ac:dyDescent="0.25">
      <c r="A20" s="77" t="s">
        <v>301</v>
      </c>
      <c r="B20" s="161" t="s">
        <v>314</v>
      </c>
      <c r="C20" s="161"/>
    </row>
    <row r="21" spans="1:3" x14ac:dyDescent="0.25">
      <c r="A21" s="77" t="s">
        <v>307</v>
      </c>
      <c r="B21" s="161" t="s">
        <v>315</v>
      </c>
      <c r="C21" s="161"/>
    </row>
    <row r="23" spans="1:3" x14ac:dyDescent="0.25">
      <c r="B23" s="100" t="str">
        <f>HYPERLINK("#'Factor List'!A1","Back to Factor List")</f>
        <v>Back to Factor List</v>
      </c>
    </row>
    <row r="24" spans="1:3" x14ac:dyDescent="0.25">
      <c r="B24" s="100" t="s">
        <v>13</v>
      </c>
    </row>
    <row r="26" spans="1:3" ht="26" x14ac:dyDescent="0.25">
      <c r="A26" s="97" t="s">
        <v>417</v>
      </c>
      <c r="B26" s="97" t="s">
        <v>808</v>
      </c>
      <c r="C26" s="97" t="s">
        <v>809</v>
      </c>
    </row>
    <row r="27" spans="1:3" x14ac:dyDescent="0.25">
      <c r="A27" s="98">
        <v>20</v>
      </c>
      <c r="B27" s="103">
        <v>0</v>
      </c>
      <c r="C27" s="103">
        <v>40.26</v>
      </c>
    </row>
    <row r="28" spans="1:3" x14ac:dyDescent="0.25">
      <c r="A28" s="98">
        <v>21</v>
      </c>
      <c r="B28" s="103">
        <v>0</v>
      </c>
      <c r="C28" s="103">
        <v>39.914999999999999</v>
      </c>
    </row>
    <row r="29" spans="1:3" x14ac:dyDescent="0.25">
      <c r="A29" s="98">
        <v>22</v>
      </c>
      <c r="B29" s="103">
        <v>0</v>
      </c>
      <c r="C29" s="103">
        <v>39.564999999999998</v>
      </c>
    </row>
    <row r="30" spans="1:3" x14ac:dyDescent="0.25">
      <c r="A30" s="98">
        <v>23</v>
      </c>
      <c r="B30" s="103">
        <v>0</v>
      </c>
      <c r="C30" s="103">
        <v>39.21</v>
      </c>
    </row>
    <row r="31" spans="1:3" x14ac:dyDescent="0.25">
      <c r="A31" s="98">
        <v>24</v>
      </c>
      <c r="B31" s="103">
        <v>0</v>
      </c>
      <c r="C31" s="103">
        <v>38.847999999999999</v>
      </c>
    </row>
    <row r="32" spans="1:3" x14ac:dyDescent="0.25">
      <c r="A32" s="98">
        <v>25</v>
      </c>
      <c r="B32" s="103">
        <v>0</v>
      </c>
      <c r="C32" s="103">
        <v>38.478999999999999</v>
      </c>
    </row>
    <row r="33" spans="1:3" x14ac:dyDescent="0.25">
      <c r="A33" s="98">
        <v>26</v>
      </c>
      <c r="B33" s="103">
        <v>0</v>
      </c>
      <c r="C33" s="103">
        <v>38.103999999999999</v>
      </c>
    </row>
    <row r="34" spans="1:3" x14ac:dyDescent="0.25">
      <c r="A34" s="98">
        <v>27</v>
      </c>
      <c r="B34" s="103">
        <v>0</v>
      </c>
      <c r="C34" s="103">
        <v>37.722999999999999</v>
      </c>
    </row>
    <row r="35" spans="1:3" x14ac:dyDescent="0.25">
      <c r="A35" s="98">
        <v>28</v>
      </c>
      <c r="B35" s="103">
        <v>0</v>
      </c>
      <c r="C35" s="103">
        <v>37.335000000000001</v>
      </c>
    </row>
    <row r="36" spans="1:3" x14ac:dyDescent="0.25">
      <c r="A36" s="98">
        <v>29</v>
      </c>
      <c r="B36" s="103">
        <v>0</v>
      </c>
      <c r="C36" s="103">
        <v>36.942</v>
      </c>
    </row>
    <row r="37" spans="1:3" x14ac:dyDescent="0.25">
      <c r="A37" s="98">
        <v>30</v>
      </c>
      <c r="B37" s="103">
        <v>0</v>
      </c>
      <c r="C37" s="103">
        <v>36.542000000000002</v>
      </c>
    </row>
    <row r="38" spans="1:3" x14ac:dyDescent="0.25">
      <c r="A38" s="98">
        <v>31</v>
      </c>
      <c r="B38" s="103">
        <v>0</v>
      </c>
      <c r="C38" s="103">
        <v>36.136000000000003</v>
      </c>
    </row>
    <row r="39" spans="1:3" x14ac:dyDescent="0.25">
      <c r="A39" s="98">
        <v>32</v>
      </c>
      <c r="B39" s="103">
        <v>0</v>
      </c>
      <c r="C39" s="103">
        <v>35.723999999999997</v>
      </c>
    </row>
    <row r="40" spans="1:3" x14ac:dyDescent="0.25">
      <c r="A40" s="98">
        <v>33</v>
      </c>
      <c r="B40" s="103">
        <v>0</v>
      </c>
      <c r="C40" s="103">
        <v>35.305</v>
      </c>
    </row>
    <row r="41" spans="1:3" x14ac:dyDescent="0.25">
      <c r="A41" s="98">
        <v>34</v>
      </c>
      <c r="B41" s="103">
        <v>0</v>
      </c>
      <c r="C41" s="103">
        <v>34.878999999999998</v>
      </c>
    </row>
    <row r="42" spans="1:3" x14ac:dyDescent="0.25">
      <c r="A42" s="98">
        <v>35</v>
      </c>
      <c r="B42" s="103">
        <v>0</v>
      </c>
      <c r="C42" s="103">
        <v>34.445999999999998</v>
      </c>
    </row>
    <row r="43" spans="1:3" x14ac:dyDescent="0.25">
      <c r="A43" s="98">
        <v>36</v>
      </c>
      <c r="B43" s="103">
        <v>0</v>
      </c>
      <c r="C43" s="103">
        <v>34.006999999999998</v>
      </c>
    </row>
    <row r="44" spans="1:3" x14ac:dyDescent="0.25">
      <c r="A44" s="98">
        <v>37</v>
      </c>
      <c r="B44" s="103">
        <v>0</v>
      </c>
      <c r="C44" s="103">
        <v>33.56</v>
      </c>
    </row>
    <row r="45" spans="1:3" x14ac:dyDescent="0.25">
      <c r="A45" s="98">
        <v>38</v>
      </c>
      <c r="B45" s="103">
        <v>0</v>
      </c>
      <c r="C45" s="103">
        <v>33.106999999999999</v>
      </c>
    </row>
    <row r="46" spans="1:3" x14ac:dyDescent="0.25">
      <c r="A46" s="98">
        <v>39</v>
      </c>
      <c r="B46" s="103">
        <v>0</v>
      </c>
      <c r="C46" s="103">
        <v>32.645000000000003</v>
      </c>
    </row>
    <row r="47" spans="1:3" x14ac:dyDescent="0.25">
      <c r="A47" s="98">
        <v>40</v>
      </c>
      <c r="B47" s="103">
        <v>0</v>
      </c>
      <c r="C47" s="103">
        <v>32.177</v>
      </c>
    </row>
    <row r="48" spans="1:3" x14ac:dyDescent="0.25">
      <c r="A48" s="98">
        <v>41</v>
      </c>
      <c r="B48" s="103">
        <v>0</v>
      </c>
      <c r="C48" s="103">
        <v>31.702000000000002</v>
      </c>
    </row>
    <row r="49" spans="1:3" x14ac:dyDescent="0.25">
      <c r="A49" s="98">
        <v>42</v>
      </c>
      <c r="B49" s="103">
        <v>0</v>
      </c>
      <c r="C49" s="103">
        <v>31.22</v>
      </c>
    </row>
    <row r="50" spans="1:3" x14ac:dyDescent="0.25">
      <c r="A50" s="98">
        <v>43</v>
      </c>
      <c r="B50" s="103">
        <v>0</v>
      </c>
      <c r="C50" s="103">
        <v>30.731000000000002</v>
      </c>
    </row>
    <row r="51" spans="1:3" x14ac:dyDescent="0.25">
      <c r="A51" s="98">
        <v>44</v>
      </c>
      <c r="B51" s="103">
        <v>0</v>
      </c>
      <c r="C51" s="103">
        <v>30.234999999999999</v>
      </c>
    </row>
    <row r="52" spans="1:3" x14ac:dyDescent="0.25">
      <c r="A52" s="98">
        <v>45</v>
      </c>
      <c r="B52" s="103">
        <v>0</v>
      </c>
      <c r="C52" s="103">
        <v>29.731000000000002</v>
      </c>
    </row>
    <row r="53" spans="1:3" x14ac:dyDescent="0.25">
      <c r="A53" s="98">
        <v>46</v>
      </c>
      <c r="B53" s="103">
        <v>0</v>
      </c>
      <c r="C53" s="103">
        <v>29.22</v>
      </c>
    </row>
    <row r="54" spans="1:3" x14ac:dyDescent="0.25">
      <c r="A54" s="98">
        <v>47</v>
      </c>
      <c r="B54" s="103">
        <v>0</v>
      </c>
      <c r="C54" s="103">
        <v>28.702000000000002</v>
      </c>
    </row>
    <row r="55" spans="1:3" x14ac:dyDescent="0.25">
      <c r="A55" s="98">
        <v>48</v>
      </c>
      <c r="B55" s="103">
        <v>0</v>
      </c>
      <c r="C55" s="103">
        <v>28.175999999999998</v>
      </c>
    </row>
    <row r="56" spans="1:3" x14ac:dyDescent="0.25">
      <c r="A56" s="98">
        <v>49</v>
      </c>
      <c r="B56" s="103">
        <v>0</v>
      </c>
      <c r="C56" s="103">
        <v>27.641999999999999</v>
      </c>
    </row>
    <row r="57" spans="1:3" x14ac:dyDescent="0.25">
      <c r="A57" s="98">
        <v>50</v>
      </c>
      <c r="B57" s="103">
        <v>0</v>
      </c>
      <c r="C57" s="103">
        <v>27.100999999999999</v>
      </c>
    </row>
    <row r="58" spans="1:3" x14ac:dyDescent="0.25">
      <c r="A58" s="98">
        <v>51</v>
      </c>
      <c r="B58" s="103">
        <v>0</v>
      </c>
      <c r="C58" s="103">
        <v>26.552</v>
      </c>
    </row>
    <row r="59" spans="1:3" x14ac:dyDescent="0.25">
      <c r="A59" s="98">
        <v>52</v>
      </c>
      <c r="B59" s="103">
        <v>0</v>
      </c>
      <c r="C59" s="103">
        <v>25.995999999999999</v>
      </c>
    </row>
    <row r="60" spans="1:3" x14ac:dyDescent="0.25">
      <c r="A60" s="98">
        <v>53</v>
      </c>
      <c r="B60" s="103">
        <v>0</v>
      </c>
      <c r="C60" s="103">
        <v>25.431000000000001</v>
      </c>
    </row>
    <row r="61" spans="1:3" x14ac:dyDescent="0.25">
      <c r="A61" s="98">
        <v>54</v>
      </c>
      <c r="B61" s="103">
        <v>0</v>
      </c>
      <c r="C61" s="103">
        <v>24.858000000000001</v>
      </c>
    </row>
    <row r="62" spans="1:3" x14ac:dyDescent="0.25">
      <c r="A62" s="98">
        <v>55</v>
      </c>
      <c r="B62" s="103">
        <v>25.472999999999999</v>
      </c>
      <c r="C62" s="103">
        <v>24.277999999999999</v>
      </c>
    </row>
    <row r="63" spans="1:3" x14ac:dyDescent="0.25">
      <c r="A63" s="98">
        <v>56</v>
      </c>
      <c r="B63" s="103">
        <v>24.888999999999999</v>
      </c>
      <c r="C63" s="103">
        <v>23.69</v>
      </c>
    </row>
    <row r="64" spans="1:3" x14ac:dyDescent="0.25">
      <c r="A64" s="98">
        <v>57</v>
      </c>
      <c r="B64" s="103">
        <v>24.298999999999999</v>
      </c>
      <c r="C64" s="103">
        <v>23.094999999999999</v>
      </c>
    </row>
    <row r="65" spans="1:3" x14ac:dyDescent="0.25">
      <c r="A65" s="98">
        <v>58</v>
      </c>
      <c r="B65" s="103">
        <v>23.701000000000001</v>
      </c>
      <c r="C65" s="103">
        <v>22.492999999999999</v>
      </c>
    </row>
    <row r="66" spans="1:3" x14ac:dyDescent="0.25">
      <c r="A66" s="98">
        <v>59</v>
      </c>
      <c r="B66" s="103">
        <v>23.096</v>
      </c>
      <c r="C66" s="103">
        <v>21.884</v>
      </c>
    </row>
    <row r="67" spans="1:3" x14ac:dyDescent="0.25">
      <c r="A67" s="98">
        <v>60</v>
      </c>
      <c r="B67" s="103">
        <v>22.483000000000001</v>
      </c>
      <c r="C67" s="103">
        <v>21.265000000000001</v>
      </c>
    </row>
    <row r="68" spans="1:3" x14ac:dyDescent="0.25">
      <c r="A68" s="98">
        <v>61</v>
      </c>
      <c r="B68" s="103">
        <v>21.861000000000001</v>
      </c>
      <c r="C68" s="103">
        <v>20.64</v>
      </c>
    </row>
    <row r="69" spans="1:3" x14ac:dyDescent="0.25">
      <c r="A69" s="98">
        <v>62</v>
      </c>
      <c r="B69" s="103">
        <v>21.236999999999998</v>
      </c>
      <c r="C69" s="103">
        <v>20.010999999999999</v>
      </c>
    </row>
    <row r="70" spans="1:3" x14ac:dyDescent="0.25">
      <c r="A70" s="98">
        <v>63</v>
      </c>
      <c r="B70" s="103">
        <v>20.606999999999999</v>
      </c>
      <c r="C70" s="103">
        <v>19.379000000000001</v>
      </c>
    </row>
    <row r="71" spans="1:3" x14ac:dyDescent="0.25">
      <c r="A71" s="98">
        <v>64</v>
      </c>
      <c r="B71" s="103">
        <v>19.97</v>
      </c>
      <c r="C71" s="103">
        <v>18.742000000000001</v>
      </c>
    </row>
    <row r="72" spans="1:3" x14ac:dyDescent="0.25">
      <c r="A72" s="98">
        <v>65</v>
      </c>
      <c r="B72" s="103">
        <v>19.329000000000001</v>
      </c>
      <c r="C72" s="103">
        <v>18.102</v>
      </c>
    </row>
    <row r="73" spans="1:3" x14ac:dyDescent="0.25">
      <c r="A73" s="98">
        <v>66</v>
      </c>
      <c r="B73" s="103">
        <v>18.684000000000001</v>
      </c>
      <c r="C73" s="103">
        <v>17.457999999999998</v>
      </c>
    </row>
    <row r="74" spans="1:3" x14ac:dyDescent="0.25">
      <c r="A74" s="98">
        <v>67</v>
      </c>
      <c r="B74" s="103">
        <v>18.033999999999999</v>
      </c>
      <c r="C74" s="103">
        <v>16.812000000000001</v>
      </c>
    </row>
    <row r="75" spans="1:3" x14ac:dyDescent="0.25">
      <c r="A75" s="98">
        <v>68</v>
      </c>
      <c r="B75" s="103">
        <v>17.381</v>
      </c>
      <c r="C75" s="103">
        <v>16.164000000000001</v>
      </c>
    </row>
    <row r="76" spans="1:3" x14ac:dyDescent="0.25">
      <c r="A76" s="98">
        <v>69</v>
      </c>
      <c r="B76" s="103">
        <v>16.693999999999999</v>
      </c>
      <c r="C76" s="103">
        <v>15.513999999999999</v>
      </c>
    </row>
    <row r="77" spans="1:3" x14ac:dyDescent="0.25">
      <c r="A77" s="98">
        <v>70</v>
      </c>
      <c r="B77" s="103">
        <v>16.004000000000001</v>
      </c>
      <c r="C77" s="103">
        <v>14.862</v>
      </c>
    </row>
    <row r="78" spans="1:3" x14ac:dyDescent="0.25">
      <c r="A78" s="98">
        <v>71</v>
      </c>
      <c r="B78" s="103">
        <v>15.340999999999999</v>
      </c>
      <c r="C78" s="103">
        <v>14.211</v>
      </c>
    </row>
    <row r="79" spans="1:3" x14ac:dyDescent="0.25">
      <c r="A79" s="98">
        <v>72</v>
      </c>
      <c r="B79" s="103">
        <v>14.68</v>
      </c>
      <c r="C79" s="103">
        <v>13.563000000000001</v>
      </c>
    </row>
    <row r="80" spans="1:3" x14ac:dyDescent="0.25">
      <c r="A80" s="98">
        <v>73</v>
      </c>
      <c r="B80" s="103">
        <v>14.019</v>
      </c>
      <c r="C80" s="103">
        <v>12.917999999999999</v>
      </c>
    </row>
    <row r="81" spans="1:3" x14ac:dyDescent="0.25">
      <c r="A81" s="98">
        <v>74</v>
      </c>
      <c r="B81" s="103">
        <v>13.308999999999999</v>
      </c>
      <c r="C81" s="103">
        <v>12.276999999999999</v>
      </c>
    </row>
    <row r="82" spans="1:3" x14ac:dyDescent="0.25">
      <c r="A82" s="98">
        <v>75</v>
      </c>
      <c r="B82" s="103">
        <v>12.601000000000001</v>
      </c>
      <c r="C82" s="103">
        <v>11.641</v>
      </c>
    </row>
    <row r="83" spans="1:3" x14ac:dyDescent="0.25">
      <c r="A83" s="98">
        <v>76</v>
      </c>
      <c r="B83" s="103">
        <v>11.949</v>
      </c>
      <c r="C83" s="103">
        <v>11.012</v>
      </c>
    </row>
    <row r="84" spans="1:3" x14ac:dyDescent="0.25">
      <c r="A84" s="98">
        <v>77</v>
      </c>
      <c r="B84" s="103">
        <v>11.304</v>
      </c>
      <c r="C84" s="103">
        <v>10.391999999999999</v>
      </c>
    </row>
    <row r="85" spans="1:3" x14ac:dyDescent="0.25">
      <c r="A85" s="98">
        <v>78</v>
      </c>
      <c r="B85" s="103">
        <v>10.666</v>
      </c>
      <c r="C85" s="103">
        <v>9.782</v>
      </c>
    </row>
    <row r="86" spans="1:3" x14ac:dyDescent="0.25">
      <c r="A86" s="98">
        <v>79</v>
      </c>
      <c r="B86" s="103">
        <v>9.9789999999999992</v>
      </c>
      <c r="C86" s="103">
        <v>9.1859999999999999</v>
      </c>
    </row>
    <row r="87" spans="1:3" x14ac:dyDescent="0.25">
      <c r="A87" s="98">
        <v>80</v>
      </c>
      <c r="B87" s="103">
        <v>9.3059999999999992</v>
      </c>
      <c r="C87" s="103">
        <v>8.6050000000000004</v>
      </c>
    </row>
    <row r="88" spans="1:3" x14ac:dyDescent="0.25">
      <c r="A88" s="98">
        <v>81</v>
      </c>
      <c r="B88" s="103">
        <v>8.7110000000000003</v>
      </c>
      <c r="C88" s="103">
        <v>8.0429999999999993</v>
      </c>
    </row>
    <row r="89" spans="1:3" x14ac:dyDescent="0.25">
      <c r="A89" s="98">
        <v>82</v>
      </c>
      <c r="B89" s="103">
        <v>8.1329999999999991</v>
      </c>
      <c r="C89" s="103">
        <v>7.5</v>
      </c>
    </row>
    <row r="90" spans="1:3" x14ac:dyDescent="0.25">
      <c r="A90" s="98">
        <v>83</v>
      </c>
      <c r="B90" s="103">
        <v>7.5750000000000002</v>
      </c>
      <c r="C90" s="103">
        <v>6.9770000000000003</v>
      </c>
    </row>
    <row r="91" spans="1:3" x14ac:dyDescent="0.25">
      <c r="A91" s="98">
        <v>84</v>
      </c>
      <c r="B91" s="103">
        <v>6.984</v>
      </c>
      <c r="C91" s="103">
        <v>6.4770000000000003</v>
      </c>
    </row>
    <row r="92" spans="1:3" x14ac:dyDescent="0.25">
      <c r="A92" s="98">
        <v>85</v>
      </c>
      <c r="B92" s="103">
        <v>6.4169999999999998</v>
      </c>
      <c r="C92" s="103">
        <v>5.9989999999999997</v>
      </c>
    </row>
    <row r="93" spans="1:3" x14ac:dyDescent="0.25">
      <c r="A93" s="98">
        <v>86</v>
      </c>
      <c r="B93" s="103">
        <v>5.9320000000000004</v>
      </c>
      <c r="C93" s="103">
        <v>5.5460000000000003</v>
      </c>
    </row>
    <row r="94" spans="1:3" x14ac:dyDescent="0.25">
      <c r="A94" s="98">
        <v>87</v>
      </c>
      <c r="B94" s="103">
        <v>5.4740000000000002</v>
      </c>
      <c r="C94" s="103">
        <v>5.117</v>
      </c>
    </row>
    <row r="95" spans="1:3" x14ac:dyDescent="0.25">
      <c r="A95" s="98">
        <v>88</v>
      </c>
      <c r="B95" s="103">
        <v>5.0439999999999996</v>
      </c>
      <c r="C95" s="103">
        <v>4.7160000000000002</v>
      </c>
    </row>
    <row r="96" spans="1:3" x14ac:dyDescent="0.25">
      <c r="A96" s="98">
        <v>89</v>
      </c>
      <c r="B96" s="103">
        <v>4.5990000000000002</v>
      </c>
      <c r="C96" s="103">
        <v>4.3410000000000002</v>
      </c>
    </row>
    <row r="97" spans="1:3" x14ac:dyDescent="0.25">
      <c r="A97" s="98">
        <v>90</v>
      </c>
      <c r="B97" s="103">
        <v>4.1840000000000002</v>
      </c>
      <c r="C97" s="103">
        <v>3.9929999999999999</v>
      </c>
    </row>
    <row r="98" spans="1:3" x14ac:dyDescent="0.25">
      <c r="A98" s="98">
        <v>91</v>
      </c>
      <c r="B98" s="103">
        <v>3.8450000000000002</v>
      </c>
      <c r="C98" s="103">
        <v>3.673</v>
      </c>
    </row>
    <row r="99" spans="1:3" x14ac:dyDescent="0.25">
      <c r="A99" s="98">
        <v>92</v>
      </c>
      <c r="B99" s="103">
        <v>3.5350000000000001</v>
      </c>
      <c r="C99" s="103">
        <v>3.3809999999999998</v>
      </c>
    </row>
    <row r="100" spans="1:3" x14ac:dyDescent="0.25">
      <c r="A100" s="98">
        <v>93</v>
      </c>
      <c r="B100" s="103">
        <v>3.254</v>
      </c>
      <c r="C100" s="103">
        <v>3.117</v>
      </c>
    </row>
    <row r="101" spans="1:3" x14ac:dyDescent="0.25">
      <c r="A101" s="98">
        <v>94</v>
      </c>
      <c r="B101" s="103">
        <v>2.9980000000000002</v>
      </c>
      <c r="C101" s="103">
        <v>2.8780000000000001</v>
      </c>
    </row>
    <row r="102" spans="1:3" x14ac:dyDescent="0.25">
      <c r="A102" s="98">
        <v>95</v>
      </c>
      <c r="B102" s="103">
        <v>2.7669999999999999</v>
      </c>
      <c r="C102" s="103">
        <v>2.6640000000000001</v>
      </c>
    </row>
    <row r="103" spans="1:3" x14ac:dyDescent="0.25">
      <c r="A103" s="98">
        <v>96</v>
      </c>
      <c r="B103" s="103">
        <v>2.5619999999999998</v>
      </c>
      <c r="C103" s="103">
        <v>2.4740000000000002</v>
      </c>
    </row>
    <row r="104" spans="1:3" x14ac:dyDescent="0.25">
      <c r="A104" s="98">
        <v>97</v>
      </c>
      <c r="B104" s="103">
        <v>2.379</v>
      </c>
      <c r="C104" s="103">
        <v>2.306</v>
      </c>
    </row>
    <row r="105" spans="1:3" x14ac:dyDescent="0.25">
      <c r="A105" s="98">
        <v>98</v>
      </c>
      <c r="B105" s="103">
        <v>2.2210000000000001</v>
      </c>
      <c r="C105" s="103">
        <v>2.1589999999999998</v>
      </c>
    </row>
    <row r="106" spans="1:3" x14ac:dyDescent="0.25">
      <c r="A106" s="98">
        <v>99</v>
      </c>
      <c r="B106" s="103">
        <v>2.0939999999999999</v>
      </c>
      <c r="C106" s="103">
        <v>2.0430000000000001</v>
      </c>
    </row>
    <row r="107" spans="1:3" x14ac:dyDescent="0.25">
      <c r="A107" s="98">
        <v>100</v>
      </c>
      <c r="B107" s="103">
        <v>2</v>
      </c>
      <c r="C107" s="103">
        <v>1.9570000000000001</v>
      </c>
    </row>
  </sheetData>
  <sheetProtection algorithmName="SHA-512" hashValue="oqz9HMiMr7anQfGWmpr2bn3rGG4arT1/G29SZ1ZxlpNl94B3H+L4a78gW6tvT85pcL2051jkn5xb4lzKOXxvWA==" saltValue="w27aXC2CE7YHSd0T02uDkw==" spinCount="100000" sheet="1" objects="1" scenarios="1"/>
  <conditionalFormatting sqref="A6:A21">
    <cfRule type="expression" dxfId="627" priority="11" stopIfTrue="1">
      <formula>MOD(ROW(),2)=0</formula>
    </cfRule>
    <cfRule type="expression" dxfId="626" priority="12" stopIfTrue="1">
      <formula>MOD(ROW(),2)&lt;&gt;0</formula>
    </cfRule>
  </conditionalFormatting>
  <conditionalFormatting sqref="A26:A107">
    <cfRule type="expression" dxfId="625" priority="3" stopIfTrue="1">
      <formula>MOD(ROW(),2)=0</formula>
    </cfRule>
    <cfRule type="expression" dxfId="624" priority="4" stopIfTrue="1">
      <formula>MOD(ROW(),2)&lt;&gt;0</formula>
    </cfRule>
  </conditionalFormatting>
  <conditionalFormatting sqref="B17:B21">
    <cfRule type="expression" dxfId="623" priority="1" stopIfTrue="1">
      <formula>MOD(ROW(),2)=0</formula>
    </cfRule>
    <cfRule type="expression" dxfId="622" priority="2" stopIfTrue="1">
      <formula>MOD(ROW(),2)&lt;&gt;0</formula>
    </cfRule>
  </conditionalFormatting>
  <conditionalFormatting sqref="B6:C21">
    <cfRule type="expression" dxfId="621" priority="19" stopIfTrue="1">
      <formula>MOD(ROW(),2)=0</formula>
    </cfRule>
    <cfRule type="expression" dxfId="620" priority="20" stopIfTrue="1">
      <formula>MOD(ROW(),2)&lt;&gt;0</formula>
    </cfRule>
  </conditionalFormatting>
  <conditionalFormatting sqref="B26:C107">
    <cfRule type="expression" dxfId="619" priority="5" stopIfTrue="1">
      <formula>MOD(ROW(),2)=0</formula>
    </cfRule>
    <cfRule type="expression" dxfId="618" priority="6" stopIfTrue="1">
      <formula>MOD(ROW(),2)&lt;&gt;0</formula>
    </cfRule>
  </conditionalFormatting>
  <hyperlinks>
    <hyperlink ref="B24" location="Assumptions!A1" display="Assumptions" xr:uid="{EE451FEB-49A6-41CC-A3D3-B50F9A67252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0"/>
  <dimension ref="A1:I107"/>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Triv Comm - x-502</v>
      </c>
      <c r="B3" s="40"/>
      <c r="C3" s="40"/>
      <c r="D3" s="40"/>
      <c r="E3" s="40"/>
      <c r="F3" s="40"/>
      <c r="G3" s="40"/>
      <c r="H3" s="40"/>
      <c r="I3" s="40"/>
    </row>
    <row r="4" spans="1:9" x14ac:dyDescent="0.25">
      <c r="A4" s="42"/>
    </row>
    <row r="6" spans="1:9" ht="13" x14ac:dyDescent="0.3">
      <c r="A6" s="75" t="s">
        <v>274</v>
      </c>
      <c r="B6" s="161" t="s">
        <v>275</v>
      </c>
      <c r="C6" s="161"/>
    </row>
    <row r="7" spans="1:9" x14ac:dyDescent="0.25">
      <c r="A7" s="77" t="s">
        <v>276</v>
      </c>
      <c r="B7" s="161" t="s">
        <v>72</v>
      </c>
      <c r="C7" s="161"/>
    </row>
    <row r="8" spans="1:9" x14ac:dyDescent="0.25">
      <c r="A8" s="77" t="s">
        <v>278</v>
      </c>
      <c r="B8" s="161">
        <v>2008</v>
      </c>
      <c r="C8" s="161"/>
    </row>
    <row r="9" spans="1:9" x14ac:dyDescent="0.25">
      <c r="A9" s="77" t="s">
        <v>280</v>
      </c>
      <c r="B9" s="161" t="s">
        <v>500</v>
      </c>
      <c r="C9" s="161"/>
    </row>
    <row r="10" spans="1:9" x14ac:dyDescent="0.25">
      <c r="A10" s="77" t="s">
        <v>6</v>
      </c>
      <c r="B10" s="161" t="s">
        <v>501</v>
      </c>
      <c r="C10" s="161"/>
    </row>
    <row r="11" spans="1:9" x14ac:dyDescent="0.25">
      <c r="A11" s="77" t="s">
        <v>283</v>
      </c>
      <c r="B11" s="161" t="s">
        <v>355</v>
      </c>
      <c r="C11" s="161"/>
    </row>
    <row r="12" spans="1:9" x14ac:dyDescent="0.25">
      <c r="A12" s="77" t="s">
        <v>285</v>
      </c>
      <c r="B12" s="161" t="s">
        <v>417</v>
      </c>
      <c r="C12" s="161"/>
    </row>
    <row r="13" spans="1:9" x14ac:dyDescent="0.25">
      <c r="A13" s="77" t="s">
        <v>287</v>
      </c>
      <c r="B13" s="161">
        <v>2</v>
      </c>
      <c r="C13" s="161"/>
    </row>
    <row r="14" spans="1:9" x14ac:dyDescent="0.25">
      <c r="A14" s="77" t="s">
        <v>289</v>
      </c>
      <c r="B14" s="161">
        <v>502</v>
      </c>
      <c r="C14" s="161"/>
    </row>
    <row r="15" spans="1:9" x14ac:dyDescent="0.25">
      <c r="A15" s="77" t="s">
        <v>291</v>
      </c>
      <c r="B15" s="161" t="s">
        <v>504</v>
      </c>
      <c r="C15" s="161"/>
    </row>
    <row r="16" spans="1:9" x14ac:dyDescent="0.25">
      <c r="A16" s="77" t="s">
        <v>293</v>
      </c>
      <c r="B16" s="161" t="s">
        <v>505</v>
      </c>
      <c r="C16" s="161"/>
    </row>
    <row r="17" spans="1:3" x14ac:dyDescent="0.25">
      <c r="A17" s="74" t="s">
        <v>760</v>
      </c>
      <c r="B17" s="161"/>
      <c r="C17" s="161"/>
    </row>
    <row r="18" spans="1:3" x14ac:dyDescent="0.25">
      <c r="A18" s="77" t="s">
        <v>297</v>
      </c>
      <c r="B18" s="163">
        <v>45138</v>
      </c>
      <c r="C18" s="161"/>
    </row>
    <row r="19" spans="1:3" x14ac:dyDescent="0.25">
      <c r="A19" s="77" t="s">
        <v>299</v>
      </c>
      <c r="B19" s="163">
        <v>45138</v>
      </c>
      <c r="C19" s="161"/>
    </row>
    <row r="20" spans="1:3" x14ac:dyDescent="0.25">
      <c r="A20" s="77" t="s">
        <v>301</v>
      </c>
      <c r="B20" s="161" t="s">
        <v>314</v>
      </c>
      <c r="C20" s="161"/>
    </row>
    <row r="21" spans="1:3" x14ac:dyDescent="0.25">
      <c r="A21" s="77" t="s">
        <v>307</v>
      </c>
      <c r="B21" s="161" t="s">
        <v>315</v>
      </c>
      <c r="C21" s="161"/>
    </row>
    <row r="23" spans="1:3" x14ac:dyDescent="0.25">
      <c r="B23" s="100" t="str">
        <f>HYPERLINK("#'Factor List'!A1","Back to Factor List")</f>
        <v>Back to Factor List</v>
      </c>
    </row>
    <row r="24" spans="1:3" x14ac:dyDescent="0.25">
      <c r="B24" s="100" t="s">
        <v>13</v>
      </c>
    </row>
    <row r="26" spans="1:3" ht="26" x14ac:dyDescent="0.25">
      <c r="A26" s="97" t="s">
        <v>417</v>
      </c>
      <c r="B26" s="97" t="s">
        <v>808</v>
      </c>
      <c r="C26" s="97" t="s">
        <v>809</v>
      </c>
    </row>
    <row r="27" spans="1:3" x14ac:dyDescent="0.25">
      <c r="A27" s="98">
        <v>20</v>
      </c>
      <c r="B27" s="103">
        <v>0</v>
      </c>
      <c r="C27" s="103">
        <v>40.262999999999998</v>
      </c>
    </row>
    <row r="28" spans="1:3" x14ac:dyDescent="0.25">
      <c r="A28" s="98">
        <v>21</v>
      </c>
      <c r="B28" s="103">
        <v>0</v>
      </c>
      <c r="C28" s="103">
        <v>39.918999999999997</v>
      </c>
    </row>
    <row r="29" spans="1:3" x14ac:dyDescent="0.25">
      <c r="A29" s="98">
        <v>22</v>
      </c>
      <c r="B29" s="103">
        <v>0</v>
      </c>
      <c r="C29" s="103">
        <v>39.569000000000003</v>
      </c>
    </row>
    <row r="30" spans="1:3" x14ac:dyDescent="0.25">
      <c r="A30" s="98">
        <v>23</v>
      </c>
      <c r="B30" s="103">
        <v>0</v>
      </c>
      <c r="C30" s="103">
        <v>39.213000000000001</v>
      </c>
    </row>
    <row r="31" spans="1:3" x14ac:dyDescent="0.25">
      <c r="A31" s="98">
        <v>24</v>
      </c>
      <c r="B31" s="103">
        <v>0</v>
      </c>
      <c r="C31" s="103">
        <v>38.850999999999999</v>
      </c>
    </row>
    <row r="32" spans="1:3" x14ac:dyDescent="0.25">
      <c r="A32" s="98">
        <v>25</v>
      </c>
      <c r="B32" s="103">
        <v>0</v>
      </c>
      <c r="C32" s="103">
        <v>38.482999999999997</v>
      </c>
    </row>
    <row r="33" spans="1:3" x14ac:dyDescent="0.25">
      <c r="A33" s="98">
        <v>26</v>
      </c>
      <c r="B33" s="103">
        <v>0</v>
      </c>
      <c r="C33" s="103">
        <v>38.107999999999997</v>
      </c>
    </row>
    <row r="34" spans="1:3" x14ac:dyDescent="0.25">
      <c r="A34" s="98">
        <v>27</v>
      </c>
      <c r="B34" s="103">
        <v>0</v>
      </c>
      <c r="C34" s="103">
        <v>37.726999999999997</v>
      </c>
    </row>
    <row r="35" spans="1:3" x14ac:dyDescent="0.25">
      <c r="A35" s="98">
        <v>28</v>
      </c>
      <c r="B35" s="103">
        <v>0</v>
      </c>
      <c r="C35" s="103">
        <v>37.340000000000003</v>
      </c>
    </row>
    <row r="36" spans="1:3" x14ac:dyDescent="0.25">
      <c r="A36" s="98">
        <v>29</v>
      </c>
      <c r="B36" s="103">
        <v>0</v>
      </c>
      <c r="C36" s="103">
        <v>36.947000000000003</v>
      </c>
    </row>
    <row r="37" spans="1:3" x14ac:dyDescent="0.25">
      <c r="A37" s="98">
        <v>30</v>
      </c>
      <c r="B37" s="103">
        <v>0</v>
      </c>
      <c r="C37" s="103">
        <v>36.548000000000002</v>
      </c>
    </row>
    <row r="38" spans="1:3" x14ac:dyDescent="0.25">
      <c r="A38" s="98">
        <v>31</v>
      </c>
      <c r="B38" s="103">
        <v>0</v>
      </c>
      <c r="C38" s="103">
        <v>36.142000000000003</v>
      </c>
    </row>
    <row r="39" spans="1:3" x14ac:dyDescent="0.25">
      <c r="A39" s="98">
        <v>32</v>
      </c>
      <c r="B39" s="103">
        <v>0</v>
      </c>
      <c r="C39" s="103">
        <v>35.729999999999997</v>
      </c>
    </row>
    <row r="40" spans="1:3" x14ac:dyDescent="0.25">
      <c r="A40" s="98">
        <v>33</v>
      </c>
      <c r="B40" s="103">
        <v>0</v>
      </c>
      <c r="C40" s="103">
        <v>35.311</v>
      </c>
    </row>
    <row r="41" spans="1:3" x14ac:dyDescent="0.25">
      <c r="A41" s="98">
        <v>34</v>
      </c>
      <c r="B41" s="103">
        <v>0</v>
      </c>
      <c r="C41" s="103">
        <v>34.886000000000003</v>
      </c>
    </row>
    <row r="42" spans="1:3" x14ac:dyDescent="0.25">
      <c r="A42" s="98">
        <v>35</v>
      </c>
      <c r="B42" s="103">
        <v>0</v>
      </c>
      <c r="C42" s="103">
        <v>34.453000000000003</v>
      </c>
    </row>
    <row r="43" spans="1:3" x14ac:dyDescent="0.25">
      <c r="A43" s="98">
        <v>36</v>
      </c>
      <c r="B43" s="103">
        <v>0</v>
      </c>
      <c r="C43" s="103">
        <v>34.014000000000003</v>
      </c>
    </row>
    <row r="44" spans="1:3" x14ac:dyDescent="0.25">
      <c r="A44" s="98">
        <v>37</v>
      </c>
      <c r="B44" s="103">
        <v>0</v>
      </c>
      <c r="C44" s="103">
        <v>33.567999999999998</v>
      </c>
    </row>
    <row r="45" spans="1:3" x14ac:dyDescent="0.25">
      <c r="A45" s="98">
        <v>38</v>
      </c>
      <c r="B45" s="103">
        <v>0</v>
      </c>
      <c r="C45" s="103">
        <v>33.115000000000002</v>
      </c>
    </row>
    <row r="46" spans="1:3" x14ac:dyDescent="0.25">
      <c r="A46" s="98">
        <v>39</v>
      </c>
      <c r="B46" s="103">
        <v>0</v>
      </c>
      <c r="C46" s="103">
        <v>32.654000000000003</v>
      </c>
    </row>
    <row r="47" spans="1:3" x14ac:dyDescent="0.25">
      <c r="A47" s="98">
        <v>40</v>
      </c>
      <c r="B47" s="103">
        <v>0</v>
      </c>
      <c r="C47" s="103">
        <v>32.186999999999998</v>
      </c>
    </row>
    <row r="48" spans="1:3" x14ac:dyDescent="0.25">
      <c r="A48" s="98">
        <v>41</v>
      </c>
      <c r="B48" s="103">
        <v>0</v>
      </c>
      <c r="C48" s="103">
        <v>31.713000000000001</v>
      </c>
    </row>
    <row r="49" spans="1:3" x14ac:dyDescent="0.25">
      <c r="A49" s="98">
        <v>42</v>
      </c>
      <c r="B49" s="103">
        <v>0</v>
      </c>
      <c r="C49" s="103">
        <v>31.231000000000002</v>
      </c>
    </row>
    <row r="50" spans="1:3" x14ac:dyDescent="0.25">
      <c r="A50" s="98">
        <v>43</v>
      </c>
      <c r="B50" s="103">
        <v>0</v>
      </c>
      <c r="C50" s="103">
        <v>30.742999999999999</v>
      </c>
    </row>
    <row r="51" spans="1:3" x14ac:dyDescent="0.25">
      <c r="A51" s="98">
        <v>44</v>
      </c>
      <c r="B51" s="103">
        <v>0</v>
      </c>
      <c r="C51" s="103">
        <v>30.248000000000001</v>
      </c>
    </row>
    <row r="52" spans="1:3" x14ac:dyDescent="0.25">
      <c r="A52" s="98">
        <v>45</v>
      </c>
      <c r="B52" s="103">
        <v>0</v>
      </c>
      <c r="C52" s="103">
        <v>29.745000000000001</v>
      </c>
    </row>
    <row r="53" spans="1:3" x14ac:dyDescent="0.25">
      <c r="A53" s="98">
        <v>46</v>
      </c>
      <c r="B53" s="103">
        <v>0</v>
      </c>
      <c r="C53" s="103">
        <v>29.234999999999999</v>
      </c>
    </row>
    <row r="54" spans="1:3" x14ac:dyDescent="0.25">
      <c r="A54" s="98">
        <v>47</v>
      </c>
      <c r="B54" s="103">
        <v>0</v>
      </c>
      <c r="C54" s="103">
        <v>28.716999999999999</v>
      </c>
    </row>
    <row r="55" spans="1:3" x14ac:dyDescent="0.25">
      <c r="A55" s="98">
        <v>48</v>
      </c>
      <c r="B55" s="103">
        <v>0</v>
      </c>
      <c r="C55" s="103">
        <v>28.192</v>
      </c>
    </row>
    <row r="56" spans="1:3" x14ac:dyDescent="0.25">
      <c r="A56" s="98">
        <v>49</v>
      </c>
      <c r="B56" s="103">
        <v>0</v>
      </c>
      <c r="C56" s="103">
        <v>27.66</v>
      </c>
    </row>
    <row r="57" spans="1:3" x14ac:dyDescent="0.25">
      <c r="A57" s="98">
        <v>50</v>
      </c>
      <c r="B57" s="103">
        <v>0</v>
      </c>
      <c r="C57" s="103">
        <v>27.12</v>
      </c>
    </row>
    <row r="58" spans="1:3" x14ac:dyDescent="0.25">
      <c r="A58" s="98">
        <v>51</v>
      </c>
      <c r="B58" s="103">
        <v>0</v>
      </c>
      <c r="C58" s="103">
        <v>26.571999999999999</v>
      </c>
    </row>
    <row r="59" spans="1:3" x14ac:dyDescent="0.25">
      <c r="A59" s="98">
        <v>52</v>
      </c>
      <c r="B59" s="103">
        <v>0</v>
      </c>
      <c r="C59" s="103">
        <v>26.016999999999999</v>
      </c>
    </row>
    <row r="60" spans="1:3" x14ac:dyDescent="0.25">
      <c r="A60" s="98">
        <v>53</v>
      </c>
      <c r="B60" s="103">
        <v>0</v>
      </c>
      <c r="C60" s="103">
        <v>25.452999999999999</v>
      </c>
    </row>
    <row r="61" spans="1:3" x14ac:dyDescent="0.25">
      <c r="A61" s="98">
        <v>54</v>
      </c>
      <c r="B61" s="103">
        <v>0</v>
      </c>
      <c r="C61" s="103">
        <v>24.882000000000001</v>
      </c>
    </row>
    <row r="62" spans="1:3" x14ac:dyDescent="0.25">
      <c r="A62" s="98">
        <v>55</v>
      </c>
      <c r="B62" s="103">
        <v>25.283000000000001</v>
      </c>
      <c r="C62" s="103">
        <v>24.303999999999998</v>
      </c>
    </row>
    <row r="63" spans="1:3" x14ac:dyDescent="0.25">
      <c r="A63" s="98">
        <v>56</v>
      </c>
      <c r="B63" s="103">
        <v>24.7</v>
      </c>
      <c r="C63" s="103">
        <v>23.718</v>
      </c>
    </row>
    <row r="64" spans="1:3" x14ac:dyDescent="0.25">
      <c r="A64" s="98">
        <v>57</v>
      </c>
      <c r="B64" s="103">
        <v>24.11</v>
      </c>
      <c r="C64" s="103">
        <v>23.126000000000001</v>
      </c>
    </row>
    <row r="65" spans="1:3" x14ac:dyDescent="0.25">
      <c r="A65" s="98">
        <v>58</v>
      </c>
      <c r="B65" s="103">
        <v>23.513999999999999</v>
      </c>
      <c r="C65" s="103">
        <v>22.526</v>
      </c>
    </row>
    <row r="66" spans="1:3" x14ac:dyDescent="0.25">
      <c r="A66" s="98">
        <v>59</v>
      </c>
      <c r="B66" s="103">
        <v>22.911999999999999</v>
      </c>
      <c r="C66" s="103">
        <v>21.92</v>
      </c>
    </row>
    <row r="67" spans="1:3" x14ac:dyDescent="0.25">
      <c r="A67" s="98">
        <v>60</v>
      </c>
      <c r="B67" s="103">
        <v>22.303000000000001</v>
      </c>
      <c r="C67" s="103">
        <v>21.309000000000001</v>
      </c>
    </row>
    <row r="68" spans="1:3" x14ac:dyDescent="0.25">
      <c r="A68" s="98">
        <v>61</v>
      </c>
      <c r="B68" s="103">
        <v>21.689</v>
      </c>
      <c r="C68" s="103">
        <v>20.690999999999999</v>
      </c>
    </row>
    <row r="69" spans="1:3" x14ac:dyDescent="0.25">
      <c r="A69" s="98">
        <v>62</v>
      </c>
      <c r="B69" s="103">
        <v>21.068999999999999</v>
      </c>
      <c r="C69" s="103">
        <v>20.07</v>
      </c>
    </row>
    <row r="70" spans="1:3" x14ac:dyDescent="0.25">
      <c r="A70" s="98">
        <v>63</v>
      </c>
      <c r="B70" s="103">
        <v>20.443999999999999</v>
      </c>
      <c r="C70" s="103">
        <v>19.443999999999999</v>
      </c>
    </row>
    <row r="71" spans="1:3" x14ac:dyDescent="0.25">
      <c r="A71" s="98">
        <v>64</v>
      </c>
      <c r="B71" s="103">
        <v>19.814</v>
      </c>
      <c r="C71" s="103">
        <v>18.814</v>
      </c>
    </row>
    <row r="72" spans="1:3" x14ac:dyDescent="0.25">
      <c r="A72" s="98">
        <v>65</v>
      </c>
      <c r="B72" s="103">
        <v>19.166</v>
      </c>
      <c r="C72" s="103">
        <v>18.166</v>
      </c>
    </row>
    <row r="73" spans="1:3" x14ac:dyDescent="0.25">
      <c r="A73" s="98">
        <v>66</v>
      </c>
      <c r="B73" s="103">
        <v>18.501000000000001</v>
      </c>
      <c r="C73" s="103">
        <v>17.501000000000001</v>
      </c>
    </row>
    <row r="74" spans="1:3" x14ac:dyDescent="0.25">
      <c r="A74" s="98">
        <v>67</v>
      </c>
      <c r="B74" s="103">
        <v>17.835000000000001</v>
      </c>
      <c r="C74" s="103">
        <v>16.835999999999999</v>
      </c>
    </row>
    <row r="75" spans="1:3" x14ac:dyDescent="0.25">
      <c r="A75" s="98">
        <v>68</v>
      </c>
      <c r="B75" s="103">
        <v>17.170000000000002</v>
      </c>
      <c r="C75" s="103">
        <v>16.173999999999999</v>
      </c>
    </row>
    <row r="76" spans="1:3" x14ac:dyDescent="0.25">
      <c r="A76" s="98">
        <v>69</v>
      </c>
      <c r="B76" s="103">
        <v>16.484000000000002</v>
      </c>
      <c r="C76" s="103">
        <v>15.516</v>
      </c>
    </row>
    <row r="77" spans="1:3" x14ac:dyDescent="0.25">
      <c r="A77" s="98">
        <v>70</v>
      </c>
      <c r="B77" s="103">
        <v>15.8</v>
      </c>
      <c r="C77" s="103">
        <v>14.862</v>
      </c>
    </row>
    <row r="78" spans="1:3" x14ac:dyDescent="0.25">
      <c r="A78" s="98">
        <v>71</v>
      </c>
      <c r="B78" s="103">
        <v>15.138999999999999</v>
      </c>
      <c r="C78" s="103">
        <v>14.211</v>
      </c>
    </row>
    <row r="79" spans="1:3" x14ac:dyDescent="0.25">
      <c r="A79" s="98">
        <v>72</v>
      </c>
      <c r="B79" s="103">
        <v>14.478999999999999</v>
      </c>
      <c r="C79" s="103">
        <v>13.563000000000001</v>
      </c>
    </row>
    <row r="80" spans="1:3" x14ac:dyDescent="0.25">
      <c r="A80" s="98">
        <v>73</v>
      </c>
      <c r="B80" s="103">
        <v>13.819000000000001</v>
      </c>
      <c r="C80" s="103">
        <v>12.917999999999999</v>
      </c>
    </row>
    <row r="81" spans="1:3" x14ac:dyDescent="0.25">
      <c r="A81" s="98">
        <v>74</v>
      </c>
      <c r="B81" s="103">
        <v>13.122999999999999</v>
      </c>
      <c r="C81" s="103">
        <v>12.276999999999999</v>
      </c>
    </row>
    <row r="82" spans="1:3" x14ac:dyDescent="0.25">
      <c r="A82" s="98">
        <v>75</v>
      </c>
      <c r="B82" s="103">
        <v>12.43</v>
      </c>
      <c r="C82" s="103">
        <v>11.641</v>
      </c>
    </row>
    <row r="83" spans="1:3" x14ac:dyDescent="0.25">
      <c r="A83" s="98">
        <v>76</v>
      </c>
      <c r="B83" s="103">
        <v>11.781000000000001</v>
      </c>
      <c r="C83" s="103">
        <v>11.012</v>
      </c>
    </row>
    <row r="84" spans="1:3" x14ac:dyDescent="0.25">
      <c r="A84" s="98">
        <v>77</v>
      </c>
      <c r="B84" s="103">
        <v>11.137</v>
      </c>
      <c r="C84" s="103">
        <v>10.391999999999999</v>
      </c>
    </row>
    <row r="85" spans="1:3" x14ac:dyDescent="0.25">
      <c r="A85" s="98">
        <v>78</v>
      </c>
      <c r="B85" s="103">
        <v>10.502000000000001</v>
      </c>
      <c r="C85" s="103">
        <v>9.782</v>
      </c>
    </row>
    <row r="86" spans="1:3" x14ac:dyDescent="0.25">
      <c r="A86" s="98">
        <v>79</v>
      </c>
      <c r="B86" s="103">
        <v>9.8330000000000002</v>
      </c>
      <c r="C86" s="103">
        <v>9.1859999999999999</v>
      </c>
    </row>
    <row r="87" spans="1:3" x14ac:dyDescent="0.25">
      <c r="A87" s="98">
        <v>80</v>
      </c>
      <c r="B87" s="103">
        <v>9.1790000000000003</v>
      </c>
      <c r="C87" s="103">
        <v>8.6050000000000004</v>
      </c>
    </row>
    <row r="88" spans="1:3" x14ac:dyDescent="0.25">
      <c r="A88" s="98">
        <v>81</v>
      </c>
      <c r="B88" s="103">
        <v>8.5869999999999997</v>
      </c>
      <c r="C88" s="103">
        <v>8.0429999999999993</v>
      </c>
    </row>
    <row r="89" spans="1:3" x14ac:dyDescent="0.25">
      <c r="A89" s="98">
        <v>82</v>
      </c>
      <c r="B89" s="103">
        <v>8.0120000000000005</v>
      </c>
      <c r="C89" s="103">
        <v>7.5</v>
      </c>
    </row>
    <row r="90" spans="1:3" x14ac:dyDescent="0.25">
      <c r="A90" s="98">
        <v>83</v>
      </c>
      <c r="B90" s="103">
        <v>7.4580000000000002</v>
      </c>
      <c r="C90" s="103">
        <v>6.9770000000000003</v>
      </c>
    </row>
    <row r="91" spans="1:3" x14ac:dyDescent="0.25">
      <c r="A91" s="98">
        <v>84</v>
      </c>
      <c r="B91" s="103">
        <v>6.8840000000000003</v>
      </c>
      <c r="C91" s="103">
        <v>6.4770000000000003</v>
      </c>
    </row>
    <row r="92" spans="1:3" x14ac:dyDescent="0.25">
      <c r="A92" s="98">
        <v>85</v>
      </c>
      <c r="B92" s="103">
        <v>6.335</v>
      </c>
      <c r="C92" s="103">
        <v>5.9989999999999997</v>
      </c>
    </row>
    <row r="93" spans="1:3" x14ac:dyDescent="0.25">
      <c r="A93" s="98">
        <v>86</v>
      </c>
      <c r="B93" s="103">
        <v>5.8529999999999998</v>
      </c>
      <c r="C93" s="103">
        <v>5.5460000000000003</v>
      </c>
    </row>
    <row r="94" spans="1:3" x14ac:dyDescent="0.25">
      <c r="A94" s="98">
        <v>87</v>
      </c>
      <c r="B94" s="103">
        <v>5.3979999999999997</v>
      </c>
      <c r="C94" s="103">
        <v>5.117</v>
      </c>
    </row>
    <row r="95" spans="1:3" x14ac:dyDescent="0.25">
      <c r="A95" s="98">
        <v>88</v>
      </c>
      <c r="B95" s="103">
        <v>4.9720000000000004</v>
      </c>
      <c r="C95" s="103">
        <v>4.7160000000000002</v>
      </c>
    </row>
    <row r="96" spans="1:3" x14ac:dyDescent="0.25">
      <c r="A96" s="98">
        <v>89</v>
      </c>
      <c r="B96" s="103">
        <v>4.5410000000000004</v>
      </c>
      <c r="C96" s="103">
        <v>4.3410000000000002</v>
      </c>
    </row>
    <row r="97" spans="1:3" x14ac:dyDescent="0.25">
      <c r="A97" s="98">
        <v>90</v>
      </c>
      <c r="B97" s="103">
        <v>4.141</v>
      </c>
      <c r="C97" s="103">
        <v>3.9929999999999999</v>
      </c>
    </row>
    <row r="98" spans="1:3" x14ac:dyDescent="0.25">
      <c r="A98" s="98">
        <v>91</v>
      </c>
      <c r="B98" s="103">
        <v>3.8039999999999998</v>
      </c>
      <c r="C98" s="103">
        <v>3.673</v>
      </c>
    </row>
    <row r="99" spans="1:3" x14ac:dyDescent="0.25">
      <c r="A99" s="98">
        <v>92</v>
      </c>
      <c r="B99" s="103">
        <v>3.4969999999999999</v>
      </c>
      <c r="C99" s="103">
        <v>3.3809999999999998</v>
      </c>
    </row>
    <row r="100" spans="1:3" x14ac:dyDescent="0.25">
      <c r="A100" s="98">
        <v>93</v>
      </c>
      <c r="B100" s="103">
        <v>3.218</v>
      </c>
      <c r="C100" s="103">
        <v>3.117</v>
      </c>
    </row>
    <row r="101" spans="1:3" x14ac:dyDescent="0.25">
      <c r="A101" s="98">
        <v>94</v>
      </c>
      <c r="B101" s="103">
        <v>2.9649999999999999</v>
      </c>
      <c r="C101" s="103">
        <v>2.8780000000000001</v>
      </c>
    </row>
    <row r="102" spans="1:3" x14ac:dyDescent="0.25">
      <c r="A102" s="98">
        <v>95</v>
      </c>
      <c r="B102" s="103">
        <v>2.7360000000000002</v>
      </c>
      <c r="C102" s="103">
        <v>2.6640000000000001</v>
      </c>
    </row>
    <row r="103" spans="1:3" x14ac:dyDescent="0.25">
      <c r="A103" s="98">
        <v>96</v>
      </c>
      <c r="B103" s="103">
        <v>2.5329999999999999</v>
      </c>
      <c r="C103" s="103">
        <v>2.4740000000000002</v>
      </c>
    </row>
    <row r="104" spans="1:3" x14ac:dyDescent="0.25">
      <c r="A104" s="98">
        <v>97</v>
      </c>
      <c r="B104" s="103">
        <v>2.3519999999999999</v>
      </c>
      <c r="C104" s="103">
        <v>2.306</v>
      </c>
    </row>
    <row r="105" spans="1:3" x14ac:dyDescent="0.25">
      <c r="A105" s="98">
        <v>98</v>
      </c>
      <c r="B105" s="103">
        <v>2.1949999999999998</v>
      </c>
      <c r="C105" s="103">
        <v>2.1589999999999998</v>
      </c>
    </row>
    <row r="106" spans="1:3" x14ac:dyDescent="0.25">
      <c r="A106" s="98">
        <v>99</v>
      </c>
      <c r="B106" s="103">
        <v>2.069</v>
      </c>
      <c r="C106" s="103">
        <v>2.0430000000000001</v>
      </c>
    </row>
    <row r="107" spans="1:3" x14ac:dyDescent="0.25">
      <c r="A107" s="98">
        <v>100</v>
      </c>
      <c r="B107" s="103">
        <v>1.978</v>
      </c>
      <c r="C107" s="103">
        <v>1.9570000000000001</v>
      </c>
    </row>
  </sheetData>
  <sheetProtection algorithmName="SHA-512" hashValue="2vGNRTynrhwwSs1QTZH14j9i0LfdpsFdT2rWIyxBn/3x6UdQZL8ydIahXkSmlEWgVjtm0Ev9lpTb34FASzz7Ug==" saltValue="jZl7+2TsQncnxApMZS1+oA==" spinCount="100000" sheet="1" objects="1" scenarios="1"/>
  <conditionalFormatting sqref="A6:A21">
    <cfRule type="expression" dxfId="617" priority="11" stopIfTrue="1">
      <formula>MOD(ROW(),2)=0</formula>
    </cfRule>
    <cfRule type="expression" dxfId="616" priority="12" stopIfTrue="1">
      <formula>MOD(ROW(),2)&lt;&gt;0</formula>
    </cfRule>
  </conditionalFormatting>
  <conditionalFormatting sqref="A26:A107">
    <cfRule type="expression" dxfId="615" priority="3" stopIfTrue="1">
      <formula>MOD(ROW(),2)=0</formula>
    </cfRule>
    <cfRule type="expression" dxfId="614" priority="4" stopIfTrue="1">
      <formula>MOD(ROW(),2)&lt;&gt;0</formula>
    </cfRule>
  </conditionalFormatting>
  <conditionalFormatting sqref="B17:B21">
    <cfRule type="expression" dxfId="613" priority="1" stopIfTrue="1">
      <formula>MOD(ROW(),2)=0</formula>
    </cfRule>
    <cfRule type="expression" dxfId="612" priority="2" stopIfTrue="1">
      <formula>MOD(ROW(),2)&lt;&gt;0</formula>
    </cfRule>
  </conditionalFormatting>
  <conditionalFormatting sqref="B6:C21">
    <cfRule type="expression" dxfId="611" priority="19" stopIfTrue="1">
      <formula>MOD(ROW(),2)=0</formula>
    </cfRule>
    <cfRule type="expression" dxfId="610" priority="20" stopIfTrue="1">
      <formula>MOD(ROW(),2)&lt;&gt;0</formula>
    </cfRule>
  </conditionalFormatting>
  <conditionalFormatting sqref="B26:C107">
    <cfRule type="expression" dxfId="609" priority="5" stopIfTrue="1">
      <formula>MOD(ROW(),2)=0</formula>
    </cfRule>
    <cfRule type="expression" dxfId="608" priority="6" stopIfTrue="1">
      <formula>MOD(ROW(),2)&lt;&gt;0</formula>
    </cfRule>
  </conditionalFormatting>
  <hyperlinks>
    <hyperlink ref="B24" location="Assumptions!A1" display="Assumptions" xr:uid="{E25482DB-C6B7-442F-A57D-F1B851D064B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1"/>
  <dimension ref="A1:I107"/>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Triv Comm - x-503</v>
      </c>
      <c r="B3" s="40"/>
      <c r="C3" s="40"/>
      <c r="D3" s="40"/>
      <c r="E3" s="40"/>
      <c r="F3" s="40"/>
      <c r="G3" s="40"/>
      <c r="H3" s="40"/>
      <c r="I3" s="40"/>
    </row>
    <row r="4" spans="1:9" x14ac:dyDescent="0.25">
      <c r="A4" s="42"/>
    </row>
    <row r="6" spans="1:9" ht="13" x14ac:dyDescent="0.3">
      <c r="A6" s="75" t="s">
        <v>274</v>
      </c>
      <c r="B6" s="161" t="s">
        <v>275</v>
      </c>
      <c r="C6" s="161"/>
    </row>
    <row r="7" spans="1:9" x14ac:dyDescent="0.25">
      <c r="A7" s="77" t="s">
        <v>276</v>
      </c>
      <c r="B7" s="161" t="s">
        <v>72</v>
      </c>
      <c r="C7" s="161"/>
    </row>
    <row r="8" spans="1:9" x14ac:dyDescent="0.25">
      <c r="A8" s="77" t="s">
        <v>278</v>
      </c>
      <c r="B8" s="161" t="s">
        <v>73</v>
      </c>
      <c r="C8" s="161"/>
    </row>
    <row r="9" spans="1:9" x14ac:dyDescent="0.25">
      <c r="A9" s="77" t="s">
        <v>280</v>
      </c>
      <c r="B9" s="161" t="s">
        <v>500</v>
      </c>
      <c r="C9" s="161"/>
    </row>
    <row r="10" spans="1:9" x14ac:dyDescent="0.25">
      <c r="A10" s="77" t="s">
        <v>6</v>
      </c>
      <c r="B10" s="161" t="s">
        <v>506</v>
      </c>
      <c r="C10" s="161"/>
    </row>
    <row r="11" spans="1:9" x14ac:dyDescent="0.25">
      <c r="A11" s="77" t="s">
        <v>283</v>
      </c>
      <c r="B11" s="161" t="s">
        <v>355</v>
      </c>
      <c r="C11" s="161"/>
    </row>
    <row r="12" spans="1:9" x14ac:dyDescent="0.25">
      <c r="A12" s="77" t="s">
        <v>285</v>
      </c>
      <c r="B12" s="161" t="s">
        <v>417</v>
      </c>
      <c r="C12" s="161"/>
    </row>
    <row r="13" spans="1:9" x14ac:dyDescent="0.25">
      <c r="A13" s="77" t="s">
        <v>287</v>
      </c>
      <c r="B13" s="161">
        <v>0</v>
      </c>
      <c r="C13" s="161"/>
    </row>
    <row r="14" spans="1:9" x14ac:dyDescent="0.25">
      <c r="A14" s="77" t="s">
        <v>289</v>
      </c>
      <c r="B14" s="161">
        <v>503</v>
      </c>
      <c r="C14" s="161"/>
    </row>
    <row r="15" spans="1:9" x14ac:dyDescent="0.25">
      <c r="A15" s="77" t="s">
        <v>291</v>
      </c>
      <c r="B15" s="161" t="s">
        <v>507</v>
      </c>
      <c r="C15" s="161"/>
    </row>
    <row r="16" spans="1:9" x14ac:dyDescent="0.25">
      <c r="A16" s="77" t="s">
        <v>293</v>
      </c>
      <c r="B16" s="161" t="s">
        <v>508</v>
      </c>
      <c r="C16" s="161"/>
    </row>
    <row r="17" spans="1:3" x14ac:dyDescent="0.25">
      <c r="A17" s="74" t="s">
        <v>760</v>
      </c>
      <c r="B17" s="161"/>
      <c r="C17" s="161"/>
    </row>
    <row r="18" spans="1:3" x14ac:dyDescent="0.25">
      <c r="A18" s="77" t="s">
        <v>297</v>
      </c>
      <c r="B18" s="163">
        <v>45138</v>
      </c>
      <c r="C18" s="161"/>
    </row>
    <row r="19" spans="1:3" x14ac:dyDescent="0.25">
      <c r="A19" s="77" t="s">
        <v>299</v>
      </c>
      <c r="B19" s="163">
        <v>45138</v>
      </c>
      <c r="C19" s="161"/>
    </row>
    <row r="20" spans="1:3" x14ac:dyDescent="0.25">
      <c r="A20" s="77" t="s">
        <v>301</v>
      </c>
      <c r="B20" s="161" t="s">
        <v>314</v>
      </c>
      <c r="C20" s="161"/>
    </row>
    <row r="21" spans="1:3" x14ac:dyDescent="0.25">
      <c r="A21" s="77" t="s">
        <v>307</v>
      </c>
      <c r="B21" s="161" t="s">
        <v>315</v>
      </c>
      <c r="C21" s="161"/>
    </row>
    <row r="23" spans="1:3" x14ac:dyDescent="0.25">
      <c r="B23" s="100" t="str">
        <f>HYPERLINK("#'Factor List'!A1","Back to Factor List")</f>
        <v>Back to Factor List</v>
      </c>
    </row>
    <row r="24" spans="1:3" x14ac:dyDescent="0.25">
      <c r="B24" s="100" t="s">
        <v>13</v>
      </c>
    </row>
    <row r="26" spans="1:3" ht="26" x14ac:dyDescent="0.25">
      <c r="A26" s="97" t="s">
        <v>417</v>
      </c>
      <c r="B26" s="97" t="s">
        <v>808</v>
      </c>
      <c r="C26" s="97" t="s">
        <v>809</v>
      </c>
    </row>
    <row r="27" spans="1:3" x14ac:dyDescent="0.25">
      <c r="A27" s="98">
        <v>20</v>
      </c>
      <c r="B27" s="103">
        <v>0</v>
      </c>
      <c r="C27" s="103">
        <v>40.262999999999998</v>
      </c>
    </row>
    <row r="28" spans="1:3" x14ac:dyDescent="0.25">
      <c r="A28" s="98">
        <v>21</v>
      </c>
      <c r="B28" s="103">
        <v>0</v>
      </c>
      <c r="C28" s="103">
        <v>39.918999999999997</v>
      </c>
    </row>
    <row r="29" spans="1:3" x14ac:dyDescent="0.25">
      <c r="A29" s="98">
        <v>22</v>
      </c>
      <c r="B29" s="103">
        <v>0</v>
      </c>
      <c r="C29" s="103">
        <v>39.569000000000003</v>
      </c>
    </row>
    <row r="30" spans="1:3" x14ac:dyDescent="0.25">
      <c r="A30" s="98">
        <v>23</v>
      </c>
      <c r="B30" s="103">
        <v>0</v>
      </c>
      <c r="C30" s="103">
        <v>39.213000000000001</v>
      </c>
    </row>
    <row r="31" spans="1:3" x14ac:dyDescent="0.25">
      <c r="A31" s="98">
        <v>24</v>
      </c>
      <c r="B31" s="103">
        <v>0</v>
      </c>
      <c r="C31" s="103">
        <v>38.850999999999999</v>
      </c>
    </row>
    <row r="32" spans="1:3" x14ac:dyDescent="0.25">
      <c r="A32" s="98">
        <v>25</v>
      </c>
      <c r="B32" s="103">
        <v>0</v>
      </c>
      <c r="C32" s="103">
        <v>38.482999999999997</v>
      </c>
    </row>
    <row r="33" spans="1:3" x14ac:dyDescent="0.25">
      <c r="A33" s="98">
        <v>26</v>
      </c>
      <c r="B33" s="103">
        <v>0</v>
      </c>
      <c r="C33" s="103">
        <v>38.107999999999997</v>
      </c>
    </row>
    <row r="34" spans="1:3" x14ac:dyDescent="0.25">
      <c r="A34" s="98">
        <v>27</v>
      </c>
      <c r="B34" s="103">
        <v>0</v>
      </c>
      <c r="C34" s="103">
        <v>37.726999999999997</v>
      </c>
    </row>
    <row r="35" spans="1:3" x14ac:dyDescent="0.25">
      <c r="A35" s="98">
        <v>28</v>
      </c>
      <c r="B35" s="103">
        <v>0</v>
      </c>
      <c r="C35" s="103">
        <v>37.340000000000003</v>
      </c>
    </row>
    <row r="36" spans="1:3" x14ac:dyDescent="0.25">
      <c r="A36" s="98">
        <v>29</v>
      </c>
      <c r="B36" s="103">
        <v>0</v>
      </c>
      <c r="C36" s="103">
        <v>36.947000000000003</v>
      </c>
    </row>
    <row r="37" spans="1:3" x14ac:dyDescent="0.25">
      <c r="A37" s="98">
        <v>30</v>
      </c>
      <c r="B37" s="103">
        <v>0</v>
      </c>
      <c r="C37" s="103">
        <v>36.548000000000002</v>
      </c>
    </row>
    <row r="38" spans="1:3" x14ac:dyDescent="0.25">
      <c r="A38" s="98">
        <v>31</v>
      </c>
      <c r="B38" s="103">
        <v>0</v>
      </c>
      <c r="C38" s="103">
        <v>36.142000000000003</v>
      </c>
    </row>
    <row r="39" spans="1:3" x14ac:dyDescent="0.25">
      <c r="A39" s="98">
        <v>32</v>
      </c>
      <c r="B39" s="103">
        <v>0</v>
      </c>
      <c r="C39" s="103">
        <v>35.729999999999997</v>
      </c>
    </row>
    <row r="40" spans="1:3" x14ac:dyDescent="0.25">
      <c r="A40" s="98">
        <v>33</v>
      </c>
      <c r="B40" s="103">
        <v>0</v>
      </c>
      <c r="C40" s="103">
        <v>35.311</v>
      </c>
    </row>
    <row r="41" spans="1:3" x14ac:dyDescent="0.25">
      <c r="A41" s="98">
        <v>34</v>
      </c>
      <c r="B41" s="103">
        <v>0</v>
      </c>
      <c r="C41" s="103">
        <v>34.886000000000003</v>
      </c>
    </row>
    <row r="42" spans="1:3" x14ac:dyDescent="0.25">
      <c r="A42" s="98">
        <v>35</v>
      </c>
      <c r="B42" s="103">
        <v>0</v>
      </c>
      <c r="C42" s="103">
        <v>34.453000000000003</v>
      </c>
    </row>
    <row r="43" spans="1:3" x14ac:dyDescent="0.25">
      <c r="A43" s="98">
        <v>36</v>
      </c>
      <c r="B43" s="103">
        <v>0</v>
      </c>
      <c r="C43" s="103">
        <v>34.014000000000003</v>
      </c>
    </row>
    <row r="44" spans="1:3" x14ac:dyDescent="0.25">
      <c r="A44" s="98">
        <v>37</v>
      </c>
      <c r="B44" s="103">
        <v>0</v>
      </c>
      <c r="C44" s="103">
        <v>33.567999999999998</v>
      </c>
    </row>
    <row r="45" spans="1:3" x14ac:dyDescent="0.25">
      <c r="A45" s="98">
        <v>38</v>
      </c>
      <c r="B45" s="103">
        <v>0</v>
      </c>
      <c r="C45" s="103">
        <v>33.115000000000002</v>
      </c>
    </row>
    <row r="46" spans="1:3" x14ac:dyDescent="0.25">
      <c r="A46" s="98">
        <v>39</v>
      </c>
      <c r="B46" s="103">
        <v>0</v>
      </c>
      <c r="C46" s="103">
        <v>32.654000000000003</v>
      </c>
    </row>
    <row r="47" spans="1:3" x14ac:dyDescent="0.25">
      <c r="A47" s="98">
        <v>40</v>
      </c>
      <c r="B47" s="103">
        <v>0</v>
      </c>
      <c r="C47" s="103">
        <v>32.186999999999998</v>
      </c>
    </row>
    <row r="48" spans="1:3" x14ac:dyDescent="0.25">
      <c r="A48" s="98">
        <v>41</v>
      </c>
      <c r="B48" s="103">
        <v>0</v>
      </c>
      <c r="C48" s="103">
        <v>31.713000000000001</v>
      </c>
    </row>
    <row r="49" spans="1:3" x14ac:dyDescent="0.25">
      <c r="A49" s="98">
        <v>42</v>
      </c>
      <c r="B49" s="103">
        <v>0</v>
      </c>
      <c r="C49" s="103">
        <v>31.231000000000002</v>
      </c>
    </row>
    <row r="50" spans="1:3" x14ac:dyDescent="0.25">
      <c r="A50" s="98">
        <v>43</v>
      </c>
      <c r="B50" s="103">
        <v>0</v>
      </c>
      <c r="C50" s="103">
        <v>30.742999999999999</v>
      </c>
    </row>
    <row r="51" spans="1:3" x14ac:dyDescent="0.25">
      <c r="A51" s="98">
        <v>44</v>
      </c>
      <c r="B51" s="103">
        <v>0</v>
      </c>
      <c r="C51" s="103">
        <v>30.248000000000001</v>
      </c>
    </row>
    <row r="52" spans="1:3" x14ac:dyDescent="0.25">
      <c r="A52" s="98">
        <v>45</v>
      </c>
      <c r="B52" s="103">
        <v>0</v>
      </c>
      <c r="C52" s="103">
        <v>29.745000000000001</v>
      </c>
    </row>
    <row r="53" spans="1:3" x14ac:dyDescent="0.25">
      <c r="A53" s="98">
        <v>46</v>
      </c>
      <c r="B53" s="103">
        <v>0</v>
      </c>
      <c r="C53" s="103">
        <v>29.234999999999999</v>
      </c>
    </row>
    <row r="54" spans="1:3" x14ac:dyDescent="0.25">
      <c r="A54" s="98">
        <v>47</v>
      </c>
      <c r="B54" s="103">
        <v>0</v>
      </c>
      <c r="C54" s="103">
        <v>28.716999999999999</v>
      </c>
    </row>
    <row r="55" spans="1:3" x14ac:dyDescent="0.25">
      <c r="A55" s="98">
        <v>48</v>
      </c>
      <c r="B55" s="103">
        <v>0</v>
      </c>
      <c r="C55" s="103">
        <v>28.192</v>
      </c>
    </row>
    <row r="56" spans="1:3" x14ac:dyDescent="0.25">
      <c r="A56" s="98">
        <v>49</v>
      </c>
      <c r="B56" s="103">
        <v>0</v>
      </c>
      <c r="C56" s="103">
        <v>27.66</v>
      </c>
    </row>
    <row r="57" spans="1:3" x14ac:dyDescent="0.25">
      <c r="A57" s="98">
        <v>50</v>
      </c>
      <c r="B57" s="103">
        <v>0</v>
      </c>
      <c r="C57" s="103">
        <v>27.12</v>
      </c>
    </row>
    <row r="58" spans="1:3" x14ac:dyDescent="0.25">
      <c r="A58" s="98">
        <v>51</v>
      </c>
      <c r="B58" s="103">
        <v>0</v>
      </c>
      <c r="C58" s="103">
        <v>26.571999999999999</v>
      </c>
    </row>
    <row r="59" spans="1:3" x14ac:dyDescent="0.25">
      <c r="A59" s="98">
        <v>52</v>
      </c>
      <c r="B59" s="103">
        <v>0</v>
      </c>
      <c r="C59" s="103">
        <v>26.016999999999999</v>
      </c>
    </row>
    <row r="60" spans="1:3" x14ac:dyDescent="0.25">
      <c r="A60" s="98">
        <v>53</v>
      </c>
      <c r="B60" s="103">
        <v>0</v>
      </c>
      <c r="C60" s="103">
        <v>25.452999999999999</v>
      </c>
    </row>
    <row r="61" spans="1:3" x14ac:dyDescent="0.25">
      <c r="A61" s="98">
        <v>54</v>
      </c>
      <c r="B61" s="103">
        <v>0</v>
      </c>
      <c r="C61" s="103">
        <v>24.882000000000001</v>
      </c>
    </row>
    <row r="62" spans="1:3" x14ac:dyDescent="0.25">
      <c r="A62" s="98">
        <v>55</v>
      </c>
      <c r="B62" s="103">
        <v>25.219000000000001</v>
      </c>
      <c r="C62" s="103">
        <v>24.303999999999998</v>
      </c>
    </row>
    <row r="63" spans="1:3" x14ac:dyDescent="0.25">
      <c r="A63" s="98">
        <v>56</v>
      </c>
      <c r="B63" s="103">
        <v>24.635999999999999</v>
      </c>
      <c r="C63" s="103">
        <v>23.718</v>
      </c>
    </row>
    <row r="64" spans="1:3" x14ac:dyDescent="0.25">
      <c r="A64" s="98">
        <v>57</v>
      </c>
      <c r="B64" s="103">
        <v>24.045999999999999</v>
      </c>
      <c r="C64" s="103">
        <v>23.126000000000001</v>
      </c>
    </row>
    <row r="65" spans="1:3" x14ac:dyDescent="0.25">
      <c r="A65" s="98">
        <v>58</v>
      </c>
      <c r="B65" s="103">
        <v>23.449000000000002</v>
      </c>
      <c r="C65" s="103">
        <v>22.526</v>
      </c>
    </row>
    <row r="66" spans="1:3" x14ac:dyDescent="0.25">
      <c r="A66" s="98">
        <v>59</v>
      </c>
      <c r="B66" s="103">
        <v>22.846</v>
      </c>
      <c r="C66" s="103">
        <v>21.92</v>
      </c>
    </row>
    <row r="67" spans="1:3" x14ac:dyDescent="0.25">
      <c r="A67" s="98">
        <v>60</v>
      </c>
      <c r="B67" s="103">
        <v>22.236999999999998</v>
      </c>
      <c r="C67" s="103">
        <v>21.309000000000001</v>
      </c>
    </row>
    <row r="68" spans="1:3" x14ac:dyDescent="0.25">
      <c r="A68" s="98">
        <v>61</v>
      </c>
      <c r="B68" s="103">
        <v>21.623000000000001</v>
      </c>
      <c r="C68" s="103">
        <v>20.690999999999999</v>
      </c>
    </row>
    <row r="69" spans="1:3" x14ac:dyDescent="0.25">
      <c r="A69" s="98">
        <v>62</v>
      </c>
      <c r="B69" s="103">
        <v>21.003</v>
      </c>
      <c r="C69" s="103">
        <v>20.07</v>
      </c>
    </row>
    <row r="70" spans="1:3" x14ac:dyDescent="0.25">
      <c r="A70" s="98">
        <v>63</v>
      </c>
      <c r="B70" s="103">
        <v>20.378</v>
      </c>
      <c r="C70" s="103">
        <v>19.443999999999999</v>
      </c>
    </row>
    <row r="71" spans="1:3" x14ac:dyDescent="0.25">
      <c r="A71" s="98">
        <v>64</v>
      </c>
      <c r="B71" s="103">
        <v>19.748000000000001</v>
      </c>
      <c r="C71" s="103">
        <v>18.814</v>
      </c>
    </row>
    <row r="72" spans="1:3" x14ac:dyDescent="0.25">
      <c r="A72" s="98">
        <v>65</v>
      </c>
      <c r="B72" s="103">
        <v>19.113</v>
      </c>
      <c r="C72" s="103">
        <v>18.181999999999999</v>
      </c>
    </row>
    <row r="73" spans="1:3" x14ac:dyDescent="0.25">
      <c r="A73" s="98">
        <v>66</v>
      </c>
      <c r="B73" s="103">
        <v>18.475999999999999</v>
      </c>
      <c r="C73" s="103">
        <v>17.547000000000001</v>
      </c>
    </row>
    <row r="74" spans="1:3" x14ac:dyDescent="0.25">
      <c r="A74" s="98">
        <v>67</v>
      </c>
      <c r="B74" s="103">
        <v>17.835000000000001</v>
      </c>
      <c r="C74" s="103">
        <v>16.91</v>
      </c>
    </row>
    <row r="75" spans="1:3" x14ac:dyDescent="0.25">
      <c r="A75" s="98">
        <v>68</v>
      </c>
      <c r="B75" s="103">
        <v>17.172000000000001</v>
      </c>
      <c r="C75" s="103">
        <v>16.251000000000001</v>
      </c>
    </row>
    <row r="76" spans="1:3" x14ac:dyDescent="0.25">
      <c r="A76" s="98">
        <v>69</v>
      </c>
      <c r="B76" s="103">
        <v>16.47</v>
      </c>
      <c r="C76" s="103">
        <v>15.571</v>
      </c>
    </row>
    <row r="77" spans="1:3" x14ac:dyDescent="0.25">
      <c r="A77" s="98">
        <v>70</v>
      </c>
      <c r="B77" s="103">
        <v>15.768000000000001</v>
      </c>
      <c r="C77" s="103">
        <v>14.895</v>
      </c>
    </row>
    <row r="78" spans="1:3" x14ac:dyDescent="0.25">
      <c r="A78" s="98">
        <v>71</v>
      </c>
      <c r="B78" s="103">
        <v>15.09</v>
      </c>
      <c r="C78" s="103">
        <v>14.225</v>
      </c>
    </row>
    <row r="79" spans="1:3" x14ac:dyDescent="0.25">
      <c r="A79" s="98">
        <v>72</v>
      </c>
      <c r="B79" s="103">
        <v>14.420999999999999</v>
      </c>
      <c r="C79" s="103">
        <v>13.566000000000001</v>
      </c>
    </row>
    <row r="80" spans="1:3" x14ac:dyDescent="0.25">
      <c r="A80" s="98">
        <v>73</v>
      </c>
      <c r="B80" s="103">
        <v>13.759</v>
      </c>
      <c r="C80" s="103">
        <v>12.917999999999999</v>
      </c>
    </row>
    <row r="81" spans="1:3" x14ac:dyDescent="0.25">
      <c r="A81" s="98">
        <v>74</v>
      </c>
      <c r="B81" s="103">
        <v>13.068</v>
      </c>
      <c r="C81" s="103">
        <v>12.276999999999999</v>
      </c>
    </row>
    <row r="82" spans="1:3" x14ac:dyDescent="0.25">
      <c r="A82" s="98">
        <v>75</v>
      </c>
      <c r="B82" s="103">
        <v>12.379</v>
      </c>
      <c r="C82" s="103">
        <v>11.641</v>
      </c>
    </row>
    <row r="83" spans="1:3" x14ac:dyDescent="0.25">
      <c r="A83" s="98">
        <v>76</v>
      </c>
      <c r="B83" s="103">
        <v>11.73</v>
      </c>
      <c r="C83" s="103">
        <v>11.012</v>
      </c>
    </row>
    <row r="84" spans="1:3" x14ac:dyDescent="0.25">
      <c r="A84" s="98">
        <v>77</v>
      </c>
      <c r="B84" s="103">
        <v>11.087</v>
      </c>
      <c r="C84" s="103">
        <v>10.391999999999999</v>
      </c>
    </row>
    <row r="85" spans="1:3" x14ac:dyDescent="0.25">
      <c r="A85" s="98">
        <v>78</v>
      </c>
      <c r="B85" s="103">
        <v>10.452999999999999</v>
      </c>
      <c r="C85" s="103">
        <v>9.782</v>
      </c>
    </row>
    <row r="86" spans="1:3" x14ac:dyDescent="0.25">
      <c r="A86" s="98">
        <v>79</v>
      </c>
      <c r="B86" s="103">
        <v>9.7899999999999991</v>
      </c>
      <c r="C86" s="103">
        <v>9.1859999999999999</v>
      </c>
    </row>
    <row r="87" spans="1:3" x14ac:dyDescent="0.25">
      <c r="A87" s="98">
        <v>80</v>
      </c>
      <c r="B87" s="103">
        <v>9.141</v>
      </c>
      <c r="C87" s="103">
        <v>8.6050000000000004</v>
      </c>
    </row>
    <row r="88" spans="1:3" x14ac:dyDescent="0.25">
      <c r="A88" s="98">
        <v>81</v>
      </c>
      <c r="B88" s="103">
        <v>8.5489999999999995</v>
      </c>
      <c r="C88" s="103">
        <v>8.0429999999999993</v>
      </c>
    </row>
    <row r="89" spans="1:3" x14ac:dyDescent="0.25">
      <c r="A89" s="98">
        <v>82</v>
      </c>
      <c r="B89" s="103">
        <v>7.976</v>
      </c>
      <c r="C89" s="103">
        <v>7.5</v>
      </c>
    </row>
    <row r="90" spans="1:3" x14ac:dyDescent="0.25">
      <c r="A90" s="98">
        <v>83</v>
      </c>
      <c r="B90" s="103">
        <v>7.423</v>
      </c>
      <c r="C90" s="103">
        <v>6.9770000000000003</v>
      </c>
    </row>
    <row r="91" spans="1:3" x14ac:dyDescent="0.25">
      <c r="A91" s="98">
        <v>84</v>
      </c>
      <c r="B91" s="103">
        <v>6.8540000000000001</v>
      </c>
      <c r="C91" s="103">
        <v>6.4770000000000003</v>
      </c>
    </row>
    <row r="92" spans="1:3" x14ac:dyDescent="0.25">
      <c r="A92" s="98">
        <v>85</v>
      </c>
      <c r="B92" s="103">
        <v>6.31</v>
      </c>
      <c r="C92" s="103">
        <v>5.9989999999999997</v>
      </c>
    </row>
    <row r="93" spans="1:3" x14ac:dyDescent="0.25">
      <c r="A93" s="98">
        <v>86</v>
      </c>
      <c r="B93" s="103">
        <v>5.8289999999999997</v>
      </c>
      <c r="C93" s="103">
        <v>5.5460000000000003</v>
      </c>
    </row>
    <row r="94" spans="1:3" x14ac:dyDescent="0.25">
      <c r="A94" s="98">
        <v>87</v>
      </c>
      <c r="B94" s="103">
        <v>5.375</v>
      </c>
      <c r="C94" s="103">
        <v>5.117</v>
      </c>
    </row>
    <row r="95" spans="1:3" x14ac:dyDescent="0.25">
      <c r="A95" s="98">
        <v>88</v>
      </c>
      <c r="B95" s="103">
        <v>4.9509999999999996</v>
      </c>
      <c r="C95" s="103">
        <v>4.7160000000000002</v>
      </c>
    </row>
    <row r="96" spans="1:3" x14ac:dyDescent="0.25">
      <c r="A96" s="98">
        <v>89</v>
      </c>
      <c r="B96" s="103">
        <v>4.524</v>
      </c>
      <c r="C96" s="103">
        <v>4.3410000000000002</v>
      </c>
    </row>
    <row r="97" spans="1:3" x14ac:dyDescent="0.25">
      <c r="A97" s="98">
        <v>90</v>
      </c>
      <c r="B97" s="103">
        <v>4.1280000000000001</v>
      </c>
      <c r="C97" s="103">
        <v>3.9929999999999999</v>
      </c>
    </row>
    <row r="98" spans="1:3" x14ac:dyDescent="0.25">
      <c r="A98" s="98">
        <v>91</v>
      </c>
      <c r="B98" s="103">
        <v>3.7919999999999998</v>
      </c>
      <c r="C98" s="103">
        <v>3.673</v>
      </c>
    </row>
    <row r="99" spans="1:3" x14ac:dyDescent="0.25">
      <c r="A99" s="98">
        <v>92</v>
      </c>
      <c r="B99" s="103">
        <v>3.4860000000000002</v>
      </c>
      <c r="C99" s="103">
        <v>3.3809999999999998</v>
      </c>
    </row>
    <row r="100" spans="1:3" x14ac:dyDescent="0.25">
      <c r="A100" s="98">
        <v>93</v>
      </c>
      <c r="B100" s="103">
        <v>3.2069999999999999</v>
      </c>
      <c r="C100" s="103">
        <v>3.117</v>
      </c>
    </row>
    <row r="101" spans="1:3" x14ac:dyDescent="0.25">
      <c r="A101" s="98">
        <v>94</v>
      </c>
      <c r="B101" s="103">
        <v>2.9550000000000001</v>
      </c>
      <c r="C101" s="103">
        <v>2.8780000000000001</v>
      </c>
    </row>
    <row r="102" spans="1:3" x14ac:dyDescent="0.25">
      <c r="A102" s="98">
        <v>95</v>
      </c>
      <c r="B102" s="103">
        <v>2.7269999999999999</v>
      </c>
      <c r="C102" s="103">
        <v>2.6640000000000001</v>
      </c>
    </row>
    <row r="103" spans="1:3" x14ac:dyDescent="0.25">
      <c r="A103" s="98">
        <v>96</v>
      </c>
      <c r="B103" s="103">
        <v>2.524</v>
      </c>
      <c r="C103" s="103">
        <v>2.4740000000000002</v>
      </c>
    </row>
    <row r="104" spans="1:3" x14ac:dyDescent="0.25">
      <c r="A104" s="98">
        <v>97</v>
      </c>
      <c r="B104" s="103">
        <v>2.3439999999999999</v>
      </c>
      <c r="C104" s="103">
        <v>2.306</v>
      </c>
    </row>
    <row r="105" spans="1:3" x14ac:dyDescent="0.25">
      <c r="A105" s="98">
        <v>98</v>
      </c>
      <c r="B105" s="103">
        <v>2.1869999999999998</v>
      </c>
      <c r="C105" s="103">
        <v>2.1589999999999998</v>
      </c>
    </row>
    <row r="106" spans="1:3" x14ac:dyDescent="0.25">
      <c r="A106" s="98">
        <v>99</v>
      </c>
      <c r="B106" s="103">
        <v>2.0619999999999998</v>
      </c>
      <c r="C106" s="103">
        <v>2.0430000000000001</v>
      </c>
    </row>
    <row r="107" spans="1:3" x14ac:dyDescent="0.25">
      <c r="A107" s="98">
        <v>100</v>
      </c>
      <c r="B107" s="103">
        <v>1.9710000000000001</v>
      </c>
      <c r="C107" s="103">
        <v>1.9570000000000001</v>
      </c>
    </row>
  </sheetData>
  <sheetProtection algorithmName="SHA-512" hashValue="OJVUWafTIvN3PbTld+yGc41+fa+7hyzc9QYBjZ95LCDkjIdmhdeAuboWaRL/M5LjsIWsW3bAwTGzIZoA/uD4Lg==" saltValue="wdlKH5Kh8eHqBP7PEQD8CQ==" spinCount="100000" sheet="1" objects="1" scenarios="1"/>
  <conditionalFormatting sqref="A6:A21">
    <cfRule type="expression" dxfId="607" priority="11" stopIfTrue="1">
      <formula>MOD(ROW(),2)=0</formula>
    </cfRule>
    <cfRule type="expression" dxfId="606" priority="12" stopIfTrue="1">
      <formula>MOD(ROW(),2)&lt;&gt;0</formula>
    </cfRule>
  </conditionalFormatting>
  <conditionalFormatting sqref="A26:A107">
    <cfRule type="expression" dxfId="605" priority="3" stopIfTrue="1">
      <formula>MOD(ROW(),2)=0</formula>
    </cfRule>
    <cfRule type="expression" dxfId="604" priority="4" stopIfTrue="1">
      <formula>MOD(ROW(),2)&lt;&gt;0</formula>
    </cfRule>
  </conditionalFormatting>
  <conditionalFormatting sqref="B17:B21">
    <cfRule type="expression" dxfId="603" priority="1" stopIfTrue="1">
      <formula>MOD(ROW(),2)=0</formula>
    </cfRule>
    <cfRule type="expression" dxfId="602" priority="2" stopIfTrue="1">
      <formula>MOD(ROW(),2)&lt;&gt;0</formula>
    </cfRule>
  </conditionalFormatting>
  <conditionalFormatting sqref="B6:C21">
    <cfRule type="expression" dxfId="601" priority="19" stopIfTrue="1">
      <formula>MOD(ROW(),2)=0</formula>
    </cfRule>
    <cfRule type="expression" dxfId="600" priority="20" stopIfTrue="1">
      <formula>MOD(ROW(),2)&lt;&gt;0</formula>
    </cfRule>
  </conditionalFormatting>
  <conditionalFormatting sqref="B26:C107">
    <cfRule type="expression" dxfId="599" priority="5" stopIfTrue="1">
      <formula>MOD(ROW(),2)=0</formula>
    </cfRule>
    <cfRule type="expression" dxfId="598" priority="6" stopIfTrue="1">
      <formula>MOD(ROW(),2)&lt;&gt;0</formula>
    </cfRule>
  </conditionalFormatting>
  <hyperlinks>
    <hyperlink ref="B24" location="Assumptions!A1" display="Assumptions" xr:uid="{B0F72E4F-05AE-4B17-8C00-181DF29AD1A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2"/>
  <dimension ref="A1:I52"/>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Inverse Comm - x-504</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v>1995</v>
      </c>
    </row>
    <row r="9" spans="1:9" x14ac:dyDescent="0.25">
      <c r="A9" s="77" t="s">
        <v>280</v>
      </c>
      <c r="B9" s="161" t="s">
        <v>509</v>
      </c>
    </row>
    <row r="10" spans="1:9" x14ac:dyDescent="0.25">
      <c r="A10" s="77" t="s">
        <v>6</v>
      </c>
      <c r="B10" s="161" t="s">
        <v>510</v>
      </c>
    </row>
    <row r="11" spans="1:9" x14ac:dyDescent="0.25">
      <c r="A11" s="77" t="s">
        <v>283</v>
      </c>
      <c r="B11" s="161" t="s">
        <v>355</v>
      </c>
    </row>
    <row r="12" spans="1:9" x14ac:dyDescent="0.25">
      <c r="A12" s="77" t="s">
        <v>285</v>
      </c>
      <c r="B12" s="161" t="s">
        <v>417</v>
      </c>
    </row>
    <row r="13" spans="1:9" x14ac:dyDescent="0.25">
      <c r="A13" s="77" t="s">
        <v>287</v>
      </c>
      <c r="B13" s="161">
        <v>1</v>
      </c>
    </row>
    <row r="14" spans="1:9" x14ac:dyDescent="0.25">
      <c r="A14" s="77" t="s">
        <v>289</v>
      </c>
      <c r="B14" s="161">
        <v>504</v>
      </c>
    </row>
    <row r="15" spans="1:9" x14ac:dyDescent="0.25">
      <c r="A15" s="77" t="s">
        <v>291</v>
      </c>
      <c r="B15" s="161" t="s">
        <v>511</v>
      </c>
    </row>
    <row r="16" spans="1:9" x14ac:dyDescent="0.25">
      <c r="A16" s="77" t="s">
        <v>293</v>
      </c>
      <c r="B16" s="161" t="s">
        <v>512</v>
      </c>
    </row>
    <row r="17" spans="1:2" x14ac:dyDescent="0.25">
      <c r="A17" s="74" t="s">
        <v>760</v>
      </c>
      <c r="B17" s="161"/>
    </row>
    <row r="18" spans="1:2" x14ac:dyDescent="0.25">
      <c r="A18" s="77" t="s">
        <v>297</v>
      </c>
      <c r="B18" s="163">
        <v>45138</v>
      </c>
    </row>
    <row r="19" spans="1:2" x14ac:dyDescent="0.25">
      <c r="A19" s="77" t="s">
        <v>299</v>
      </c>
      <c r="B19" s="163">
        <v>45138</v>
      </c>
    </row>
    <row r="20" spans="1:2" x14ac:dyDescent="0.25">
      <c r="A20" s="77" t="s">
        <v>301</v>
      </c>
      <c r="B20" s="161" t="s">
        <v>314</v>
      </c>
    </row>
    <row r="21" spans="1:2" x14ac:dyDescent="0.25">
      <c r="A21" s="77" t="s">
        <v>307</v>
      </c>
      <c r="B21" s="161" t="s">
        <v>315</v>
      </c>
    </row>
    <row r="23" spans="1:2" x14ac:dyDescent="0.25">
      <c r="B23" s="100" t="str">
        <f>HYPERLINK("#'Factor List'!A1","Back to Factor List")</f>
        <v>Back to Factor List</v>
      </c>
    </row>
    <row r="24" spans="1:2" x14ac:dyDescent="0.25">
      <c r="B24" s="100" t="s">
        <v>13</v>
      </c>
    </row>
    <row r="26" spans="1:2" ht="26" x14ac:dyDescent="0.25">
      <c r="A26" s="97" t="s">
        <v>417</v>
      </c>
      <c r="B26" s="97" t="s">
        <v>510</v>
      </c>
    </row>
    <row r="27" spans="1:2" x14ac:dyDescent="0.25">
      <c r="A27" s="98">
        <v>75</v>
      </c>
      <c r="B27" s="103">
        <v>11.917999999999999</v>
      </c>
    </row>
    <row r="28" spans="1:2" x14ac:dyDescent="0.25">
      <c r="A28" s="98">
        <v>76</v>
      </c>
      <c r="B28" s="103">
        <v>11.273999999999999</v>
      </c>
    </row>
    <row r="29" spans="1:2" x14ac:dyDescent="0.25">
      <c r="A29" s="98">
        <v>77</v>
      </c>
      <c r="B29" s="103">
        <v>10.638</v>
      </c>
    </row>
    <row r="30" spans="1:2" x14ac:dyDescent="0.25">
      <c r="A30" s="98">
        <v>78</v>
      </c>
      <c r="B30" s="103">
        <v>10.010999999999999</v>
      </c>
    </row>
    <row r="31" spans="1:2" x14ac:dyDescent="0.25">
      <c r="A31" s="98">
        <v>79</v>
      </c>
      <c r="B31" s="103">
        <v>9.3970000000000002</v>
      </c>
    </row>
    <row r="32" spans="1:2" x14ac:dyDescent="0.25">
      <c r="A32" s="98">
        <v>80</v>
      </c>
      <c r="B32" s="103">
        <v>8.7970000000000006</v>
      </c>
    </row>
    <row r="33" spans="1:2" x14ac:dyDescent="0.25">
      <c r="A33" s="98">
        <v>81</v>
      </c>
      <c r="B33" s="103">
        <v>8.2140000000000004</v>
      </c>
    </row>
    <row r="34" spans="1:2" x14ac:dyDescent="0.25">
      <c r="A34" s="98">
        <v>82</v>
      </c>
      <c r="B34" s="103">
        <v>7.649</v>
      </c>
    </row>
    <row r="35" spans="1:2" x14ac:dyDescent="0.25">
      <c r="A35" s="98">
        <v>83</v>
      </c>
      <c r="B35" s="103">
        <v>7.1059999999999999</v>
      </c>
    </row>
    <row r="36" spans="1:2" x14ac:dyDescent="0.25">
      <c r="A36" s="98">
        <v>84</v>
      </c>
      <c r="B36" s="103">
        <v>6.585</v>
      </c>
    </row>
    <row r="37" spans="1:2" x14ac:dyDescent="0.25">
      <c r="A37" s="98">
        <v>85</v>
      </c>
      <c r="B37" s="103">
        <v>6.0869999999999997</v>
      </c>
    </row>
    <row r="38" spans="1:2" x14ac:dyDescent="0.25">
      <c r="A38" s="98">
        <v>86</v>
      </c>
      <c r="B38" s="103">
        <v>5.6150000000000002</v>
      </c>
    </row>
    <row r="39" spans="1:2" x14ac:dyDescent="0.25">
      <c r="A39" s="98">
        <v>87</v>
      </c>
      <c r="B39" s="103">
        <v>5.1710000000000003</v>
      </c>
    </row>
    <row r="40" spans="1:2" x14ac:dyDescent="0.25">
      <c r="A40" s="98">
        <v>88</v>
      </c>
      <c r="B40" s="103">
        <v>4.7560000000000002</v>
      </c>
    </row>
    <row r="41" spans="1:2" x14ac:dyDescent="0.25">
      <c r="A41" s="98">
        <v>89</v>
      </c>
      <c r="B41" s="103">
        <v>4.37</v>
      </c>
    </row>
    <row r="42" spans="1:2" x14ac:dyDescent="0.25">
      <c r="A42" s="98">
        <v>90</v>
      </c>
      <c r="B42" s="103">
        <v>4.0119999999999996</v>
      </c>
    </row>
    <row r="43" spans="1:2" x14ac:dyDescent="0.25">
      <c r="A43" s="98">
        <v>91</v>
      </c>
      <c r="B43" s="103">
        <v>3.6829999999999998</v>
      </c>
    </row>
    <row r="44" spans="1:2" x14ac:dyDescent="0.25">
      <c r="A44" s="98">
        <v>92</v>
      </c>
      <c r="B44" s="103">
        <v>3.383</v>
      </c>
    </row>
    <row r="45" spans="1:2" x14ac:dyDescent="0.25">
      <c r="A45" s="98">
        <v>93</v>
      </c>
      <c r="B45" s="103">
        <v>3.1110000000000002</v>
      </c>
    </row>
    <row r="46" spans="1:2" x14ac:dyDescent="0.25">
      <c r="A46" s="98">
        <v>94</v>
      </c>
      <c r="B46" s="103">
        <v>2.8639999999999999</v>
      </c>
    </row>
    <row r="47" spans="1:2" x14ac:dyDescent="0.25">
      <c r="A47" s="98">
        <v>95</v>
      </c>
      <c r="B47" s="103">
        <v>2.6419999999999999</v>
      </c>
    </row>
    <row r="48" spans="1:2" x14ac:dyDescent="0.25">
      <c r="A48" s="98">
        <v>96</v>
      </c>
      <c r="B48" s="103">
        <v>2.4449999999999998</v>
      </c>
    </row>
    <row r="49" spans="1:2" x14ac:dyDescent="0.25">
      <c r="A49" s="98">
        <v>97</v>
      </c>
      <c r="B49" s="103">
        <v>2.2690000000000001</v>
      </c>
    </row>
    <row r="50" spans="1:2" x14ac:dyDescent="0.25">
      <c r="A50" s="98">
        <v>98</v>
      </c>
      <c r="B50" s="103">
        <v>2.117</v>
      </c>
    </row>
    <row r="51" spans="1:2" x14ac:dyDescent="0.25">
      <c r="A51" s="98">
        <v>99</v>
      </c>
      <c r="B51" s="103">
        <v>1.9970000000000001</v>
      </c>
    </row>
    <row r="52" spans="1:2" x14ac:dyDescent="0.25">
      <c r="A52" s="98">
        <v>100</v>
      </c>
      <c r="B52" s="103">
        <v>1.91</v>
      </c>
    </row>
  </sheetData>
  <sheetProtection algorithmName="SHA-512" hashValue="iJKrQKXJCxin9izHmwEe+9vw3mwPeNMYAquX78mgYWuSlbEyV40BvPZ5FO4jy6s/EcB8h+xRSUs9AhlFg8Rg+Q==" saltValue="lhfxv5vqVyDPIxthnlA1cA==" spinCount="100000" sheet="1" objects="1" scenarios="1"/>
  <conditionalFormatting sqref="A6:A21">
    <cfRule type="expression" dxfId="597" priority="11" stopIfTrue="1">
      <formula>MOD(ROW(),2)=0</formula>
    </cfRule>
    <cfRule type="expression" dxfId="596" priority="12" stopIfTrue="1">
      <formula>MOD(ROW(),2)&lt;&gt;0</formula>
    </cfRule>
  </conditionalFormatting>
  <conditionalFormatting sqref="A26:A52">
    <cfRule type="expression" dxfId="595" priority="3" stopIfTrue="1">
      <formula>MOD(ROW(),2)=0</formula>
    </cfRule>
    <cfRule type="expression" dxfId="594" priority="4" stopIfTrue="1">
      <formula>MOD(ROW(),2)&lt;&gt;0</formula>
    </cfRule>
  </conditionalFormatting>
  <conditionalFormatting sqref="B6:B21">
    <cfRule type="expression" dxfId="593" priority="19" stopIfTrue="1">
      <formula>MOD(ROW(),2)=0</formula>
    </cfRule>
    <cfRule type="expression" dxfId="592" priority="20" stopIfTrue="1">
      <formula>MOD(ROW(),2)&lt;&gt;0</formula>
    </cfRule>
  </conditionalFormatting>
  <conditionalFormatting sqref="B17:B21">
    <cfRule type="expression" dxfId="591" priority="1" stopIfTrue="1">
      <formula>MOD(ROW(),2)=0</formula>
    </cfRule>
    <cfRule type="expression" dxfId="590" priority="2" stopIfTrue="1">
      <formula>MOD(ROW(),2)&lt;&gt;0</formula>
    </cfRule>
  </conditionalFormatting>
  <conditionalFormatting sqref="B26:B52">
    <cfRule type="expression" dxfId="589" priority="5" stopIfTrue="1">
      <formula>MOD(ROW(),2)=0</formula>
    </cfRule>
    <cfRule type="expression" dxfId="588" priority="6" stopIfTrue="1">
      <formula>MOD(ROW(),2)&lt;&gt;0</formula>
    </cfRule>
  </conditionalFormatting>
  <hyperlinks>
    <hyperlink ref="B24" location="Assumptions!A1" display="Assumptions" xr:uid="{B59C9222-2431-49A3-949B-12FE09C9F54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16B0-C316-46C1-BE71-8A8C7265A5E0}">
  <sheetPr codeName="Sheet122">
    <pageSetUpPr fitToPage="1"/>
  </sheetPr>
  <dimension ref="A1:I27"/>
  <sheetViews>
    <sheetView showGridLines="0" zoomScale="85" zoomScaleNormal="85" workbookViewId="0">
      <selection activeCell="A4" sqref="A4"/>
    </sheetView>
  </sheetViews>
  <sheetFormatPr defaultColWidth="10" defaultRowHeight="12.5" x14ac:dyDescent="0.25"/>
  <cols>
    <col min="1" max="1" width="31.6328125" style="26" customWidth="1"/>
    <col min="2" max="2" width="24.45312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IF(new_title="&gt; Enter workbook title here","Enter workbook title in Cover sheet",new_title)</f>
        <v>NHSPS_S - Consolidated Factor Spreadsheet</v>
      </c>
      <c r="B2" s="40"/>
      <c r="C2" s="40"/>
      <c r="D2" s="40"/>
      <c r="E2" s="40"/>
      <c r="F2" s="40"/>
      <c r="G2" s="40"/>
      <c r="H2" s="40"/>
      <c r="I2" s="40"/>
    </row>
    <row r="3" spans="1:9" ht="15.5" x14ac:dyDescent="0.35">
      <c r="A3" s="41" t="str">
        <f>TABLE_FACTOR_TYPE_1&amp;" - x-"&amp;TABLE_SERIES_NUMBER_1</f>
        <v>Triv Comm - x-505</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74</v>
      </c>
    </row>
    <row r="9" spans="1:9" x14ac:dyDescent="0.25">
      <c r="A9" s="77" t="s">
        <v>280</v>
      </c>
      <c r="B9" s="161" t="s">
        <v>500</v>
      </c>
    </row>
    <row r="10" spans="1:9" x14ac:dyDescent="0.25">
      <c r="A10" s="77" t="s">
        <v>6</v>
      </c>
      <c r="B10" s="161" t="s">
        <v>501</v>
      </c>
    </row>
    <row r="11" spans="1:9" x14ac:dyDescent="0.25">
      <c r="A11" s="77" t="s">
        <v>283</v>
      </c>
      <c r="B11" s="161" t="s">
        <v>355</v>
      </c>
    </row>
    <row r="12" spans="1:9" x14ac:dyDescent="0.25">
      <c r="A12" s="77" t="s">
        <v>285</v>
      </c>
      <c r="B12" s="161" t="s">
        <v>417</v>
      </c>
    </row>
    <row r="13" spans="1:9" x14ac:dyDescent="0.25">
      <c r="A13" s="77" t="s">
        <v>287</v>
      </c>
      <c r="B13" s="161">
        <v>1</v>
      </c>
    </row>
    <row r="14" spans="1:9" x14ac:dyDescent="0.25">
      <c r="A14" s="77" t="s">
        <v>289</v>
      </c>
      <c r="B14" s="161">
        <v>505</v>
      </c>
    </row>
    <row r="15" spans="1:9" x14ac:dyDescent="0.25">
      <c r="A15" s="77" t="s">
        <v>291</v>
      </c>
      <c r="B15" s="161" t="s">
        <v>513</v>
      </c>
    </row>
    <row r="16" spans="1:9" x14ac:dyDescent="0.25">
      <c r="A16" s="77" t="s">
        <v>293</v>
      </c>
      <c r="B16" s="161" t="s">
        <v>514</v>
      </c>
    </row>
    <row r="17" spans="1:3" ht="39.65" customHeight="1" x14ac:dyDescent="0.25">
      <c r="A17" s="77" t="s">
        <v>760</v>
      </c>
      <c r="B17" s="161"/>
    </row>
    <row r="18" spans="1:3" x14ac:dyDescent="0.25">
      <c r="A18" s="77" t="s">
        <v>297</v>
      </c>
      <c r="B18" s="163">
        <v>45138</v>
      </c>
    </row>
    <row r="19" spans="1:3" x14ac:dyDescent="0.25">
      <c r="A19" s="77" t="s">
        <v>299</v>
      </c>
      <c r="B19" s="163">
        <v>45138</v>
      </c>
    </row>
    <row r="20" spans="1:3" x14ac:dyDescent="0.25">
      <c r="A20" s="77" t="s">
        <v>301</v>
      </c>
      <c r="B20" s="161" t="s">
        <v>314</v>
      </c>
    </row>
    <row r="21" spans="1:3" x14ac:dyDescent="0.25">
      <c r="A21" s="77" t="s">
        <v>307</v>
      </c>
      <c r="B21" s="161" t="s">
        <v>315</v>
      </c>
    </row>
    <row r="22" spans="1:3" x14ac:dyDescent="0.25">
      <c r="B22" s="100"/>
    </row>
    <row r="23" spans="1:3" ht="13" x14ac:dyDescent="0.3">
      <c r="B23" s="100" t="str">
        <f>HYPERLINK("#'Factor List'!A1","Back to Factor List")</f>
        <v>Back to Factor List</v>
      </c>
      <c r="C23" s="144" t="s">
        <v>810</v>
      </c>
    </row>
    <row r="24" spans="1:3" x14ac:dyDescent="0.25">
      <c r="B24" s="100" t="s">
        <v>13</v>
      </c>
    </row>
    <row r="26" spans="1:3" ht="13" x14ac:dyDescent="0.25">
      <c r="A26" s="146" t="s">
        <v>801</v>
      </c>
      <c r="B26" s="147" t="s">
        <v>802</v>
      </c>
    </row>
    <row r="27" spans="1:3" x14ac:dyDescent="0.25">
      <c r="A27" s="148" t="s">
        <v>811</v>
      </c>
      <c r="B27" s="149">
        <v>2.1999999999999999E-2</v>
      </c>
    </row>
  </sheetData>
  <sheetProtection algorithmName="SHA-512" hashValue="2bqkjAxFEv1Lxph7MABivO31HKHybRFAS6taGHce/0VSLYkNVlZVDUatbVWqNZmH9L1VA/LNFASbGoLIOnGGjg==" saltValue="NMqDIsTft31nYjACP7tFMw==" spinCount="100000" sheet="1" objects="1" scenarios="1"/>
  <conditionalFormatting sqref="A6:A21">
    <cfRule type="expression" dxfId="587" priority="23" stopIfTrue="1">
      <formula>MOD(ROW(),2)=0</formula>
    </cfRule>
    <cfRule type="expression" dxfId="586" priority="24" stopIfTrue="1">
      <formula>MOD(ROW(),2)&lt;&gt;0</formula>
    </cfRule>
  </conditionalFormatting>
  <conditionalFormatting sqref="A26:A27">
    <cfRule type="expression" dxfId="585" priority="1" stopIfTrue="1">
      <formula>MOD(ROW(),2)=0</formula>
    </cfRule>
    <cfRule type="expression" dxfId="584" priority="2" stopIfTrue="1">
      <formula>MOD(ROW(),2)&lt;&gt;0</formula>
    </cfRule>
  </conditionalFormatting>
  <conditionalFormatting sqref="B6 B14:B16">
    <cfRule type="expression" dxfId="583" priority="27" stopIfTrue="1">
      <formula>MOD(ROW(),2)=0</formula>
    </cfRule>
    <cfRule type="expression" dxfId="582" priority="28" stopIfTrue="1">
      <formula>MOD(ROW(),2)&lt;&gt;0</formula>
    </cfRule>
  </conditionalFormatting>
  <conditionalFormatting sqref="B6:B21">
    <cfRule type="expression" dxfId="581" priority="13" stopIfTrue="1">
      <formula>MOD(ROW(),2)=0</formula>
    </cfRule>
    <cfRule type="expression" dxfId="580" priority="14" stopIfTrue="1">
      <formula>MOD(ROW(),2)&lt;&gt;0</formula>
    </cfRule>
  </conditionalFormatting>
  <conditionalFormatting sqref="B17:B19">
    <cfRule type="expression" dxfId="579" priority="9" stopIfTrue="1">
      <formula>MOD(ROW(),2)=0</formula>
    </cfRule>
    <cfRule type="expression" dxfId="578" priority="10" stopIfTrue="1">
      <formula>MOD(ROW(),2)&lt;&gt;0</formula>
    </cfRule>
  </conditionalFormatting>
  <conditionalFormatting sqref="B20:B21">
    <cfRule type="expression" dxfId="577" priority="21" stopIfTrue="1">
      <formula>MOD(ROW(),2)=0</formula>
    </cfRule>
    <cfRule type="expression" dxfId="576" priority="22" stopIfTrue="1">
      <formula>MOD(ROW(),2)&lt;&gt;0</formula>
    </cfRule>
  </conditionalFormatting>
  <conditionalFormatting sqref="B26:B27">
    <cfRule type="expression" dxfId="575" priority="3" stopIfTrue="1">
      <formula>MOD(ROW(),2)=0</formula>
    </cfRule>
    <cfRule type="expression" dxfId="574" priority="4" stopIfTrue="1">
      <formula>MOD(ROW(),2)&lt;&gt;0</formula>
    </cfRule>
  </conditionalFormatting>
  <hyperlinks>
    <hyperlink ref="B24" location="Assumptions!A1" display="Assumptions" xr:uid="{8197896E-5EB3-418A-A958-8F5CFBBC54E8}"/>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06"/>
  <dimension ref="A1:I24"/>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Scheme Pays LTA - x-605</v>
      </c>
      <c r="B3" s="40"/>
      <c r="C3" s="40"/>
      <c r="D3" s="40"/>
      <c r="E3" s="40"/>
      <c r="F3" s="40"/>
      <c r="G3" s="40"/>
      <c r="H3" s="40"/>
      <c r="I3" s="40"/>
    </row>
    <row r="4" spans="1:9" x14ac:dyDescent="0.25">
      <c r="A4" s="42"/>
    </row>
    <row r="6" spans="1:9" ht="13" x14ac:dyDescent="0.3">
      <c r="A6" s="75" t="s">
        <v>274</v>
      </c>
      <c r="B6" s="160" t="s">
        <v>275</v>
      </c>
      <c r="C6" s="76"/>
    </row>
    <row r="7" spans="1:9" x14ac:dyDescent="0.25">
      <c r="A7" s="77" t="s">
        <v>276</v>
      </c>
      <c r="B7" s="161" t="s">
        <v>72</v>
      </c>
      <c r="C7" s="78"/>
    </row>
    <row r="8" spans="1:9" x14ac:dyDescent="0.25">
      <c r="A8" s="77" t="s">
        <v>278</v>
      </c>
      <c r="B8" s="161" t="s">
        <v>74</v>
      </c>
      <c r="C8" s="78"/>
    </row>
    <row r="9" spans="1:9" x14ac:dyDescent="0.25">
      <c r="A9" s="77" t="s">
        <v>280</v>
      </c>
      <c r="B9" s="161" t="s">
        <v>515</v>
      </c>
      <c r="C9" s="78"/>
    </row>
    <row r="10" spans="1:9" x14ac:dyDescent="0.25">
      <c r="A10" s="77" t="s">
        <v>6</v>
      </c>
      <c r="B10" s="161" t="s">
        <v>516</v>
      </c>
      <c r="C10" s="78"/>
    </row>
    <row r="11" spans="1:9" x14ac:dyDescent="0.25">
      <c r="A11" s="77" t="s">
        <v>283</v>
      </c>
      <c r="B11" s="161" t="s">
        <v>355</v>
      </c>
      <c r="C11" s="78"/>
    </row>
    <row r="12" spans="1:9" x14ac:dyDescent="0.25">
      <c r="A12" s="77" t="s">
        <v>285</v>
      </c>
      <c r="B12" s="161" t="s">
        <v>371</v>
      </c>
      <c r="C12" s="78"/>
    </row>
    <row r="13" spans="1:9" x14ac:dyDescent="0.25">
      <c r="A13" s="77" t="s">
        <v>287</v>
      </c>
      <c r="B13" s="161">
        <v>1</v>
      </c>
      <c r="C13" s="78"/>
    </row>
    <row r="14" spans="1:9" x14ac:dyDescent="0.25">
      <c r="A14" s="77" t="s">
        <v>289</v>
      </c>
      <c r="B14" s="161">
        <v>605</v>
      </c>
      <c r="C14" s="78"/>
    </row>
    <row r="15" spans="1:9" x14ac:dyDescent="0.25">
      <c r="A15" s="77" t="s">
        <v>291</v>
      </c>
      <c r="B15" s="161" t="s">
        <v>517</v>
      </c>
      <c r="C15" s="78"/>
    </row>
    <row r="16" spans="1:9" x14ac:dyDescent="0.25">
      <c r="A16" s="77" t="s">
        <v>293</v>
      </c>
      <c r="B16" s="161" t="s">
        <v>518</v>
      </c>
      <c r="C16" s="78"/>
    </row>
    <row r="17" spans="1:3" x14ac:dyDescent="0.25">
      <c r="A17" s="74" t="s">
        <v>760</v>
      </c>
      <c r="B17" s="161"/>
      <c r="C17" s="78"/>
    </row>
    <row r="18" spans="1:3" x14ac:dyDescent="0.25">
      <c r="A18" s="77" t="s">
        <v>297</v>
      </c>
      <c r="B18" s="162">
        <v>45138</v>
      </c>
      <c r="C18" s="78"/>
    </row>
    <row r="19" spans="1:3" x14ac:dyDescent="0.25">
      <c r="A19" s="77" t="s">
        <v>299</v>
      </c>
      <c r="B19" s="162">
        <v>45138</v>
      </c>
      <c r="C19" s="78"/>
    </row>
    <row r="20" spans="1:3" x14ac:dyDescent="0.25">
      <c r="A20" s="77" t="s">
        <v>301</v>
      </c>
      <c r="B20" s="87" t="s">
        <v>519</v>
      </c>
      <c r="C20" s="78"/>
    </row>
    <row r="21" spans="1:3" x14ac:dyDescent="0.25">
      <c r="A21" s="77" t="s">
        <v>307</v>
      </c>
      <c r="B21" s="114" t="s">
        <v>315</v>
      </c>
      <c r="C21" s="78"/>
    </row>
    <row r="23" spans="1:3" x14ac:dyDescent="0.25">
      <c r="B23" s="100" t="str">
        <f>HYPERLINK("#'Factor List'!A1","Back to Factor List")</f>
        <v>Back to Factor List</v>
      </c>
    </row>
    <row r="24" spans="1:3" x14ac:dyDescent="0.25">
      <c r="B24" s="100" t="s">
        <v>13</v>
      </c>
    </row>
  </sheetData>
  <sheetProtection algorithmName="SHA-512" hashValue="t4uh+Y73Yqu1sJzfrRlEXpJilWEiw8vtci57U/66+Q35RD5uJR7YX5jeidBP2seDPQlxkZgYuMYoywdUmYO0HQ==" saltValue="B2hutRJRIhJS53lKEsXhtQ==" spinCount="100000" sheet="1" objects="1" scenarios="1"/>
  <conditionalFormatting sqref="A6:A21">
    <cfRule type="expression" dxfId="573" priority="19" stopIfTrue="1">
      <formula>MOD(ROW(),2)=0</formula>
    </cfRule>
    <cfRule type="expression" dxfId="572" priority="20" stopIfTrue="1">
      <formula>MOD(ROW(),2)&lt;&gt;0</formula>
    </cfRule>
  </conditionalFormatting>
  <conditionalFormatting sqref="B6:C21">
    <cfRule type="expression" dxfId="571" priority="1" stopIfTrue="1">
      <formula>MOD(ROW(),2)=0</formula>
    </cfRule>
    <cfRule type="expression" dxfId="570" priority="2" stopIfTrue="1">
      <formula>MOD(ROW(),2)&lt;&gt;0</formula>
    </cfRule>
  </conditionalFormatting>
  <hyperlinks>
    <hyperlink ref="B24" location="Assumptions!A1" display="Assumptions" xr:uid="{257F136D-58D0-4B7F-95C2-A522B01E055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07"/>
  <dimension ref="A1:I24"/>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Scheme Pays LTA - x-606</v>
      </c>
      <c r="B3" s="40"/>
      <c r="C3" s="40"/>
      <c r="D3" s="40"/>
      <c r="E3" s="40"/>
      <c r="F3" s="40"/>
      <c r="G3" s="40"/>
      <c r="H3" s="40"/>
      <c r="I3" s="40"/>
    </row>
    <row r="4" spans="1:9" x14ac:dyDescent="0.25">
      <c r="A4" s="42"/>
    </row>
    <row r="6" spans="1:9" ht="13" x14ac:dyDescent="0.3">
      <c r="A6" s="75" t="s">
        <v>274</v>
      </c>
      <c r="B6" s="160" t="s">
        <v>275</v>
      </c>
    </row>
    <row r="7" spans="1:9" x14ac:dyDescent="0.25">
      <c r="A7" s="77" t="s">
        <v>276</v>
      </c>
      <c r="B7" s="161" t="s">
        <v>72</v>
      </c>
    </row>
    <row r="8" spans="1:9" x14ac:dyDescent="0.25">
      <c r="A8" s="77" t="s">
        <v>278</v>
      </c>
      <c r="B8" s="161" t="s">
        <v>73</v>
      </c>
    </row>
    <row r="9" spans="1:9" x14ac:dyDescent="0.25">
      <c r="A9" s="77" t="s">
        <v>280</v>
      </c>
      <c r="B9" s="161" t="s">
        <v>515</v>
      </c>
    </row>
    <row r="10" spans="1:9" x14ac:dyDescent="0.25">
      <c r="A10" s="77" t="s">
        <v>6</v>
      </c>
      <c r="B10" s="161" t="s">
        <v>516</v>
      </c>
    </row>
    <row r="11" spans="1:9" x14ac:dyDescent="0.25">
      <c r="A11" s="77" t="s">
        <v>283</v>
      </c>
      <c r="B11" s="161" t="s">
        <v>355</v>
      </c>
    </row>
    <row r="12" spans="1:9" x14ac:dyDescent="0.25">
      <c r="A12" s="77" t="s">
        <v>285</v>
      </c>
      <c r="B12" s="161" t="s">
        <v>371</v>
      </c>
    </row>
    <row r="13" spans="1:9" x14ac:dyDescent="0.25">
      <c r="A13" s="77" t="s">
        <v>287</v>
      </c>
      <c r="B13" s="161">
        <v>0</v>
      </c>
    </row>
    <row r="14" spans="1:9" x14ac:dyDescent="0.25">
      <c r="A14" s="77" t="s">
        <v>289</v>
      </c>
      <c r="B14" s="161">
        <v>606</v>
      </c>
    </row>
    <row r="15" spans="1:9" x14ac:dyDescent="0.25">
      <c r="A15" s="77" t="s">
        <v>291</v>
      </c>
      <c r="B15" s="161" t="s">
        <v>520</v>
      </c>
    </row>
    <row r="16" spans="1:9" x14ac:dyDescent="0.25">
      <c r="A16" s="77" t="s">
        <v>293</v>
      </c>
      <c r="B16" s="161" t="s">
        <v>518</v>
      </c>
    </row>
    <row r="17" spans="1:2" x14ac:dyDescent="0.25">
      <c r="A17" s="74" t="s">
        <v>760</v>
      </c>
      <c r="B17" s="161"/>
    </row>
    <row r="18" spans="1:2" x14ac:dyDescent="0.25">
      <c r="A18" s="77" t="s">
        <v>297</v>
      </c>
      <c r="B18" s="162">
        <v>45138</v>
      </c>
    </row>
    <row r="19" spans="1:2" x14ac:dyDescent="0.25">
      <c r="A19" s="77" t="s">
        <v>299</v>
      </c>
      <c r="B19" s="162">
        <v>45138</v>
      </c>
    </row>
    <row r="20" spans="1:2" x14ac:dyDescent="0.25">
      <c r="A20" s="77" t="s">
        <v>301</v>
      </c>
      <c r="B20" s="87" t="s">
        <v>519</v>
      </c>
    </row>
    <row r="21" spans="1:2" x14ac:dyDescent="0.25">
      <c r="A21" s="77" t="s">
        <v>307</v>
      </c>
      <c r="B21" s="114" t="s">
        <v>315</v>
      </c>
    </row>
    <row r="23" spans="1:2" x14ac:dyDescent="0.25">
      <c r="B23" s="100" t="str">
        <f>HYPERLINK("#'Factor List'!A1","Back to Factor List")</f>
        <v>Back to Factor List</v>
      </c>
    </row>
    <row r="24" spans="1:2" x14ac:dyDescent="0.25">
      <c r="B24" s="100" t="s">
        <v>13</v>
      </c>
    </row>
  </sheetData>
  <sheetProtection algorithmName="SHA-512" hashValue="/XeJA6wIwD0VUGIqjeRbrzwU4ifnd4L5zsfoxCTbp3tpTkkhAJfn+nY2Qd38Fy94zPigNMoMt7aKqjoah0PKgA==" saltValue="RzW+UYyqOulzOXYjX/Hl5A==" spinCount="100000" sheet="1" objects="1" scenarios="1"/>
  <conditionalFormatting sqref="A6:A21">
    <cfRule type="expression" dxfId="569" priority="21" stopIfTrue="1">
      <formula>MOD(ROW(),2)=0</formula>
    </cfRule>
    <cfRule type="expression" dxfId="568" priority="22" stopIfTrue="1">
      <formula>MOD(ROW(),2)&lt;&gt;0</formula>
    </cfRule>
  </conditionalFormatting>
  <conditionalFormatting sqref="B6:B21">
    <cfRule type="expression" dxfId="567" priority="1" stopIfTrue="1">
      <formula>MOD(ROW(),2)=0</formula>
    </cfRule>
    <cfRule type="expression" dxfId="566" priority="2" stopIfTrue="1">
      <formula>MOD(ROW(),2)&lt;&gt;0</formula>
    </cfRule>
  </conditionalFormatting>
  <hyperlinks>
    <hyperlink ref="B24" location="Assumptions!A1" display="Assumptions" xr:uid="{05AD2F96-2946-4C41-A135-F1F37AF495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28"/>
  <dimension ref="A1:I81"/>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Scheme pays AA - x-607</v>
      </c>
      <c r="B3" s="40"/>
      <c r="C3" s="40"/>
      <c r="D3" s="40"/>
      <c r="E3" s="40"/>
      <c r="F3" s="40"/>
      <c r="G3" s="40"/>
      <c r="H3" s="40"/>
      <c r="I3" s="40"/>
    </row>
    <row r="4" spans="1:9" x14ac:dyDescent="0.25">
      <c r="A4" s="42"/>
    </row>
    <row r="6" spans="1:9" ht="13" x14ac:dyDescent="0.3">
      <c r="A6" s="75" t="s">
        <v>274</v>
      </c>
      <c r="B6" s="161" t="s">
        <v>275</v>
      </c>
      <c r="C6" s="161"/>
    </row>
    <row r="7" spans="1:9" x14ac:dyDescent="0.25">
      <c r="A7" s="77" t="s">
        <v>276</v>
      </c>
      <c r="B7" s="161" t="s">
        <v>72</v>
      </c>
      <c r="C7" s="161"/>
    </row>
    <row r="8" spans="1:9" x14ac:dyDescent="0.25">
      <c r="A8" s="77" t="s">
        <v>278</v>
      </c>
      <c r="B8" s="161" t="s">
        <v>74</v>
      </c>
      <c r="C8" s="161"/>
    </row>
    <row r="9" spans="1:9" x14ac:dyDescent="0.25">
      <c r="A9" s="77" t="s">
        <v>280</v>
      </c>
      <c r="B9" s="161" t="s">
        <v>521</v>
      </c>
      <c r="C9" s="161"/>
    </row>
    <row r="10" spans="1:9" x14ac:dyDescent="0.25">
      <c r="A10" s="77" t="s">
        <v>6</v>
      </c>
      <c r="B10" s="161" t="s">
        <v>522</v>
      </c>
      <c r="C10" s="161"/>
    </row>
    <row r="11" spans="1:9" x14ac:dyDescent="0.25">
      <c r="A11" s="77" t="s">
        <v>283</v>
      </c>
      <c r="B11" s="161" t="s">
        <v>355</v>
      </c>
      <c r="C11" s="161"/>
    </row>
    <row r="12" spans="1:9" x14ac:dyDescent="0.25">
      <c r="A12" s="77" t="s">
        <v>285</v>
      </c>
      <c r="B12" s="161" t="s">
        <v>361</v>
      </c>
      <c r="C12" s="161"/>
    </row>
    <row r="13" spans="1:9" x14ac:dyDescent="0.25">
      <c r="A13" s="77" t="s">
        <v>287</v>
      </c>
      <c r="B13" s="161">
        <v>1</v>
      </c>
      <c r="C13" s="161"/>
    </row>
    <row r="14" spans="1:9" x14ac:dyDescent="0.25">
      <c r="A14" s="77" t="s">
        <v>289</v>
      </c>
      <c r="B14" s="161">
        <v>607</v>
      </c>
      <c r="C14" s="161"/>
    </row>
    <row r="15" spans="1:9" x14ac:dyDescent="0.25">
      <c r="A15" s="77" t="s">
        <v>291</v>
      </c>
      <c r="B15" s="161" t="s">
        <v>523</v>
      </c>
      <c r="C15" s="161"/>
    </row>
    <row r="16" spans="1:9" x14ac:dyDescent="0.25">
      <c r="A16" s="77" t="s">
        <v>293</v>
      </c>
      <c r="B16" s="161" t="s">
        <v>524</v>
      </c>
      <c r="C16" s="161"/>
    </row>
    <row r="17" spans="1:3" x14ac:dyDescent="0.25">
      <c r="A17" s="74" t="s">
        <v>760</v>
      </c>
      <c r="B17" s="161"/>
      <c r="C17" s="161"/>
    </row>
    <row r="18" spans="1:3" x14ac:dyDescent="0.25">
      <c r="A18" s="77" t="s">
        <v>297</v>
      </c>
      <c r="B18" s="163">
        <v>45138</v>
      </c>
      <c r="C18" s="161"/>
    </row>
    <row r="19" spans="1:3" x14ac:dyDescent="0.25">
      <c r="A19" s="77" t="s">
        <v>299</v>
      </c>
      <c r="B19" s="163">
        <v>45138</v>
      </c>
      <c r="C19" s="161"/>
    </row>
    <row r="20" spans="1:3" x14ac:dyDescent="0.25">
      <c r="A20" s="77" t="s">
        <v>301</v>
      </c>
      <c r="B20" s="161" t="s">
        <v>314</v>
      </c>
      <c r="C20" s="161"/>
    </row>
    <row r="21" spans="1:3" x14ac:dyDescent="0.25">
      <c r="A21" s="77" t="s">
        <v>307</v>
      </c>
      <c r="B21" s="161" t="s">
        <v>315</v>
      </c>
      <c r="C21" s="161"/>
    </row>
    <row r="23" spans="1:3" x14ac:dyDescent="0.25">
      <c r="B23" s="100" t="str">
        <f>HYPERLINK("#'Factor List'!A1","Back to Factor List")</f>
        <v>Back to Factor List</v>
      </c>
    </row>
    <row r="24" spans="1:3" x14ac:dyDescent="0.25">
      <c r="B24" s="100" t="s">
        <v>13</v>
      </c>
    </row>
    <row r="26" spans="1:3" ht="39" x14ac:dyDescent="0.25">
      <c r="A26" s="97" t="s">
        <v>417</v>
      </c>
      <c r="B26" s="97" t="s">
        <v>812</v>
      </c>
      <c r="C26" s="97" t="s">
        <v>813</v>
      </c>
    </row>
    <row r="27" spans="1:3" x14ac:dyDescent="0.25">
      <c r="A27" s="98">
        <v>20</v>
      </c>
      <c r="B27" s="99">
        <v>11.93</v>
      </c>
      <c r="C27" s="99">
        <v>0.51</v>
      </c>
    </row>
    <row r="28" spans="1:3" x14ac:dyDescent="0.25">
      <c r="A28" s="98">
        <v>21</v>
      </c>
      <c r="B28" s="99">
        <v>12.11</v>
      </c>
      <c r="C28" s="99">
        <v>0.52</v>
      </c>
    </row>
    <row r="29" spans="1:3" x14ac:dyDescent="0.25">
      <c r="A29" s="98">
        <v>22</v>
      </c>
      <c r="B29" s="99">
        <v>12.29</v>
      </c>
      <c r="C29" s="99">
        <v>0.53</v>
      </c>
    </row>
    <row r="30" spans="1:3" x14ac:dyDescent="0.25">
      <c r="A30" s="98">
        <v>23</v>
      </c>
      <c r="B30" s="99">
        <v>12.48</v>
      </c>
      <c r="C30" s="99">
        <v>0.54</v>
      </c>
    </row>
    <row r="31" spans="1:3" x14ac:dyDescent="0.25">
      <c r="A31" s="98">
        <v>24</v>
      </c>
      <c r="B31" s="99">
        <v>12.66</v>
      </c>
      <c r="C31" s="99">
        <v>0.55000000000000004</v>
      </c>
    </row>
    <row r="32" spans="1:3" x14ac:dyDescent="0.25">
      <c r="A32" s="98">
        <v>25</v>
      </c>
      <c r="B32" s="99">
        <v>12.85</v>
      </c>
      <c r="C32" s="99">
        <v>0.56000000000000005</v>
      </c>
    </row>
    <row r="33" spans="1:3" x14ac:dyDescent="0.25">
      <c r="A33" s="98">
        <v>26</v>
      </c>
      <c r="B33" s="99">
        <v>13.04</v>
      </c>
      <c r="C33" s="99">
        <v>0.56999999999999995</v>
      </c>
    </row>
    <row r="34" spans="1:3" x14ac:dyDescent="0.25">
      <c r="A34" s="98">
        <v>27</v>
      </c>
      <c r="B34" s="99">
        <v>13.24</v>
      </c>
      <c r="C34" s="99">
        <v>0.57999999999999996</v>
      </c>
    </row>
    <row r="35" spans="1:3" x14ac:dyDescent="0.25">
      <c r="A35" s="98">
        <v>28</v>
      </c>
      <c r="B35" s="99">
        <v>13.44</v>
      </c>
      <c r="C35" s="99">
        <v>0.59</v>
      </c>
    </row>
    <row r="36" spans="1:3" x14ac:dyDescent="0.25">
      <c r="A36" s="98">
        <v>29</v>
      </c>
      <c r="B36" s="99">
        <v>13.64</v>
      </c>
      <c r="C36" s="99">
        <v>0.6</v>
      </c>
    </row>
    <row r="37" spans="1:3" x14ac:dyDescent="0.25">
      <c r="A37" s="98">
        <v>30</v>
      </c>
      <c r="B37" s="99">
        <v>13.84</v>
      </c>
      <c r="C37" s="99">
        <v>0.61</v>
      </c>
    </row>
    <row r="38" spans="1:3" x14ac:dyDescent="0.25">
      <c r="A38" s="98">
        <v>31</v>
      </c>
      <c r="B38" s="99">
        <v>14.05</v>
      </c>
      <c r="C38" s="99">
        <v>0.62</v>
      </c>
    </row>
    <row r="39" spans="1:3" x14ac:dyDescent="0.25">
      <c r="A39" s="98">
        <v>32</v>
      </c>
      <c r="B39" s="99">
        <v>14.26</v>
      </c>
      <c r="C39" s="99">
        <v>0.63</v>
      </c>
    </row>
    <row r="40" spans="1:3" x14ac:dyDescent="0.25">
      <c r="A40" s="98">
        <v>33</v>
      </c>
      <c r="B40" s="99">
        <v>14.47</v>
      </c>
      <c r="C40" s="99">
        <v>0.64</v>
      </c>
    </row>
    <row r="41" spans="1:3" x14ac:dyDescent="0.25">
      <c r="A41" s="98">
        <v>34</v>
      </c>
      <c r="B41" s="99">
        <v>14.69</v>
      </c>
      <c r="C41" s="99">
        <v>0.65</v>
      </c>
    </row>
    <row r="42" spans="1:3" x14ac:dyDescent="0.25">
      <c r="A42" s="98">
        <v>35</v>
      </c>
      <c r="B42" s="99">
        <v>14.91</v>
      </c>
      <c r="C42" s="99">
        <v>0.66</v>
      </c>
    </row>
    <row r="43" spans="1:3" x14ac:dyDescent="0.25">
      <c r="A43" s="98">
        <v>36</v>
      </c>
      <c r="B43" s="99">
        <v>15.14</v>
      </c>
      <c r="C43" s="99">
        <v>0.67</v>
      </c>
    </row>
    <row r="44" spans="1:3" x14ac:dyDescent="0.25">
      <c r="A44" s="98">
        <v>37</v>
      </c>
      <c r="B44" s="99">
        <v>15.37</v>
      </c>
      <c r="C44" s="99">
        <v>0.68</v>
      </c>
    </row>
    <row r="45" spans="1:3" x14ac:dyDescent="0.25">
      <c r="A45" s="98">
        <v>38</v>
      </c>
      <c r="B45" s="99">
        <v>15.6</v>
      </c>
      <c r="C45" s="99">
        <v>0.7</v>
      </c>
    </row>
    <row r="46" spans="1:3" x14ac:dyDescent="0.25">
      <c r="A46" s="98">
        <v>39</v>
      </c>
      <c r="B46" s="99">
        <v>15.84</v>
      </c>
      <c r="C46" s="99">
        <v>0.71</v>
      </c>
    </row>
    <row r="47" spans="1:3" x14ac:dyDescent="0.25">
      <c r="A47" s="98">
        <v>40</v>
      </c>
      <c r="B47" s="99">
        <v>16.079999999999998</v>
      </c>
      <c r="C47" s="99">
        <v>0.72</v>
      </c>
    </row>
    <row r="48" spans="1:3" x14ac:dyDescent="0.25">
      <c r="A48" s="98">
        <v>41</v>
      </c>
      <c r="B48" s="99">
        <v>16.32</v>
      </c>
      <c r="C48" s="99">
        <v>0.73</v>
      </c>
    </row>
    <row r="49" spans="1:3" x14ac:dyDescent="0.25">
      <c r="A49" s="98">
        <v>42</v>
      </c>
      <c r="B49" s="99">
        <v>16.57</v>
      </c>
      <c r="C49" s="99">
        <v>0.74</v>
      </c>
    </row>
    <row r="50" spans="1:3" x14ac:dyDescent="0.25">
      <c r="A50" s="98">
        <v>43</v>
      </c>
      <c r="B50" s="99">
        <v>16.829999999999998</v>
      </c>
      <c r="C50" s="99">
        <v>0.76</v>
      </c>
    </row>
    <row r="51" spans="1:3" x14ac:dyDescent="0.25">
      <c r="A51" s="98">
        <v>44</v>
      </c>
      <c r="B51" s="99">
        <v>17.079999999999998</v>
      </c>
      <c r="C51" s="99">
        <v>0.77</v>
      </c>
    </row>
    <row r="52" spans="1:3" x14ac:dyDescent="0.25">
      <c r="A52" s="98">
        <v>45</v>
      </c>
      <c r="B52" s="99">
        <v>17.350000000000001</v>
      </c>
      <c r="C52" s="99">
        <v>0.78</v>
      </c>
    </row>
    <row r="53" spans="1:3" x14ac:dyDescent="0.25">
      <c r="A53" s="98">
        <v>46</v>
      </c>
      <c r="B53" s="99">
        <v>17.62</v>
      </c>
      <c r="C53" s="99">
        <v>0.8</v>
      </c>
    </row>
    <row r="54" spans="1:3" x14ac:dyDescent="0.25">
      <c r="A54" s="98">
        <v>47</v>
      </c>
      <c r="B54" s="99">
        <v>17.89</v>
      </c>
      <c r="C54" s="99">
        <v>0.81</v>
      </c>
    </row>
    <row r="55" spans="1:3" x14ac:dyDescent="0.25">
      <c r="A55" s="98">
        <v>48</v>
      </c>
      <c r="B55" s="99">
        <v>18.170000000000002</v>
      </c>
      <c r="C55" s="99">
        <v>0.82</v>
      </c>
    </row>
    <row r="56" spans="1:3" x14ac:dyDescent="0.25">
      <c r="A56" s="98">
        <v>49</v>
      </c>
      <c r="B56" s="99">
        <v>18.46</v>
      </c>
      <c r="C56" s="99">
        <v>0.84</v>
      </c>
    </row>
    <row r="57" spans="1:3" x14ac:dyDescent="0.25">
      <c r="A57" s="98">
        <v>50</v>
      </c>
      <c r="B57" s="99">
        <v>18.75</v>
      </c>
      <c r="C57" s="99">
        <v>0.85</v>
      </c>
    </row>
    <row r="58" spans="1:3" x14ac:dyDescent="0.25">
      <c r="A58" s="98">
        <v>51</v>
      </c>
      <c r="B58" s="99">
        <v>19.05</v>
      </c>
      <c r="C58" s="99">
        <v>0.87</v>
      </c>
    </row>
    <row r="59" spans="1:3" x14ac:dyDescent="0.25">
      <c r="A59" s="98">
        <v>52</v>
      </c>
      <c r="B59" s="99">
        <v>19.350000000000001</v>
      </c>
      <c r="C59" s="99">
        <v>0.88</v>
      </c>
    </row>
    <row r="60" spans="1:3" x14ac:dyDescent="0.25">
      <c r="A60" s="98">
        <v>53</v>
      </c>
      <c r="B60" s="99">
        <v>19.670000000000002</v>
      </c>
      <c r="C60" s="99">
        <v>0.9</v>
      </c>
    </row>
    <row r="61" spans="1:3" x14ac:dyDescent="0.25">
      <c r="A61" s="98">
        <v>54</v>
      </c>
      <c r="B61" s="99">
        <v>19.989999999999998</v>
      </c>
      <c r="C61" s="99">
        <v>0.91</v>
      </c>
    </row>
    <row r="62" spans="1:3" x14ac:dyDescent="0.25">
      <c r="A62" s="98">
        <v>55</v>
      </c>
      <c r="B62" s="99">
        <v>20.32</v>
      </c>
      <c r="C62" s="99">
        <v>0.93</v>
      </c>
    </row>
    <row r="63" spans="1:3" x14ac:dyDescent="0.25">
      <c r="A63" s="98">
        <v>56</v>
      </c>
      <c r="B63" s="99">
        <v>20.65</v>
      </c>
      <c r="C63" s="99">
        <v>0.94</v>
      </c>
    </row>
    <row r="64" spans="1:3" x14ac:dyDescent="0.25">
      <c r="A64" s="98">
        <v>57</v>
      </c>
      <c r="B64" s="99">
        <v>21</v>
      </c>
      <c r="C64" s="99">
        <v>0.96</v>
      </c>
    </row>
    <row r="65" spans="1:3" x14ac:dyDescent="0.25">
      <c r="A65" s="98">
        <v>58</v>
      </c>
      <c r="B65" s="99">
        <v>21.36</v>
      </c>
      <c r="C65" s="99">
        <v>0.98</v>
      </c>
    </row>
    <row r="66" spans="1:3" x14ac:dyDescent="0.25">
      <c r="A66" s="98">
        <v>59</v>
      </c>
      <c r="B66" s="99">
        <v>21.73</v>
      </c>
      <c r="C66" s="99">
        <v>0.99</v>
      </c>
    </row>
    <row r="67" spans="1:3" x14ac:dyDescent="0.25">
      <c r="A67" s="98">
        <v>60</v>
      </c>
      <c r="B67" s="99">
        <v>21.61</v>
      </c>
      <c r="C67" s="99">
        <v>1</v>
      </c>
    </row>
    <row r="68" spans="1:3" x14ac:dyDescent="0.25">
      <c r="A68" s="98">
        <v>61</v>
      </c>
      <c r="B68" s="99">
        <v>20.98</v>
      </c>
      <c r="C68" s="99">
        <v>1</v>
      </c>
    </row>
    <row r="69" spans="1:3" x14ac:dyDescent="0.25">
      <c r="A69" s="98">
        <v>62</v>
      </c>
      <c r="B69" s="99">
        <v>20.36</v>
      </c>
      <c r="C69" s="99">
        <v>1</v>
      </c>
    </row>
    <row r="70" spans="1:3" x14ac:dyDescent="0.25">
      <c r="A70" s="98">
        <v>63</v>
      </c>
      <c r="B70" s="99">
        <v>19.72</v>
      </c>
      <c r="C70" s="99">
        <v>1</v>
      </c>
    </row>
    <row r="71" spans="1:3" x14ac:dyDescent="0.25">
      <c r="A71" s="98">
        <v>64</v>
      </c>
      <c r="B71" s="99">
        <v>19.09</v>
      </c>
      <c r="C71" s="99">
        <v>1</v>
      </c>
    </row>
    <row r="72" spans="1:3" x14ac:dyDescent="0.25">
      <c r="A72" s="98">
        <v>65</v>
      </c>
      <c r="B72" s="99">
        <v>18.45</v>
      </c>
      <c r="C72" s="99">
        <v>1</v>
      </c>
    </row>
    <row r="73" spans="1:3" x14ac:dyDescent="0.25">
      <c r="A73" s="98">
        <v>66</v>
      </c>
      <c r="B73" s="99">
        <v>17.8</v>
      </c>
      <c r="C73" s="99">
        <v>1</v>
      </c>
    </row>
    <row r="74" spans="1:3" x14ac:dyDescent="0.25">
      <c r="A74" s="98">
        <v>67</v>
      </c>
      <c r="B74" s="99">
        <v>17.149999999999999</v>
      </c>
      <c r="C74" s="99">
        <v>1</v>
      </c>
    </row>
    <row r="75" spans="1:3" x14ac:dyDescent="0.25">
      <c r="A75" s="98">
        <v>68</v>
      </c>
      <c r="B75" s="99">
        <v>16.5</v>
      </c>
      <c r="C75" s="99">
        <v>1</v>
      </c>
    </row>
    <row r="76" spans="1:3" x14ac:dyDescent="0.25">
      <c r="A76" s="98">
        <v>69</v>
      </c>
      <c r="B76" s="99">
        <v>15.85</v>
      </c>
      <c r="C76" s="99">
        <v>1</v>
      </c>
    </row>
    <row r="77" spans="1:3" x14ac:dyDescent="0.25">
      <c r="A77" s="98">
        <v>70</v>
      </c>
      <c r="B77" s="99">
        <v>15.19</v>
      </c>
      <c r="C77" s="99">
        <v>1</v>
      </c>
    </row>
    <row r="78" spans="1:3" x14ac:dyDescent="0.25">
      <c r="A78" s="98">
        <v>71</v>
      </c>
      <c r="B78" s="99">
        <v>14.53</v>
      </c>
      <c r="C78" s="99">
        <v>1</v>
      </c>
    </row>
    <row r="79" spans="1:3" x14ac:dyDescent="0.25">
      <c r="A79" s="98">
        <v>72</v>
      </c>
      <c r="B79" s="99">
        <v>13.87</v>
      </c>
      <c r="C79" s="99">
        <v>1</v>
      </c>
    </row>
    <row r="80" spans="1:3" x14ac:dyDescent="0.25">
      <c r="A80" s="98">
        <v>73</v>
      </c>
      <c r="B80" s="99">
        <v>13.22</v>
      </c>
      <c r="C80" s="99">
        <v>1</v>
      </c>
    </row>
    <row r="81" spans="1:3" x14ac:dyDescent="0.25">
      <c r="A81" s="98">
        <v>74</v>
      </c>
      <c r="B81" s="99">
        <v>12.57</v>
      </c>
      <c r="C81" s="99">
        <v>1</v>
      </c>
    </row>
  </sheetData>
  <sheetProtection algorithmName="SHA-512" hashValue="s6U3pIFvp5MNNMTBZvEhGwk0DKLTWlXWPkQ3MgwGRLUg1AKykuHunlx/pKjroVaqNUlnZaG5tXe/wkdcUvGXxw==" saltValue="QF2b/sS+8MUn9zuwSINcOw==" spinCount="100000" sheet="1" objects="1" scenarios="1"/>
  <conditionalFormatting sqref="A6:A21">
    <cfRule type="expression" dxfId="565" priority="11" stopIfTrue="1">
      <formula>MOD(ROW(),2)=0</formula>
    </cfRule>
    <cfRule type="expression" dxfId="564" priority="12" stopIfTrue="1">
      <formula>MOD(ROW(),2)&lt;&gt;0</formula>
    </cfRule>
  </conditionalFormatting>
  <conditionalFormatting sqref="A26:A81">
    <cfRule type="expression" dxfId="563" priority="3" stopIfTrue="1">
      <formula>MOD(ROW(),2)=0</formula>
    </cfRule>
    <cfRule type="expression" dxfId="562" priority="4" stopIfTrue="1">
      <formula>MOD(ROW(),2)&lt;&gt;0</formula>
    </cfRule>
  </conditionalFormatting>
  <conditionalFormatting sqref="B17:B21">
    <cfRule type="expression" dxfId="561" priority="1" stopIfTrue="1">
      <formula>MOD(ROW(),2)=0</formula>
    </cfRule>
    <cfRule type="expression" dxfId="560" priority="2" stopIfTrue="1">
      <formula>MOD(ROW(),2)&lt;&gt;0</formula>
    </cfRule>
  </conditionalFormatting>
  <conditionalFormatting sqref="B6:C21">
    <cfRule type="expression" dxfId="559" priority="19" stopIfTrue="1">
      <formula>MOD(ROW(),2)=0</formula>
    </cfRule>
    <cfRule type="expression" dxfId="558" priority="20" stopIfTrue="1">
      <formula>MOD(ROW(),2)&lt;&gt;0</formula>
    </cfRule>
  </conditionalFormatting>
  <conditionalFormatting sqref="B26:C81">
    <cfRule type="expression" dxfId="557" priority="5" stopIfTrue="1">
      <formula>MOD(ROW(),2)=0</formula>
    </cfRule>
    <cfRule type="expression" dxfId="556" priority="6" stopIfTrue="1">
      <formula>MOD(ROW(),2)&lt;&gt;0</formula>
    </cfRule>
  </conditionalFormatting>
  <hyperlinks>
    <hyperlink ref="B24" location="Assumptions!A1" display="Assumptions" xr:uid="{DA1F2A7C-08F0-4ADC-AC4E-7C5E0AEA9A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29"/>
  <dimension ref="A1:I81"/>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Scheme pays AA - x-608</v>
      </c>
      <c r="B3" s="40"/>
      <c r="C3" s="40"/>
      <c r="D3" s="40"/>
      <c r="E3" s="40"/>
      <c r="F3" s="40"/>
      <c r="G3" s="40"/>
      <c r="H3" s="40"/>
      <c r="I3" s="40"/>
    </row>
    <row r="4" spans="1:9" x14ac:dyDescent="0.25">
      <c r="A4" s="42"/>
    </row>
    <row r="6" spans="1:9" ht="13" x14ac:dyDescent="0.3">
      <c r="A6" s="75" t="s">
        <v>274</v>
      </c>
      <c r="B6" s="161" t="s">
        <v>275</v>
      </c>
      <c r="C6" s="161"/>
    </row>
    <row r="7" spans="1:9" x14ac:dyDescent="0.25">
      <c r="A7" s="77" t="s">
        <v>276</v>
      </c>
      <c r="B7" s="161" t="s">
        <v>72</v>
      </c>
      <c r="C7" s="161"/>
    </row>
    <row r="8" spans="1:9" x14ac:dyDescent="0.25">
      <c r="A8" s="77" t="s">
        <v>278</v>
      </c>
      <c r="B8" s="161" t="s">
        <v>74</v>
      </c>
      <c r="C8" s="161"/>
    </row>
    <row r="9" spans="1:9" x14ac:dyDescent="0.25">
      <c r="A9" s="77" t="s">
        <v>280</v>
      </c>
      <c r="B9" s="161" t="s">
        <v>521</v>
      </c>
      <c r="C9" s="161"/>
    </row>
    <row r="10" spans="1:9" x14ac:dyDescent="0.25">
      <c r="A10" s="77" t="s">
        <v>6</v>
      </c>
      <c r="B10" s="161" t="s">
        <v>525</v>
      </c>
      <c r="C10" s="161"/>
    </row>
    <row r="11" spans="1:9" x14ac:dyDescent="0.25">
      <c r="A11" s="77" t="s">
        <v>283</v>
      </c>
      <c r="B11" s="161" t="s">
        <v>355</v>
      </c>
      <c r="C11" s="161"/>
    </row>
    <row r="12" spans="1:9" x14ac:dyDescent="0.25">
      <c r="A12" s="77" t="s">
        <v>285</v>
      </c>
      <c r="B12" s="161" t="s">
        <v>361</v>
      </c>
      <c r="C12" s="161"/>
    </row>
    <row r="13" spans="1:9" x14ac:dyDescent="0.25">
      <c r="A13" s="77" t="s">
        <v>287</v>
      </c>
      <c r="B13" s="161">
        <v>1</v>
      </c>
      <c r="C13" s="161"/>
    </row>
    <row r="14" spans="1:9" x14ac:dyDescent="0.25">
      <c r="A14" s="77" t="s">
        <v>289</v>
      </c>
      <c r="B14" s="161">
        <v>608</v>
      </c>
      <c r="C14" s="161"/>
    </row>
    <row r="15" spans="1:9" x14ac:dyDescent="0.25">
      <c r="A15" s="77" t="s">
        <v>291</v>
      </c>
      <c r="B15" s="161" t="s">
        <v>526</v>
      </c>
      <c r="C15" s="161"/>
    </row>
    <row r="16" spans="1:9" x14ac:dyDescent="0.25">
      <c r="A16" s="77" t="s">
        <v>293</v>
      </c>
      <c r="B16" s="161" t="s">
        <v>527</v>
      </c>
      <c r="C16" s="161"/>
    </row>
    <row r="17" spans="1:3" x14ac:dyDescent="0.25">
      <c r="A17" s="74" t="s">
        <v>760</v>
      </c>
      <c r="B17" s="161"/>
      <c r="C17" s="161"/>
    </row>
    <row r="18" spans="1:3" x14ac:dyDescent="0.25">
      <c r="A18" s="77" t="s">
        <v>297</v>
      </c>
      <c r="B18" s="163">
        <v>45138</v>
      </c>
      <c r="C18" s="161"/>
    </row>
    <row r="19" spans="1:3" x14ac:dyDescent="0.25">
      <c r="A19" s="77" t="s">
        <v>299</v>
      </c>
      <c r="B19" s="163">
        <v>45138</v>
      </c>
      <c r="C19" s="161"/>
    </row>
    <row r="20" spans="1:3" x14ac:dyDescent="0.25">
      <c r="A20" s="77" t="s">
        <v>301</v>
      </c>
      <c r="B20" s="161" t="s">
        <v>314</v>
      </c>
      <c r="C20" s="161"/>
    </row>
    <row r="21" spans="1:3" x14ac:dyDescent="0.25">
      <c r="A21" s="77" t="s">
        <v>307</v>
      </c>
      <c r="B21" s="161" t="s">
        <v>315</v>
      </c>
      <c r="C21" s="161"/>
    </row>
    <row r="23" spans="1:3" x14ac:dyDescent="0.25">
      <c r="B23" s="100" t="str">
        <f>HYPERLINK("#'Factor List'!A1","Back to Factor List")</f>
        <v>Back to Factor List</v>
      </c>
    </row>
    <row r="24" spans="1:3" x14ac:dyDescent="0.25">
      <c r="B24" s="100" t="s">
        <v>13</v>
      </c>
    </row>
    <row r="26" spans="1:3" ht="39" x14ac:dyDescent="0.25">
      <c r="A26" s="97" t="s">
        <v>417</v>
      </c>
      <c r="B26" s="97" t="s">
        <v>812</v>
      </c>
      <c r="C26" s="97" t="s">
        <v>813</v>
      </c>
    </row>
    <row r="27" spans="1:3" x14ac:dyDescent="0.25">
      <c r="A27" s="98">
        <v>20</v>
      </c>
      <c r="B27" s="99">
        <v>9.56</v>
      </c>
      <c r="C27" s="99">
        <v>0</v>
      </c>
    </row>
    <row r="28" spans="1:3" x14ac:dyDescent="0.25">
      <c r="A28" s="98">
        <v>21</v>
      </c>
      <c r="B28" s="99">
        <v>9.6999999999999993</v>
      </c>
      <c r="C28" s="99">
        <v>0</v>
      </c>
    </row>
    <row r="29" spans="1:3" x14ac:dyDescent="0.25">
      <c r="A29" s="98">
        <v>22</v>
      </c>
      <c r="B29" s="99">
        <v>9.84</v>
      </c>
      <c r="C29" s="99">
        <v>0</v>
      </c>
    </row>
    <row r="30" spans="1:3" x14ac:dyDescent="0.25">
      <c r="A30" s="98">
        <v>23</v>
      </c>
      <c r="B30" s="99">
        <v>9.99</v>
      </c>
      <c r="C30" s="99">
        <v>0</v>
      </c>
    </row>
    <row r="31" spans="1:3" x14ac:dyDescent="0.25">
      <c r="A31" s="98">
        <v>24</v>
      </c>
      <c r="B31" s="99">
        <v>10.130000000000001</v>
      </c>
      <c r="C31" s="99">
        <v>0</v>
      </c>
    </row>
    <row r="32" spans="1:3" x14ac:dyDescent="0.25">
      <c r="A32" s="98">
        <v>25</v>
      </c>
      <c r="B32" s="99">
        <v>10.28</v>
      </c>
      <c r="C32" s="99">
        <v>0</v>
      </c>
    </row>
    <row r="33" spans="1:3" x14ac:dyDescent="0.25">
      <c r="A33" s="98">
        <v>26</v>
      </c>
      <c r="B33" s="99">
        <v>10.43</v>
      </c>
      <c r="C33" s="99">
        <v>0</v>
      </c>
    </row>
    <row r="34" spans="1:3" x14ac:dyDescent="0.25">
      <c r="A34" s="98">
        <v>27</v>
      </c>
      <c r="B34" s="99">
        <v>10.58</v>
      </c>
      <c r="C34" s="99">
        <v>0</v>
      </c>
    </row>
    <row r="35" spans="1:3" x14ac:dyDescent="0.25">
      <c r="A35" s="98">
        <v>28</v>
      </c>
      <c r="B35" s="99">
        <v>10.73</v>
      </c>
      <c r="C35" s="99">
        <v>0</v>
      </c>
    </row>
    <row r="36" spans="1:3" x14ac:dyDescent="0.25">
      <c r="A36" s="98">
        <v>29</v>
      </c>
      <c r="B36" s="99">
        <v>10.89</v>
      </c>
      <c r="C36" s="99">
        <v>0</v>
      </c>
    </row>
    <row r="37" spans="1:3" x14ac:dyDescent="0.25">
      <c r="A37" s="98">
        <v>30</v>
      </c>
      <c r="B37" s="99">
        <v>11.04</v>
      </c>
      <c r="C37" s="99">
        <v>0</v>
      </c>
    </row>
    <row r="38" spans="1:3" x14ac:dyDescent="0.25">
      <c r="A38" s="98">
        <v>31</v>
      </c>
      <c r="B38" s="99">
        <v>11.2</v>
      </c>
      <c r="C38" s="99">
        <v>0</v>
      </c>
    </row>
    <row r="39" spans="1:3" x14ac:dyDescent="0.25">
      <c r="A39" s="98">
        <v>32</v>
      </c>
      <c r="B39" s="99">
        <v>11.37</v>
      </c>
      <c r="C39" s="99">
        <v>0</v>
      </c>
    </row>
    <row r="40" spans="1:3" x14ac:dyDescent="0.25">
      <c r="A40" s="98">
        <v>33</v>
      </c>
      <c r="B40" s="99">
        <v>11.53</v>
      </c>
      <c r="C40" s="99">
        <v>0</v>
      </c>
    </row>
    <row r="41" spans="1:3" x14ac:dyDescent="0.25">
      <c r="A41" s="98">
        <v>34</v>
      </c>
      <c r="B41" s="99">
        <v>11.7</v>
      </c>
      <c r="C41" s="99">
        <v>0</v>
      </c>
    </row>
    <row r="42" spans="1:3" x14ac:dyDescent="0.25">
      <c r="A42" s="98">
        <v>35</v>
      </c>
      <c r="B42" s="99">
        <v>11.87</v>
      </c>
      <c r="C42" s="99">
        <v>0</v>
      </c>
    </row>
    <row r="43" spans="1:3" x14ac:dyDescent="0.25">
      <c r="A43" s="98">
        <v>36</v>
      </c>
      <c r="B43" s="99">
        <v>12.04</v>
      </c>
      <c r="C43" s="99">
        <v>0</v>
      </c>
    </row>
    <row r="44" spans="1:3" x14ac:dyDescent="0.25">
      <c r="A44" s="98">
        <v>37</v>
      </c>
      <c r="B44" s="99">
        <v>12.22</v>
      </c>
      <c r="C44" s="99">
        <v>0</v>
      </c>
    </row>
    <row r="45" spans="1:3" x14ac:dyDescent="0.25">
      <c r="A45" s="98">
        <v>38</v>
      </c>
      <c r="B45" s="99">
        <v>12.4</v>
      </c>
      <c r="C45" s="99">
        <v>0</v>
      </c>
    </row>
    <row r="46" spans="1:3" x14ac:dyDescent="0.25">
      <c r="A46" s="98">
        <v>39</v>
      </c>
      <c r="B46" s="99">
        <v>12.58</v>
      </c>
      <c r="C46" s="99">
        <v>0</v>
      </c>
    </row>
    <row r="47" spans="1:3" x14ac:dyDescent="0.25">
      <c r="A47" s="98">
        <v>40</v>
      </c>
      <c r="B47" s="99">
        <v>12.76</v>
      </c>
      <c r="C47" s="99">
        <v>0</v>
      </c>
    </row>
    <row r="48" spans="1:3" x14ac:dyDescent="0.25">
      <c r="A48" s="98">
        <v>41</v>
      </c>
      <c r="B48" s="99">
        <v>12.95</v>
      </c>
      <c r="C48" s="99">
        <v>0</v>
      </c>
    </row>
    <row r="49" spans="1:3" x14ac:dyDescent="0.25">
      <c r="A49" s="98">
        <v>42</v>
      </c>
      <c r="B49" s="99">
        <v>13.14</v>
      </c>
      <c r="C49" s="99">
        <v>0</v>
      </c>
    </row>
    <row r="50" spans="1:3" x14ac:dyDescent="0.25">
      <c r="A50" s="98">
        <v>43</v>
      </c>
      <c r="B50" s="99">
        <v>13.34</v>
      </c>
      <c r="C50" s="99">
        <v>0</v>
      </c>
    </row>
    <row r="51" spans="1:3" x14ac:dyDescent="0.25">
      <c r="A51" s="98">
        <v>44</v>
      </c>
      <c r="B51" s="99">
        <v>13.53</v>
      </c>
      <c r="C51" s="99">
        <v>0</v>
      </c>
    </row>
    <row r="52" spans="1:3" x14ac:dyDescent="0.25">
      <c r="A52" s="98">
        <v>45</v>
      </c>
      <c r="B52" s="99">
        <v>13.74</v>
      </c>
      <c r="C52" s="99">
        <v>0</v>
      </c>
    </row>
    <row r="53" spans="1:3" x14ac:dyDescent="0.25">
      <c r="A53" s="98">
        <v>46</v>
      </c>
      <c r="B53" s="99">
        <v>13.94</v>
      </c>
      <c r="C53" s="99">
        <v>0</v>
      </c>
    </row>
    <row r="54" spans="1:3" x14ac:dyDescent="0.25">
      <c r="A54" s="98">
        <v>47</v>
      </c>
      <c r="B54" s="99">
        <v>14.15</v>
      </c>
      <c r="C54" s="99">
        <v>0</v>
      </c>
    </row>
    <row r="55" spans="1:3" x14ac:dyDescent="0.25">
      <c r="A55" s="98">
        <v>48</v>
      </c>
      <c r="B55" s="99">
        <v>14.36</v>
      </c>
      <c r="C55" s="99">
        <v>0</v>
      </c>
    </row>
    <row r="56" spans="1:3" x14ac:dyDescent="0.25">
      <c r="A56" s="98">
        <v>49</v>
      </c>
      <c r="B56" s="99">
        <v>14.58</v>
      </c>
      <c r="C56" s="99">
        <v>0</v>
      </c>
    </row>
    <row r="57" spans="1:3" x14ac:dyDescent="0.25">
      <c r="A57" s="98">
        <v>50</v>
      </c>
      <c r="B57" s="99">
        <v>14.81</v>
      </c>
      <c r="C57" s="99">
        <v>0</v>
      </c>
    </row>
    <row r="58" spans="1:3" x14ac:dyDescent="0.25">
      <c r="A58" s="98">
        <v>51</v>
      </c>
      <c r="B58" s="99">
        <v>15.03</v>
      </c>
      <c r="C58" s="99">
        <v>0</v>
      </c>
    </row>
    <row r="59" spans="1:3" x14ac:dyDescent="0.25">
      <c r="A59" s="98">
        <v>52</v>
      </c>
      <c r="B59" s="99">
        <v>15.27</v>
      </c>
      <c r="C59" s="99">
        <v>0</v>
      </c>
    </row>
    <row r="60" spans="1:3" x14ac:dyDescent="0.25">
      <c r="A60" s="98">
        <v>53</v>
      </c>
      <c r="B60" s="99">
        <v>15.5</v>
      </c>
      <c r="C60" s="99">
        <v>0</v>
      </c>
    </row>
    <row r="61" spans="1:3" x14ac:dyDescent="0.25">
      <c r="A61" s="98">
        <v>54</v>
      </c>
      <c r="B61" s="99">
        <v>15.75</v>
      </c>
      <c r="C61" s="99">
        <v>0</v>
      </c>
    </row>
    <row r="62" spans="1:3" x14ac:dyDescent="0.25">
      <c r="A62" s="98">
        <v>55</v>
      </c>
      <c r="B62" s="99">
        <v>16</v>
      </c>
      <c r="C62" s="99">
        <v>0</v>
      </c>
    </row>
    <row r="63" spans="1:3" x14ac:dyDescent="0.25">
      <c r="A63" s="98">
        <v>56</v>
      </c>
      <c r="B63" s="99">
        <v>16.25</v>
      </c>
      <c r="C63" s="99">
        <v>0</v>
      </c>
    </row>
    <row r="64" spans="1:3" x14ac:dyDescent="0.25">
      <c r="A64" s="98">
        <v>57</v>
      </c>
      <c r="B64" s="99">
        <v>16.52</v>
      </c>
      <c r="C64" s="99">
        <v>0</v>
      </c>
    </row>
    <row r="65" spans="1:3" x14ac:dyDescent="0.25">
      <c r="A65" s="98">
        <v>58</v>
      </c>
      <c r="B65" s="99">
        <v>16.79</v>
      </c>
      <c r="C65" s="99">
        <v>0</v>
      </c>
    </row>
    <row r="66" spans="1:3" x14ac:dyDescent="0.25">
      <c r="A66" s="98">
        <v>59</v>
      </c>
      <c r="B66" s="99">
        <v>17.07</v>
      </c>
      <c r="C66" s="99">
        <v>0</v>
      </c>
    </row>
    <row r="67" spans="1:3" x14ac:dyDescent="0.25">
      <c r="A67" s="98">
        <v>60</v>
      </c>
      <c r="B67" s="99">
        <v>17.37</v>
      </c>
      <c r="C67" s="99">
        <v>0</v>
      </c>
    </row>
    <row r="68" spans="1:3" x14ac:dyDescent="0.25">
      <c r="A68" s="98">
        <v>61</v>
      </c>
      <c r="B68" s="99">
        <v>17.670000000000002</v>
      </c>
      <c r="C68" s="99">
        <v>0</v>
      </c>
    </row>
    <row r="69" spans="1:3" x14ac:dyDescent="0.25">
      <c r="A69" s="98">
        <v>62</v>
      </c>
      <c r="B69" s="99">
        <v>17.989999999999998</v>
      </c>
      <c r="C69" s="99">
        <v>0</v>
      </c>
    </row>
    <row r="70" spans="1:3" x14ac:dyDescent="0.25">
      <c r="A70" s="98">
        <v>63</v>
      </c>
      <c r="B70" s="99">
        <v>18.309999999999999</v>
      </c>
      <c r="C70" s="99">
        <v>0</v>
      </c>
    </row>
    <row r="71" spans="1:3" x14ac:dyDescent="0.25">
      <c r="A71" s="98">
        <v>64</v>
      </c>
      <c r="B71" s="99">
        <v>18.66</v>
      </c>
      <c r="C71" s="99">
        <v>0</v>
      </c>
    </row>
    <row r="72" spans="1:3" x14ac:dyDescent="0.25">
      <c r="A72" s="98">
        <v>65</v>
      </c>
      <c r="B72" s="99">
        <v>18.5</v>
      </c>
      <c r="C72" s="99">
        <v>0</v>
      </c>
    </row>
    <row r="73" spans="1:3" x14ac:dyDescent="0.25">
      <c r="A73" s="98">
        <v>66</v>
      </c>
      <c r="B73" s="99">
        <v>17.84</v>
      </c>
      <c r="C73" s="99">
        <v>0</v>
      </c>
    </row>
    <row r="74" spans="1:3" x14ac:dyDescent="0.25">
      <c r="A74" s="98">
        <v>67</v>
      </c>
      <c r="B74" s="99">
        <v>17.170000000000002</v>
      </c>
      <c r="C74" s="99">
        <v>0</v>
      </c>
    </row>
    <row r="75" spans="1:3" x14ac:dyDescent="0.25">
      <c r="A75" s="98">
        <v>68</v>
      </c>
      <c r="B75" s="99">
        <v>16.510000000000002</v>
      </c>
      <c r="C75" s="99">
        <v>0</v>
      </c>
    </row>
    <row r="76" spans="1:3" x14ac:dyDescent="0.25">
      <c r="A76" s="98">
        <v>69</v>
      </c>
      <c r="B76" s="99">
        <v>15.85</v>
      </c>
      <c r="C76" s="99">
        <v>0</v>
      </c>
    </row>
    <row r="77" spans="1:3" x14ac:dyDescent="0.25">
      <c r="A77" s="98">
        <v>70</v>
      </c>
      <c r="B77" s="99">
        <v>15.19</v>
      </c>
      <c r="C77" s="99">
        <v>0</v>
      </c>
    </row>
    <row r="78" spans="1:3" x14ac:dyDescent="0.25">
      <c r="A78" s="98">
        <v>71</v>
      </c>
      <c r="B78" s="99">
        <v>14.53</v>
      </c>
      <c r="C78" s="99">
        <v>0</v>
      </c>
    </row>
    <row r="79" spans="1:3" x14ac:dyDescent="0.25">
      <c r="A79" s="98">
        <v>72</v>
      </c>
      <c r="B79" s="99">
        <v>13.87</v>
      </c>
      <c r="C79" s="99">
        <v>0</v>
      </c>
    </row>
    <row r="80" spans="1:3" x14ac:dyDescent="0.25">
      <c r="A80" s="98">
        <v>73</v>
      </c>
      <c r="B80" s="99">
        <v>13.22</v>
      </c>
      <c r="C80" s="99">
        <v>0</v>
      </c>
    </row>
    <row r="81" spans="1:3" x14ac:dyDescent="0.25">
      <c r="A81" s="98">
        <v>74</v>
      </c>
      <c r="B81" s="99">
        <v>12.57</v>
      </c>
      <c r="C81" s="99">
        <v>0</v>
      </c>
    </row>
  </sheetData>
  <sheetProtection algorithmName="SHA-512" hashValue="cuuPFyw4K+BNR1qVLzk8MropXMlVKc72HqwHIANZJDjr8uXKvZnsmR1h6P8mNWB1rjPdFs6JfwmyNyJkiFJvjg==" saltValue="3q/1QZ2rrZ1xyh+TUlNpsg==" spinCount="100000" sheet="1" objects="1" scenarios="1"/>
  <conditionalFormatting sqref="A6:A21">
    <cfRule type="expression" dxfId="555" priority="11" stopIfTrue="1">
      <formula>MOD(ROW(),2)=0</formula>
    </cfRule>
    <cfRule type="expression" dxfId="554" priority="12" stopIfTrue="1">
      <formula>MOD(ROW(),2)&lt;&gt;0</formula>
    </cfRule>
  </conditionalFormatting>
  <conditionalFormatting sqref="A26:A81">
    <cfRule type="expression" dxfId="553" priority="3" stopIfTrue="1">
      <formula>MOD(ROW(),2)=0</formula>
    </cfRule>
    <cfRule type="expression" dxfId="552" priority="4" stopIfTrue="1">
      <formula>MOD(ROW(),2)&lt;&gt;0</formula>
    </cfRule>
  </conditionalFormatting>
  <conditionalFormatting sqref="B16:B21">
    <cfRule type="expression" dxfId="551" priority="1" stopIfTrue="1">
      <formula>MOD(ROW(),2)=0</formula>
    </cfRule>
    <cfRule type="expression" dxfId="550" priority="2" stopIfTrue="1">
      <formula>MOD(ROW(),2)&lt;&gt;0</formula>
    </cfRule>
  </conditionalFormatting>
  <conditionalFormatting sqref="B6:C6 C7 B8:C15 C16:C21">
    <cfRule type="expression" dxfId="549" priority="23" stopIfTrue="1">
      <formula>MOD(ROW(),2)=0</formula>
    </cfRule>
    <cfRule type="expression" dxfId="548" priority="24" stopIfTrue="1">
      <formula>MOD(ROW(),2)&lt;&gt;0</formula>
    </cfRule>
  </conditionalFormatting>
  <conditionalFormatting sqref="B6:C21">
    <cfRule type="expression" dxfId="547" priority="15" stopIfTrue="1">
      <formula>MOD(ROW(),2)=0</formula>
    </cfRule>
    <cfRule type="expression" dxfId="546" priority="16" stopIfTrue="1">
      <formula>MOD(ROW(),2)&lt;&gt;0</formula>
    </cfRule>
  </conditionalFormatting>
  <conditionalFormatting sqref="B26:C81">
    <cfRule type="expression" dxfId="545" priority="5" stopIfTrue="1">
      <formula>MOD(ROW(),2)=0</formula>
    </cfRule>
    <cfRule type="expression" dxfId="544" priority="6" stopIfTrue="1">
      <formula>MOD(ROW(),2)&lt;&gt;0</formula>
    </cfRule>
  </conditionalFormatting>
  <hyperlinks>
    <hyperlink ref="B24" location="Assumptions!A1" display="Assumptions" xr:uid="{22A61DAD-B7BD-41F0-B254-AD267085D60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30"/>
  <dimension ref="A1:M67"/>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Scheme pays AA - x-609</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521</v>
      </c>
      <c r="C9" s="161"/>
      <c r="D9" s="161"/>
      <c r="E9" s="161"/>
      <c r="F9" s="161"/>
      <c r="G9" s="161"/>
      <c r="H9" s="161"/>
      <c r="I9" s="161"/>
      <c r="J9" s="161"/>
      <c r="K9" s="161"/>
      <c r="L9" s="161"/>
      <c r="M9" s="161"/>
    </row>
    <row r="10" spans="1:13" x14ac:dyDescent="0.25">
      <c r="A10" s="77" t="s">
        <v>6</v>
      </c>
      <c r="B10" s="161" t="s">
        <v>528</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529</v>
      </c>
      <c r="C12" s="161"/>
      <c r="D12" s="161"/>
      <c r="E12" s="161"/>
      <c r="F12" s="161"/>
      <c r="G12" s="161"/>
      <c r="H12" s="161"/>
      <c r="I12" s="161"/>
      <c r="J12" s="161"/>
      <c r="K12" s="161"/>
      <c r="L12" s="161"/>
      <c r="M12" s="161"/>
    </row>
    <row r="13" spans="1:13" x14ac:dyDescent="0.25">
      <c r="A13" s="77" t="s">
        <v>287</v>
      </c>
      <c r="B13" s="161">
        <v>0</v>
      </c>
      <c r="C13" s="161"/>
      <c r="D13" s="161"/>
      <c r="E13" s="161"/>
      <c r="F13" s="161"/>
      <c r="G13" s="161"/>
      <c r="H13" s="161"/>
      <c r="I13" s="161"/>
      <c r="J13" s="161"/>
      <c r="K13" s="161"/>
      <c r="L13" s="161"/>
      <c r="M13" s="161"/>
    </row>
    <row r="14" spans="1:13" x14ac:dyDescent="0.25">
      <c r="A14" s="77" t="s">
        <v>289</v>
      </c>
      <c r="B14" s="161">
        <v>609</v>
      </c>
      <c r="C14" s="161"/>
      <c r="D14" s="161"/>
      <c r="E14" s="161"/>
      <c r="F14" s="161"/>
      <c r="G14" s="161"/>
      <c r="H14" s="161"/>
      <c r="I14" s="161"/>
      <c r="J14" s="161"/>
      <c r="K14" s="161"/>
      <c r="L14" s="161"/>
      <c r="M14" s="161"/>
    </row>
    <row r="15" spans="1:13" x14ac:dyDescent="0.25">
      <c r="A15" s="77" t="s">
        <v>291</v>
      </c>
      <c r="B15" s="161" t="s">
        <v>530</v>
      </c>
      <c r="C15" s="161"/>
      <c r="D15" s="161"/>
      <c r="E15" s="161"/>
      <c r="F15" s="161"/>
      <c r="G15" s="161"/>
      <c r="H15" s="161"/>
      <c r="I15" s="161"/>
      <c r="J15" s="161"/>
      <c r="K15" s="161"/>
      <c r="L15" s="161"/>
      <c r="M15" s="161"/>
    </row>
    <row r="16" spans="1:13" x14ac:dyDescent="0.25">
      <c r="A16" s="77" t="s">
        <v>293</v>
      </c>
      <c r="B16" s="161" t="s">
        <v>531</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20</v>
      </c>
      <c r="B27" s="103">
        <v>0.216</v>
      </c>
      <c r="C27" s="103">
        <v>0.216</v>
      </c>
      <c r="D27" s="103">
        <v>0.217</v>
      </c>
      <c r="E27" s="103">
        <v>0.217</v>
      </c>
      <c r="F27" s="103">
        <v>0.218</v>
      </c>
      <c r="G27" s="103">
        <v>0.218</v>
      </c>
      <c r="H27" s="103">
        <v>0.219</v>
      </c>
      <c r="I27" s="103">
        <v>0.219</v>
      </c>
      <c r="J27" s="103">
        <v>0.22</v>
      </c>
      <c r="K27" s="103">
        <v>0.22</v>
      </c>
      <c r="L27" s="103">
        <v>0.221</v>
      </c>
      <c r="M27" s="103">
        <v>0.222</v>
      </c>
    </row>
    <row r="28" spans="1:13" x14ac:dyDescent="0.25">
      <c r="A28" s="98">
        <v>21</v>
      </c>
      <c r="B28" s="103">
        <v>0.222</v>
      </c>
      <c r="C28" s="103">
        <v>0.223</v>
      </c>
      <c r="D28" s="103">
        <v>0.223</v>
      </c>
      <c r="E28" s="103">
        <v>0.224</v>
      </c>
      <c r="F28" s="103">
        <v>0.224</v>
      </c>
      <c r="G28" s="103">
        <v>0.22500000000000001</v>
      </c>
      <c r="H28" s="103">
        <v>0.22500000000000001</v>
      </c>
      <c r="I28" s="103">
        <v>0.22600000000000001</v>
      </c>
      <c r="J28" s="103">
        <v>0.22600000000000001</v>
      </c>
      <c r="K28" s="103">
        <v>0.22700000000000001</v>
      </c>
      <c r="L28" s="103">
        <v>0.22800000000000001</v>
      </c>
      <c r="M28" s="103">
        <v>0.22800000000000001</v>
      </c>
    </row>
    <row r="29" spans="1:13" x14ac:dyDescent="0.25">
      <c r="A29" s="98">
        <v>22</v>
      </c>
      <c r="B29" s="103">
        <v>0.22900000000000001</v>
      </c>
      <c r="C29" s="103">
        <v>0.22900000000000001</v>
      </c>
      <c r="D29" s="103">
        <v>0.23</v>
      </c>
      <c r="E29" s="103">
        <v>0.23</v>
      </c>
      <c r="F29" s="103">
        <v>0.23100000000000001</v>
      </c>
      <c r="G29" s="103">
        <v>0.23200000000000001</v>
      </c>
      <c r="H29" s="103">
        <v>0.23200000000000001</v>
      </c>
      <c r="I29" s="103">
        <v>0.23300000000000001</v>
      </c>
      <c r="J29" s="103">
        <v>0.23300000000000001</v>
      </c>
      <c r="K29" s="103">
        <v>0.23400000000000001</v>
      </c>
      <c r="L29" s="103">
        <v>0.23400000000000001</v>
      </c>
      <c r="M29" s="103">
        <v>0.23499999999999999</v>
      </c>
    </row>
    <row r="30" spans="1:13" x14ac:dyDescent="0.25">
      <c r="A30" s="98">
        <v>23</v>
      </c>
      <c r="B30" s="103">
        <v>0.23599999999999999</v>
      </c>
      <c r="C30" s="103">
        <v>0.23599999999999999</v>
      </c>
      <c r="D30" s="103">
        <v>0.23699999999999999</v>
      </c>
      <c r="E30" s="103">
        <v>0.23699999999999999</v>
      </c>
      <c r="F30" s="103">
        <v>0.23799999999999999</v>
      </c>
      <c r="G30" s="103">
        <v>0.23899999999999999</v>
      </c>
      <c r="H30" s="103">
        <v>0.23899999999999999</v>
      </c>
      <c r="I30" s="103">
        <v>0.24</v>
      </c>
      <c r="J30" s="103">
        <v>0.24</v>
      </c>
      <c r="K30" s="103">
        <v>0.24099999999999999</v>
      </c>
      <c r="L30" s="103">
        <v>0.24099999999999999</v>
      </c>
      <c r="M30" s="103">
        <v>0.24199999999999999</v>
      </c>
    </row>
    <row r="31" spans="1:13" x14ac:dyDescent="0.25">
      <c r="A31" s="98">
        <v>24</v>
      </c>
      <c r="B31" s="103">
        <v>0.24299999999999999</v>
      </c>
      <c r="C31" s="103">
        <v>0.24299999999999999</v>
      </c>
      <c r="D31" s="103">
        <v>0.24399999999999999</v>
      </c>
      <c r="E31" s="103">
        <v>0.245</v>
      </c>
      <c r="F31" s="103">
        <v>0.245</v>
      </c>
      <c r="G31" s="103">
        <v>0.246</v>
      </c>
      <c r="H31" s="103">
        <v>0.246</v>
      </c>
      <c r="I31" s="103">
        <v>0.247</v>
      </c>
      <c r="J31" s="103">
        <v>0.248</v>
      </c>
      <c r="K31" s="103">
        <v>0.248</v>
      </c>
      <c r="L31" s="103">
        <v>0.249</v>
      </c>
      <c r="M31" s="103">
        <v>0.25</v>
      </c>
    </row>
    <row r="32" spans="1:13" x14ac:dyDescent="0.25">
      <c r="A32" s="98">
        <v>25</v>
      </c>
      <c r="B32" s="103">
        <v>0.25</v>
      </c>
      <c r="C32" s="103">
        <v>0.251</v>
      </c>
      <c r="D32" s="103">
        <v>0.251</v>
      </c>
      <c r="E32" s="103">
        <v>0.252</v>
      </c>
      <c r="F32" s="103">
        <v>0.253</v>
      </c>
      <c r="G32" s="103">
        <v>0.253</v>
      </c>
      <c r="H32" s="103">
        <v>0.254</v>
      </c>
      <c r="I32" s="103">
        <v>0.255</v>
      </c>
      <c r="J32" s="103">
        <v>0.255</v>
      </c>
      <c r="K32" s="103">
        <v>0.25600000000000001</v>
      </c>
      <c r="L32" s="103">
        <v>0.25700000000000001</v>
      </c>
      <c r="M32" s="103">
        <v>0.25700000000000001</v>
      </c>
    </row>
    <row r="33" spans="1:13" x14ac:dyDescent="0.25">
      <c r="A33" s="98">
        <v>26</v>
      </c>
      <c r="B33" s="103">
        <v>0.25800000000000001</v>
      </c>
      <c r="C33" s="103">
        <v>0.25900000000000001</v>
      </c>
      <c r="D33" s="103">
        <v>0.25900000000000001</v>
      </c>
      <c r="E33" s="103">
        <v>0.26</v>
      </c>
      <c r="F33" s="103">
        <v>0.26100000000000001</v>
      </c>
      <c r="G33" s="103">
        <v>0.26100000000000001</v>
      </c>
      <c r="H33" s="103">
        <v>0.26200000000000001</v>
      </c>
      <c r="I33" s="103">
        <v>0.26300000000000001</v>
      </c>
      <c r="J33" s="103">
        <v>0.26300000000000001</v>
      </c>
      <c r="K33" s="103">
        <v>0.26400000000000001</v>
      </c>
      <c r="L33" s="103">
        <v>0.26500000000000001</v>
      </c>
      <c r="M33" s="103">
        <v>0.26500000000000001</v>
      </c>
    </row>
    <row r="34" spans="1:13" x14ac:dyDescent="0.25">
      <c r="A34" s="98">
        <v>27</v>
      </c>
      <c r="B34" s="103">
        <v>0.26600000000000001</v>
      </c>
      <c r="C34" s="103">
        <v>0.26700000000000002</v>
      </c>
      <c r="D34" s="103">
        <v>0.26800000000000002</v>
      </c>
      <c r="E34" s="103">
        <v>0.26800000000000002</v>
      </c>
      <c r="F34" s="103">
        <v>0.26900000000000002</v>
      </c>
      <c r="G34" s="103">
        <v>0.27</v>
      </c>
      <c r="H34" s="103">
        <v>0.27</v>
      </c>
      <c r="I34" s="103">
        <v>0.27100000000000002</v>
      </c>
      <c r="J34" s="103">
        <v>0.27200000000000002</v>
      </c>
      <c r="K34" s="103">
        <v>0.27300000000000002</v>
      </c>
      <c r="L34" s="103">
        <v>0.27300000000000002</v>
      </c>
      <c r="M34" s="103">
        <v>0.27400000000000002</v>
      </c>
    </row>
    <row r="35" spans="1:13" x14ac:dyDescent="0.25">
      <c r="A35" s="98">
        <v>28</v>
      </c>
      <c r="B35" s="103">
        <v>0.27500000000000002</v>
      </c>
      <c r="C35" s="103">
        <v>0.27500000000000002</v>
      </c>
      <c r="D35" s="103">
        <v>0.27600000000000002</v>
      </c>
      <c r="E35" s="103">
        <v>0.27700000000000002</v>
      </c>
      <c r="F35" s="103">
        <v>0.27800000000000002</v>
      </c>
      <c r="G35" s="103">
        <v>0.27800000000000002</v>
      </c>
      <c r="H35" s="103">
        <v>0.27900000000000003</v>
      </c>
      <c r="I35" s="103">
        <v>0.28000000000000003</v>
      </c>
      <c r="J35" s="103">
        <v>0.28100000000000003</v>
      </c>
      <c r="K35" s="103">
        <v>0.28100000000000003</v>
      </c>
      <c r="L35" s="103">
        <v>0.28199999999999997</v>
      </c>
      <c r="M35" s="103">
        <v>0.28299999999999997</v>
      </c>
    </row>
    <row r="36" spans="1:13" x14ac:dyDescent="0.25">
      <c r="A36" s="98">
        <v>29</v>
      </c>
      <c r="B36" s="103">
        <v>0.28399999999999997</v>
      </c>
      <c r="C36" s="103">
        <v>0.28399999999999997</v>
      </c>
      <c r="D36" s="103">
        <v>0.28499999999999998</v>
      </c>
      <c r="E36" s="103">
        <v>0.28599999999999998</v>
      </c>
      <c r="F36" s="103">
        <v>0.28699999999999998</v>
      </c>
      <c r="G36" s="103">
        <v>0.28699999999999998</v>
      </c>
      <c r="H36" s="103">
        <v>0.28799999999999998</v>
      </c>
      <c r="I36" s="103">
        <v>0.28899999999999998</v>
      </c>
      <c r="J36" s="103">
        <v>0.28999999999999998</v>
      </c>
      <c r="K36" s="103">
        <v>0.29099999999999998</v>
      </c>
      <c r="L36" s="103">
        <v>0.29099999999999998</v>
      </c>
      <c r="M36" s="103">
        <v>0.29199999999999998</v>
      </c>
    </row>
    <row r="37" spans="1:13" x14ac:dyDescent="0.25">
      <c r="A37" s="98">
        <v>30</v>
      </c>
      <c r="B37" s="103">
        <v>0.29299999999999998</v>
      </c>
      <c r="C37" s="103">
        <v>0.29399999999999998</v>
      </c>
      <c r="D37" s="103">
        <v>0.29499999999999998</v>
      </c>
      <c r="E37" s="103">
        <v>0.29499999999999998</v>
      </c>
      <c r="F37" s="103">
        <v>0.29599999999999999</v>
      </c>
      <c r="G37" s="103">
        <v>0.29699999999999999</v>
      </c>
      <c r="H37" s="103">
        <v>0.29799999999999999</v>
      </c>
      <c r="I37" s="103">
        <v>0.29899999999999999</v>
      </c>
      <c r="J37" s="103">
        <v>0.29899999999999999</v>
      </c>
      <c r="K37" s="103">
        <v>0.3</v>
      </c>
      <c r="L37" s="103">
        <v>0.30099999999999999</v>
      </c>
      <c r="M37" s="103">
        <v>0.30199999999999999</v>
      </c>
    </row>
    <row r="38" spans="1:13" x14ac:dyDescent="0.25">
      <c r="A38" s="98">
        <v>31</v>
      </c>
      <c r="B38" s="103">
        <v>0.30299999999999999</v>
      </c>
      <c r="C38" s="103">
        <v>0.30399999999999999</v>
      </c>
      <c r="D38" s="103">
        <v>0.30399999999999999</v>
      </c>
      <c r="E38" s="103">
        <v>0.30499999999999999</v>
      </c>
      <c r="F38" s="103">
        <v>0.30599999999999999</v>
      </c>
      <c r="G38" s="103">
        <v>0.307</v>
      </c>
      <c r="H38" s="103">
        <v>0.308</v>
      </c>
      <c r="I38" s="103">
        <v>0.309</v>
      </c>
      <c r="J38" s="103">
        <v>0.309</v>
      </c>
      <c r="K38" s="103">
        <v>0.31</v>
      </c>
      <c r="L38" s="103">
        <v>0.311</v>
      </c>
      <c r="M38" s="103">
        <v>0.312</v>
      </c>
    </row>
    <row r="39" spans="1:13" x14ac:dyDescent="0.25">
      <c r="A39" s="98">
        <v>32</v>
      </c>
      <c r="B39" s="103">
        <v>0.313</v>
      </c>
      <c r="C39" s="103">
        <v>0.314</v>
      </c>
      <c r="D39" s="103">
        <v>0.315</v>
      </c>
      <c r="E39" s="103">
        <v>0.316</v>
      </c>
      <c r="F39" s="103">
        <v>0.316</v>
      </c>
      <c r="G39" s="103">
        <v>0.317</v>
      </c>
      <c r="H39" s="103">
        <v>0.318</v>
      </c>
      <c r="I39" s="103">
        <v>0.31900000000000001</v>
      </c>
      <c r="J39" s="103">
        <v>0.32</v>
      </c>
      <c r="K39" s="103">
        <v>0.32100000000000001</v>
      </c>
      <c r="L39" s="103">
        <v>0.32200000000000001</v>
      </c>
      <c r="M39" s="103">
        <v>0.32300000000000001</v>
      </c>
    </row>
    <row r="40" spans="1:13" x14ac:dyDescent="0.25">
      <c r="A40" s="98">
        <v>33</v>
      </c>
      <c r="B40" s="103">
        <v>0.32400000000000001</v>
      </c>
      <c r="C40" s="103">
        <v>0.32400000000000001</v>
      </c>
      <c r="D40" s="103">
        <v>0.32500000000000001</v>
      </c>
      <c r="E40" s="103">
        <v>0.32600000000000001</v>
      </c>
      <c r="F40" s="103">
        <v>0.32700000000000001</v>
      </c>
      <c r="G40" s="103">
        <v>0.32800000000000001</v>
      </c>
      <c r="H40" s="103">
        <v>0.32900000000000001</v>
      </c>
      <c r="I40" s="103">
        <v>0.33</v>
      </c>
      <c r="J40" s="103">
        <v>0.33100000000000002</v>
      </c>
      <c r="K40" s="103">
        <v>0.33200000000000002</v>
      </c>
      <c r="L40" s="103">
        <v>0.33300000000000002</v>
      </c>
      <c r="M40" s="103">
        <v>0.33400000000000002</v>
      </c>
    </row>
    <row r="41" spans="1:13" x14ac:dyDescent="0.25">
      <c r="A41" s="98">
        <v>34</v>
      </c>
      <c r="B41" s="103">
        <v>0.33500000000000002</v>
      </c>
      <c r="C41" s="103">
        <v>0.33600000000000002</v>
      </c>
      <c r="D41" s="103">
        <v>0.33700000000000002</v>
      </c>
      <c r="E41" s="103">
        <v>0.33800000000000002</v>
      </c>
      <c r="F41" s="103">
        <v>0.33900000000000002</v>
      </c>
      <c r="G41" s="103">
        <v>0.34</v>
      </c>
      <c r="H41" s="103">
        <v>0.34100000000000003</v>
      </c>
      <c r="I41" s="103">
        <v>0.34200000000000003</v>
      </c>
      <c r="J41" s="103">
        <v>0.34200000000000003</v>
      </c>
      <c r="K41" s="103">
        <v>0.34300000000000003</v>
      </c>
      <c r="L41" s="103">
        <v>0.34399999999999997</v>
      </c>
      <c r="M41" s="103">
        <v>0.34499999999999997</v>
      </c>
    </row>
    <row r="42" spans="1:13" x14ac:dyDescent="0.25">
      <c r="A42" s="98">
        <v>35</v>
      </c>
      <c r="B42" s="103">
        <v>0.34599999999999997</v>
      </c>
      <c r="C42" s="103">
        <v>0.34699999999999998</v>
      </c>
      <c r="D42" s="103">
        <v>0.34799999999999998</v>
      </c>
      <c r="E42" s="103">
        <v>0.34899999999999998</v>
      </c>
      <c r="F42" s="103">
        <v>0.35</v>
      </c>
      <c r="G42" s="103">
        <v>0.35199999999999998</v>
      </c>
      <c r="H42" s="103">
        <v>0.35299999999999998</v>
      </c>
      <c r="I42" s="103">
        <v>0.35399999999999998</v>
      </c>
      <c r="J42" s="103">
        <v>0.35499999999999998</v>
      </c>
      <c r="K42" s="103">
        <v>0.35599999999999998</v>
      </c>
      <c r="L42" s="103">
        <v>0.35699999999999998</v>
      </c>
      <c r="M42" s="103">
        <v>0.35799999999999998</v>
      </c>
    </row>
    <row r="43" spans="1:13" x14ac:dyDescent="0.25">
      <c r="A43" s="98">
        <v>36</v>
      </c>
      <c r="B43" s="103">
        <v>0.35899999999999999</v>
      </c>
      <c r="C43" s="103">
        <v>0.36</v>
      </c>
      <c r="D43" s="103">
        <v>0.36099999999999999</v>
      </c>
      <c r="E43" s="103">
        <v>0.36199999999999999</v>
      </c>
      <c r="F43" s="103">
        <v>0.36299999999999999</v>
      </c>
      <c r="G43" s="103">
        <v>0.36399999999999999</v>
      </c>
      <c r="H43" s="103">
        <v>0.36499999999999999</v>
      </c>
      <c r="I43" s="103">
        <v>0.36599999999999999</v>
      </c>
      <c r="J43" s="103">
        <v>0.36699999999999999</v>
      </c>
      <c r="K43" s="103">
        <v>0.36799999999999999</v>
      </c>
      <c r="L43" s="103">
        <v>0.36899999999999999</v>
      </c>
      <c r="M43" s="103">
        <v>0.37</v>
      </c>
    </row>
    <row r="44" spans="1:13" x14ac:dyDescent="0.25">
      <c r="A44" s="98">
        <v>37</v>
      </c>
      <c r="B44" s="103">
        <v>0.372</v>
      </c>
      <c r="C44" s="103">
        <v>0.373</v>
      </c>
      <c r="D44" s="103">
        <v>0.374</v>
      </c>
      <c r="E44" s="103">
        <v>0.375</v>
      </c>
      <c r="F44" s="103">
        <v>0.376</v>
      </c>
      <c r="G44" s="103">
        <v>0.377</v>
      </c>
      <c r="H44" s="103">
        <v>0.378</v>
      </c>
      <c r="I44" s="103">
        <v>0.379</v>
      </c>
      <c r="J44" s="103">
        <v>0.38100000000000001</v>
      </c>
      <c r="K44" s="103">
        <v>0.38200000000000001</v>
      </c>
      <c r="L44" s="103">
        <v>0.38300000000000001</v>
      </c>
      <c r="M44" s="103">
        <v>0.38400000000000001</v>
      </c>
    </row>
    <row r="45" spans="1:13" x14ac:dyDescent="0.25">
      <c r="A45" s="98">
        <v>38</v>
      </c>
      <c r="B45" s="103">
        <v>0.38500000000000001</v>
      </c>
      <c r="C45" s="103">
        <v>0.38600000000000001</v>
      </c>
      <c r="D45" s="103">
        <v>0.38700000000000001</v>
      </c>
      <c r="E45" s="103">
        <v>0.38900000000000001</v>
      </c>
      <c r="F45" s="103">
        <v>0.39</v>
      </c>
      <c r="G45" s="103">
        <v>0.39100000000000001</v>
      </c>
      <c r="H45" s="103">
        <v>0.39200000000000002</v>
      </c>
      <c r="I45" s="103">
        <v>0.39300000000000002</v>
      </c>
      <c r="J45" s="103">
        <v>0.39400000000000002</v>
      </c>
      <c r="K45" s="103">
        <v>0.39600000000000002</v>
      </c>
      <c r="L45" s="103">
        <v>0.39700000000000002</v>
      </c>
      <c r="M45" s="103">
        <v>0.39800000000000002</v>
      </c>
    </row>
    <row r="46" spans="1:13" x14ac:dyDescent="0.25">
      <c r="A46" s="98">
        <v>39</v>
      </c>
      <c r="B46" s="103">
        <v>0.39900000000000002</v>
      </c>
      <c r="C46" s="103">
        <v>0.4</v>
      </c>
      <c r="D46" s="103">
        <v>0.40200000000000002</v>
      </c>
      <c r="E46" s="103">
        <v>0.40300000000000002</v>
      </c>
      <c r="F46" s="103">
        <v>0.40400000000000003</v>
      </c>
      <c r="G46" s="103">
        <v>0.40500000000000003</v>
      </c>
      <c r="H46" s="103">
        <v>0.40699999999999997</v>
      </c>
      <c r="I46" s="103">
        <v>0.40799999999999997</v>
      </c>
      <c r="J46" s="103">
        <v>0.40899999999999997</v>
      </c>
      <c r="K46" s="103">
        <v>0.41</v>
      </c>
      <c r="L46" s="103">
        <v>0.41199999999999998</v>
      </c>
      <c r="M46" s="103">
        <v>0.41299999999999998</v>
      </c>
    </row>
    <row r="47" spans="1:13" x14ac:dyDescent="0.25">
      <c r="A47" s="98">
        <v>40</v>
      </c>
      <c r="B47" s="103">
        <v>0.41399999999999998</v>
      </c>
      <c r="C47" s="103">
        <v>0.41499999999999998</v>
      </c>
      <c r="D47" s="103">
        <v>0.41699999999999998</v>
      </c>
      <c r="E47" s="103">
        <v>0.41799999999999998</v>
      </c>
      <c r="F47" s="103">
        <v>0.41899999999999998</v>
      </c>
      <c r="G47" s="103">
        <v>0.42099999999999999</v>
      </c>
      <c r="H47" s="103">
        <v>0.42199999999999999</v>
      </c>
      <c r="I47" s="103">
        <v>0.42299999999999999</v>
      </c>
      <c r="J47" s="103">
        <v>0.42499999999999999</v>
      </c>
      <c r="K47" s="103">
        <v>0.42599999999999999</v>
      </c>
      <c r="L47" s="103">
        <v>0.42699999999999999</v>
      </c>
      <c r="M47" s="103">
        <v>0.42799999999999999</v>
      </c>
    </row>
    <row r="48" spans="1:13" x14ac:dyDescent="0.25">
      <c r="A48" s="98">
        <v>41</v>
      </c>
      <c r="B48" s="103">
        <v>0.43</v>
      </c>
      <c r="C48" s="103">
        <v>0.43099999999999999</v>
      </c>
      <c r="D48" s="103">
        <v>0.433</v>
      </c>
      <c r="E48" s="103">
        <v>0.434</v>
      </c>
      <c r="F48" s="103">
        <v>0.435</v>
      </c>
      <c r="G48" s="103">
        <v>0.437</v>
      </c>
      <c r="H48" s="103">
        <v>0.438</v>
      </c>
      <c r="I48" s="103">
        <v>0.439</v>
      </c>
      <c r="J48" s="103">
        <v>0.441</v>
      </c>
      <c r="K48" s="103">
        <v>0.442</v>
      </c>
      <c r="L48" s="103">
        <v>0.44400000000000001</v>
      </c>
      <c r="M48" s="103">
        <v>0.44500000000000001</v>
      </c>
    </row>
    <row r="49" spans="1:13" x14ac:dyDescent="0.25">
      <c r="A49" s="98">
        <v>42</v>
      </c>
      <c r="B49" s="103">
        <v>0.44600000000000001</v>
      </c>
      <c r="C49" s="103">
        <v>0.44800000000000001</v>
      </c>
      <c r="D49" s="103">
        <v>0.44900000000000001</v>
      </c>
      <c r="E49" s="103">
        <v>0.45100000000000001</v>
      </c>
      <c r="F49" s="103">
        <v>0.45200000000000001</v>
      </c>
      <c r="G49" s="103">
        <v>0.45400000000000001</v>
      </c>
      <c r="H49" s="103">
        <v>0.45500000000000002</v>
      </c>
      <c r="I49" s="103">
        <v>0.45600000000000002</v>
      </c>
      <c r="J49" s="103">
        <v>0.45800000000000002</v>
      </c>
      <c r="K49" s="103">
        <v>0.45900000000000002</v>
      </c>
      <c r="L49" s="103">
        <v>0.46100000000000002</v>
      </c>
      <c r="M49" s="103">
        <v>0.46200000000000002</v>
      </c>
    </row>
    <row r="50" spans="1:13" x14ac:dyDescent="0.25">
      <c r="A50" s="98">
        <v>43</v>
      </c>
      <c r="B50" s="103">
        <v>0.46400000000000002</v>
      </c>
      <c r="C50" s="103">
        <v>0.46500000000000002</v>
      </c>
      <c r="D50" s="103">
        <v>0.46700000000000003</v>
      </c>
      <c r="E50" s="103">
        <v>0.46800000000000003</v>
      </c>
      <c r="F50" s="103">
        <v>0.47</v>
      </c>
      <c r="G50" s="103">
        <v>0.47099999999999997</v>
      </c>
      <c r="H50" s="103">
        <v>0.47299999999999998</v>
      </c>
      <c r="I50" s="103">
        <v>0.47399999999999998</v>
      </c>
      <c r="J50" s="103">
        <v>0.47599999999999998</v>
      </c>
      <c r="K50" s="103">
        <v>0.47699999999999998</v>
      </c>
      <c r="L50" s="103">
        <v>0.47899999999999998</v>
      </c>
      <c r="M50" s="103">
        <v>0.48</v>
      </c>
    </row>
    <row r="51" spans="1:13" x14ac:dyDescent="0.25">
      <c r="A51" s="98">
        <v>44</v>
      </c>
      <c r="B51" s="103">
        <v>0.48199999999999998</v>
      </c>
      <c r="C51" s="103">
        <v>0.48399999999999999</v>
      </c>
      <c r="D51" s="103">
        <v>0.48499999999999999</v>
      </c>
      <c r="E51" s="103">
        <v>0.48699999999999999</v>
      </c>
      <c r="F51" s="103">
        <v>0.48799999999999999</v>
      </c>
      <c r="G51" s="103">
        <v>0.49</v>
      </c>
      <c r="H51" s="103">
        <v>0.49199999999999999</v>
      </c>
      <c r="I51" s="103">
        <v>0.49299999999999999</v>
      </c>
      <c r="J51" s="103">
        <v>0.495</v>
      </c>
      <c r="K51" s="103">
        <v>0.496</v>
      </c>
      <c r="L51" s="103">
        <v>0.498</v>
      </c>
      <c r="M51" s="103">
        <v>0.5</v>
      </c>
    </row>
    <row r="52" spans="1:13" x14ac:dyDescent="0.25">
      <c r="A52" s="98">
        <v>45</v>
      </c>
      <c r="B52" s="103">
        <v>0.501</v>
      </c>
      <c r="C52" s="103">
        <v>0.503</v>
      </c>
      <c r="D52" s="103">
        <v>0.505</v>
      </c>
      <c r="E52" s="103">
        <v>0.50600000000000001</v>
      </c>
      <c r="F52" s="103">
        <v>0.50800000000000001</v>
      </c>
      <c r="G52" s="103">
        <v>0.51</v>
      </c>
      <c r="H52" s="103">
        <v>0.51200000000000001</v>
      </c>
      <c r="I52" s="103">
        <v>0.51300000000000001</v>
      </c>
      <c r="J52" s="103">
        <v>0.51500000000000001</v>
      </c>
      <c r="K52" s="103">
        <v>0.51700000000000002</v>
      </c>
      <c r="L52" s="103">
        <v>0.51800000000000002</v>
      </c>
      <c r="M52" s="103">
        <v>0.52</v>
      </c>
    </row>
    <row r="53" spans="1:13" x14ac:dyDescent="0.25">
      <c r="A53" s="98">
        <v>46</v>
      </c>
      <c r="B53" s="103">
        <v>0.52200000000000002</v>
      </c>
      <c r="C53" s="103">
        <v>0.52400000000000002</v>
      </c>
      <c r="D53" s="103">
        <v>0.52500000000000002</v>
      </c>
      <c r="E53" s="103">
        <v>0.52700000000000002</v>
      </c>
      <c r="F53" s="103">
        <v>0.52900000000000003</v>
      </c>
      <c r="G53" s="103">
        <v>0.53100000000000003</v>
      </c>
      <c r="H53" s="103">
        <v>0.53300000000000003</v>
      </c>
      <c r="I53" s="103">
        <v>0.53400000000000003</v>
      </c>
      <c r="J53" s="103">
        <v>0.53600000000000003</v>
      </c>
      <c r="K53" s="103">
        <v>0.53800000000000003</v>
      </c>
      <c r="L53" s="103">
        <v>0.54</v>
      </c>
      <c r="M53" s="103">
        <v>0.54200000000000004</v>
      </c>
    </row>
    <row r="54" spans="1:13" x14ac:dyDescent="0.25">
      <c r="A54" s="98">
        <v>47</v>
      </c>
      <c r="B54" s="103">
        <v>0.54300000000000004</v>
      </c>
      <c r="C54" s="103">
        <v>0.54500000000000004</v>
      </c>
      <c r="D54" s="103">
        <v>0.54700000000000004</v>
      </c>
      <c r="E54" s="103">
        <v>0.54900000000000004</v>
      </c>
      <c r="F54" s="103">
        <v>0.55100000000000005</v>
      </c>
      <c r="G54" s="103">
        <v>0.55300000000000005</v>
      </c>
      <c r="H54" s="103">
        <v>0.55500000000000005</v>
      </c>
      <c r="I54" s="103">
        <v>0.55700000000000005</v>
      </c>
      <c r="J54" s="103">
        <v>0.55900000000000005</v>
      </c>
      <c r="K54" s="103">
        <v>0.56100000000000005</v>
      </c>
      <c r="L54" s="103">
        <v>0.56200000000000006</v>
      </c>
      <c r="M54" s="103">
        <v>0.56399999999999995</v>
      </c>
    </row>
    <row r="55" spans="1:13" x14ac:dyDescent="0.25">
      <c r="A55" s="98">
        <v>48</v>
      </c>
      <c r="B55" s="103">
        <v>0.56599999999999995</v>
      </c>
      <c r="C55" s="103">
        <v>0.56799999999999995</v>
      </c>
      <c r="D55" s="103">
        <v>0.56999999999999995</v>
      </c>
      <c r="E55" s="103">
        <v>0.57199999999999995</v>
      </c>
      <c r="F55" s="103">
        <v>0.57399999999999995</v>
      </c>
      <c r="G55" s="103">
        <v>0.57599999999999996</v>
      </c>
      <c r="H55" s="103">
        <v>0.57799999999999996</v>
      </c>
      <c r="I55" s="103">
        <v>0.58099999999999996</v>
      </c>
      <c r="J55" s="103">
        <v>0.58299999999999996</v>
      </c>
      <c r="K55" s="103">
        <v>0.58499999999999996</v>
      </c>
      <c r="L55" s="103">
        <v>0.58699999999999997</v>
      </c>
      <c r="M55" s="103">
        <v>0.58899999999999997</v>
      </c>
    </row>
    <row r="56" spans="1:13" x14ac:dyDescent="0.25">
      <c r="A56" s="98">
        <v>49</v>
      </c>
      <c r="B56" s="103">
        <v>0.59099999999999997</v>
      </c>
      <c r="C56" s="103">
        <v>0.59299999999999997</v>
      </c>
      <c r="D56" s="103">
        <v>0.59499999999999997</v>
      </c>
      <c r="E56" s="103">
        <v>0.59699999999999998</v>
      </c>
      <c r="F56" s="103">
        <v>0.59899999999999998</v>
      </c>
      <c r="G56" s="103">
        <v>0.60099999999999998</v>
      </c>
      <c r="H56" s="103">
        <v>0.60399999999999998</v>
      </c>
      <c r="I56" s="103">
        <v>0.60599999999999998</v>
      </c>
      <c r="J56" s="103">
        <v>0.60799999999999998</v>
      </c>
      <c r="K56" s="103">
        <v>0.61</v>
      </c>
      <c r="L56" s="103">
        <v>0.61199999999999999</v>
      </c>
      <c r="M56" s="103">
        <v>0.61399999999999999</v>
      </c>
    </row>
    <row r="57" spans="1:13" x14ac:dyDescent="0.25">
      <c r="A57" s="98">
        <v>50</v>
      </c>
      <c r="B57" s="103">
        <v>0.61699999999999999</v>
      </c>
      <c r="C57" s="103">
        <v>0.61899999999999999</v>
      </c>
      <c r="D57" s="103">
        <v>0.621</v>
      </c>
      <c r="E57" s="103">
        <v>0.623</v>
      </c>
      <c r="F57" s="103">
        <v>0.626</v>
      </c>
      <c r="G57" s="103">
        <v>0.628</v>
      </c>
      <c r="H57" s="103">
        <v>0.63</v>
      </c>
      <c r="I57" s="103">
        <v>0.63300000000000001</v>
      </c>
      <c r="J57" s="103">
        <v>0.63500000000000001</v>
      </c>
      <c r="K57" s="103">
        <v>0.63700000000000001</v>
      </c>
      <c r="L57" s="103">
        <v>0.63900000000000001</v>
      </c>
      <c r="M57" s="103">
        <v>0.64200000000000002</v>
      </c>
    </row>
    <row r="58" spans="1:13" x14ac:dyDescent="0.25">
      <c r="A58" s="98">
        <v>51</v>
      </c>
      <c r="B58" s="103">
        <v>0.64400000000000002</v>
      </c>
      <c r="C58" s="103">
        <v>0.64700000000000002</v>
      </c>
      <c r="D58" s="103">
        <v>0.64900000000000002</v>
      </c>
      <c r="E58" s="103">
        <v>0.65100000000000002</v>
      </c>
      <c r="F58" s="103">
        <v>0.65400000000000003</v>
      </c>
      <c r="G58" s="103">
        <v>0.65600000000000003</v>
      </c>
      <c r="H58" s="103">
        <v>0.65900000000000003</v>
      </c>
      <c r="I58" s="103">
        <v>0.66100000000000003</v>
      </c>
      <c r="J58" s="103">
        <v>0.66400000000000003</v>
      </c>
      <c r="K58" s="103">
        <v>0.66600000000000004</v>
      </c>
      <c r="L58" s="103">
        <v>0.66900000000000004</v>
      </c>
      <c r="M58" s="103">
        <v>0.67100000000000004</v>
      </c>
    </row>
    <row r="59" spans="1:13" x14ac:dyDescent="0.25">
      <c r="A59" s="98">
        <v>52</v>
      </c>
      <c r="B59" s="103">
        <v>0.67400000000000004</v>
      </c>
      <c r="C59" s="103">
        <v>0.67600000000000005</v>
      </c>
      <c r="D59" s="103">
        <v>0.67900000000000005</v>
      </c>
      <c r="E59" s="103">
        <v>0.68100000000000005</v>
      </c>
      <c r="F59" s="103">
        <v>0.68400000000000005</v>
      </c>
      <c r="G59" s="103">
        <v>0.68700000000000006</v>
      </c>
      <c r="H59" s="103">
        <v>0.68899999999999995</v>
      </c>
      <c r="I59" s="103">
        <v>0.69199999999999995</v>
      </c>
      <c r="J59" s="103">
        <v>0.69399999999999995</v>
      </c>
      <c r="K59" s="103">
        <v>0.69699999999999995</v>
      </c>
      <c r="L59" s="103">
        <v>0.7</v>
      </c>
      <c r="M59" s="103">
        <v>0.70199999999999996</v>
      </c>
    </row>
    <row r="60" spans="1:13" x14ac:dyDescent="0.25">
      <c r="A60" s="98">
        <v>53</v>
      </c>
      <c r="B60" s="103">
        <v>0.70499999999999996</v>
      </c>
      <c r="C60" s="103">
        <v>0.70799999999999996</v>
      </c>
      <c r="D60" s="103">
        <v>0.71</v>
      </c>
      <c r="E60" s="103">
        <v>0.71299999999999997</v>
      </c>
      <c r="F60" s="103">
        <v>0.71599999999999997</v>
      </c>
      <c r="G60" s="103">
        <v>0.71899999999999997</v>
      </c>
      <c r="H60" s="103">
        <v>0.72199999999999998</v>
      </c>
      <c r="I60" s="103">
        <v>0.72399999999999998</v>
      </c>
      <c r="J60" s="103">
        <v>0.72699999999999998</v>
      </c>
      <c r="K60" s="103">
        <v>0.73</v>
      </c>
      <c r="L60" s="103">
        <v>0.73299999999999998</v>
      </c>
      <c r="M60" s="103">
        <v>0.73599999999999999</v>
      </c>
    </row>
    <row r="61" spans="1:13" x14ac:dyDescent="0.25">
      <c r="A61" s="98">
        <v>54</v>
      </c>
      <c r="B61" s="103">
        <v>0.73899999999999999</v>
      </c>
      <c r="C61" s="103">
        <v>0.74199999999999999</v>
      </c>
      <c r="D61" s="103">
        <v>0.745</v>
      </c>
      <c r="E61" s="103">
        <v>0.748</v>
      </c>
      <c r="F61" s="103">
        <v>0.751</v>
      </c>
      <c r="G61" s="103">
        <v>0.754</v>
      </c>
      <c r="H61" s="103">
        <v>0.75700000000000001</v>
      </c>
      <c r="I61" s="103">
        <v>0.76</v>
      </c>
      <c r="J61" s="103">
        <v>0.76300000000000001</v>
      </c>
      <c r="K61" s="103">
        <v>0.76600000000000001</v>
      </c>
      <c r="L61" s="103">
        <v>0.76900000000000002</v>
      </c>
      <c r="M61" s="103">
        <v>0.77200000000000002</v>
      </c>
    </row>
    <row r="62" spans="1:13" x14ac:dyDescent="0.25">
      <c r="A62" s="98">
        <v>55</v>
      </c>
      <c r="B62" s="103">
        <v>0.77500000000000002</v>
      </c>
      <c r="C62" s="103">
        <v>0.77800000000000002</v>
      </c>
      <c r="D62" s="103">
        <v>0.78100000000000003</v>
      </c>
      <c r="E62" s="103">
        <v>0.78400000000000003</v>
      </c>
      <c r="F62" s="103">
        <v>0.78700000000000003</v>
      </c>
      <c r="G62" s="103">
        <v>0.79100000000000004</v>
      </c>
      <c r="H62" s="103">
        <v>0.79400000000000004</v>
      </c>
      <c r="I62" s="103">
        <v>0.79700000000000004</v>
      </c>
      <c r="J62" s="103">
        <v>0.8</v>
      </c>
      <c r="K62" s="103">
        <v>0.80400000000000005</v>
      </c>
      <c r="L62" s="103">
        <v>0.80700000000000005</v>
      </c>
      <c r="M62" s="103">
        <v>0.81</v>
      </c>
    </row>
    <row r="63" spans="1:13" x14ac:dyDescent="0.25">
      <c r="A63" s="98">
        <v>56</v>
      </c>
      <c r="B63" s="103">
        <v>0.81299999999999994</v>
      </c>
      <c r="C63" s="103">
        <v>0.81699999999999995</v>
      </c>
      <c r="D63" s="103">
        <v>0.82</v>
      </c>
      <c r="E63" s="103">
        <v>0.82399999999999995</v>
      </c>
      <c r="F63" s="103">
        <v>0.82699999999999996</v>
      </c>
      <c r="G63" s="103">
        <v>0.83099999999999996</v>
      </c>
      <c r="H63" s="103">
        <v>0.83399999999999996</v>
      </c>
      <c r="I63" s="103">
        <v>0.83799999999999997</v>
      </c>
      <c r="J63" s="103">
        <v>0.84099999999999997</v>
      </c>
      <c r="K63" s="103">
        <v>0.84499999999999997</v>
      </c>
      <c r="L63" s="103">
        <v>0.84799999999999998</v>
      </c>
      <c r="M63" s="103">
        <v>0.85199999999999998</v>
      </c>
    </row>
    <row r="64" spans="1:13" x14ac:dyDescent="0.25">
      <c r="A64" s="98">
        <v>57</v>
      </c>
      <c r="B64" s="103">
        <v>0.85499999999999998</v>
      </c>
      <c r="C64" s="103">
        <v>0.85899999999999999</v>
      </c>
      <c r="D64" s="103">
        <v>0.86299999999999999</v>
      </c>
      <c r="E64" s="103">
        <v>0.86599999999999999</v>
      </c>
      <c r="F64" s="103">
        <v>0.87</v>
      </c>
      <c r="G64" s="103">
        <v>0.874</v>
      </c>
      <c r="H64" s="103">
        <v>0.878</v>
      </c>
      <c r="I64" s="103">
        <v>0.88100000000000001</v>
      </c>
      <c r="J64" s="103">
        <v>0.88500000000000001</v>
      </c>
      <c r="K64" s="103">
        <v>0.88900000000000001</v>
      </c>
      <c r="L64" s="103">
        <v>0.89300000000000002</v>
      </c>
      <c r="M64" s="103">
        <v>0.89600000000000002</v>
      </c>
    </row>
    <row r="65" spans="1:13" x14ac:dyDescent="0.25">
      <c r="A65" s="98">
        <v>58</v>
      </c>
      <c r="B65" s="103">
        <v>0.9</v>
      </c>
      <c r="C65" s="103">
        <v>0.90400000000000003</v>
      </c>
      <c r="D65" s="103">
        <v>0.90800000000000003</v>
      </c>
      <c r="E65" s="103">
        <v>0.91300000000000003</v>
      </c>
      <c r="F65" s="103">
        <v>0.91700000000000004</v>
      </c>
      <c r="G65" s="103">
        <v>0.92100000000000004</v>
      </c>
      <c r="H65" s="103">
        <v>0.92500000000000004</v>
      </c>
      <c r="I65" s="103">
        <v>0.92900000000000005</v>
      </c>
      <c r="J65" s="103">
        <v>0.93300000000000005</v>
      </c>
      <c r="K65" s="103">
        <v>0.93700000000000006</v>
      </c>
      <c r="L65" s="103">
        <v>0.94099999999999995</v>
      </c>
      <c r="M65" s="103">
        <v>0.94499999999999995</v>
      </c>
    </row>
    <row r="66" spans="1:13" x14ac:dyDescent="0.25">
      <c r="A66" s="98">
        <v>59</v>
      </c>
      <c r="B66" s="103">
        <v>0.94899999999999995</v>
      </c>
      <c r="C66" s="103">
        <v>0.95399999999999996</v>
      </c>
      <c r="D66" s="103">
        <v>0.95799999999999996</v>
      </c>
      <c r="E66" s="103">
        <v>0.96299999999999997</v>
      </c>
      <c r="F66" s="103">
        <v>0.96699999999999997</v>
      </c>
      <c r="G66" s="103">
        <v>0.97099999999999997</v>
      </c>
      <c r="H66" s="103">
        <v>0.97599999999999998</v>
      </c>
      <c r="I66" s="103">
        <v>0.98</v>
      </c>
      <c r="J66" s="103">
        <v>0.98499999999999999</v>
      </c>
      <c r="K66" s="103">
        <v>0.98899999999999999</v>
      </c>
      <c r="L66" s="103">
        <v>0.99299999999999999</v>
      </c>
      <c r="M66" s="103">
        <v>0.998</v>
      </c>
    </row>
    <row r="67" spans="1:13" x14ac:dyDescent="0.25">
      <c r="A67" s="98">
        <v>60</v>
      </c>
      <c r="B67" s="103">
        <v>1</v>
      </c>
      <c r="C67" s="103"/>
      <c r="D67" s="103"/>
      <c r="E67" s="103"/>
      <c r="F67" s="103"/>
      <c r="G67" s="103"/>
      <c r="H67" s="103"/>
      <c r="I67" s="103"/>
      <c r="J67" s="103"/>
      <c r="K67" s="103"/>
      <c r="L67" s="103"/>
      <c r="M67" s="103"/>
    </row>
  </sheetData>
  <sheetProtection algorithmName="SHA-512" hashValue="SQKlzsgFW7nMbwd+n62EV01xwtmrY0954EED4womBxn/82i7hQADGQUfrCvZE3pkN6oV425FFzOpM9j90rOx0Q==" saltValue="yGJIuzUN28AHkJ/bHv8zAw==" spinCount="100000" sheet="1" objects="1" scenarios="1"/>
  <conditionalFormatting sqref="A6:A21">
    <cfRule type="expression" dxfId="543" priority="11" stopIfTrue="1">
      <formula>MOD(ROW(),2)=0</formula>
    </cfRule>
    <cfRule type="expression" dxfId="542" priority="12" stopIfTrue="1">
      <formula>MOD(ROW(),2)&lt;&gt;0</formula>
    </cfRule>
  </conditionalFormatting>
  <conditionalFormatting sqref="A26:A67">
    <cfRule type="expression" dxfId="541" priority="3" stopIfTrue="1">
      <formula>MOD(ROW(),2)=0</formula>
    </cfRule>
    <cfRule type="expression" dxfId="540" priority="4" stopIfTrue="1">
      <formula>MOD(ROW(),2)&lt;&gt;0</formula>
    </cfRule>
  </conditionalFormatting>
  <conditionalFormatting sqref="B16:B21">
    <cfRule type="expression" dxfId="539" priority="1" stopIfTrue="1">
      <formula>MOD(ROW(),2)=0</formula>
    </cfRule>
    <cfRule type="expression" dxfId="538" priority="2" stopIfTrue="1">
      <formula>MOD(ROW(),2)&lt;&gt;0</formula>
    </cfRule>
  </conditionalFormatting>
  <conditionalFormatting sqref="B6:M6 C7:M7 B8:M15 C16:M21">
    <cfRule type="expression" dxfId="537" priority="23" stopIfTrue="1">
      <formula>MOD(ROW(),2)=0</formula>
    </cfRule>
    <cfRule type="expression" dxfId="536" priority="24" stopIfTrue="1">
      <formula>MOD(ROW(),2)&lt;&gt;0</formula>
    </cfRule>
  </conditionalFormatting>
  <conditionalFormatting sqref="B6:M21">
    <cfRule type="expression" dxfId="535" priority="15" stopIfTrue="1">
      <formula>MOD(ROW(),2)=0</formula>
    </cfRule>
    <cfRule type="expression" dxfId="534" priority="16" stopIfTrue="1">
      <formula>MOD(ROW(),2)&lt;&gt;0</formula>
    </cfRule>
  </conditionalFormatting>
  <conditionalFormatting sqref="B26:M67">
    <cfRule type="expression" dxfId="533" priority="5" stopIfTrue="1">
      <formula>MOD(ROW(),2)=0</formula>
    </cfRule>
    <cfRule type="expression" dxfId="532" priority="6" stopIfTrue="1">
      <formula>MOD(ROW(),2)&lt;&gt;0</formula>
    </cfRule>
  </conditionalFormatting>
  <hyperlinks>
    <hyperlink ref="B24" location="Assumptions!A1" display="Assumptions" xr:uid="{284EDA51-D237-4424-B37D-E76600F8626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W999"/>
  <sheetViews>
    <sheetView showGridLines="0" tabSelected="1" zoomScale="85" zoomScaleNormal="85" workbookViewId="0">
      <pane ySplit="7" topLeftCell="A8" activePane="bottomLeft" state="frozen"/>
      <selection activeCell="A3" sqref="A3"/>
      <selection pane="bottomLeft" activeCell="A8" sqref="A8"/>
    </sheetView>
  </sheetViews>
  <sheetFormatPr defaultRowHeight="12.5" x14ac:dyDescent="0.25"/>
  <cols>
    <col min="1" max="4" width="17.36328125" customWidth="1"/>
    <col min="5" max="5" width="50.6328125" customWidth="1"/>
    <col min="6" max="6" width="17.36328125" customWidth="1"/>
    <col min="7" max="7" width="50.6328125" customWidth="1"/>
    <col min="8" max="10" width="17.36328125" customWidth="1"/>
    <col min="11" max="11" width="30.6328125" customWidth="1"/>
    <col min="12" max="12" width="17.36328125" customWidth="1"/>
    <col min="13" max="14" width="17.36328125" style="8" customWidth="1"/>
    <col min="15" max="15" width="17.36328125" customWidth="1"/>
    <col min="16" max="16" width="19.90625" bestFit="1" customWidth="1"/>
    <col min="17" max="17" width="16.36328125" hidden="1" customWidth="1"/>
  </cols>
  <sheetData>
    <row r="1" spans="1:23" ht="20" x14ac:dyDescent="0.4">
      <c r="A1" s="4" t="s">
        <v>0</v>
      </c>
      <c r="B1" s="10"/>
      <c r="C1" s="10"/>
      <c r="D1" s="10"/>
      <c r="E1" s="10"/>
      <c r="F1" s="10"/>
      <c r="G1" s="10"/>
      <c r="H1" s="10"/>
      <c r="I1" s="10"/>
      <c r="J1" s="10"/>
      <c r="K1" s="10"/>
      <c r="L1" s="10"/>
      <c r="M1" s="101"/>
      <c r="N1" s="101"/>
      <c r="O1" s="10"/>
      <c r="P1" s="10"/>
      <c r="Q1" s="10"/>
    </row>
    <row r="2" spans="1:23" ht="15.5" x14ac:dyDescent="0.35">
      <c r="A2" s="11" t="str">
        <f>IF(title="&gt; Enter workbook title here","Enter workbook title in Cover sheet",title)</f>
        <v>NHSPS_S - Consolidated Factor Spreadsheet</v>
      </c>
      <c r="B2" s="9"/>
      <c r="C2" s="9"/>
      <c r="D2" s="9"/>
      <c r="E2" s="9"/>
      <c r="F2" s="9"/>
      <c r="G2" s="9"/>
      <c r="H2" s="9"/>
      <c r="I2" s="9"/>
      <c r="J2" s="9"/>
      <c r="K2" s="9"/>
      <c r="L2" s="9"/>
      <c r="M2" s="102"/>
      <c r="N2" s="102"/>
      <c r="O2" s="9"/>
      <c r="P2" s="9"/>
      <c r="Q2" s="9"/>
    </row>
    <row r="3" spans="1:23" ht="15.5" x14ac:dyDescent="0.35">
      <c r="A3" s="6" t="s">
        <v>11</v>
      </c>
      <c r="B3" s="9"/>
      <c r="C3" s="9"/>
      <c r="D3" s="9"/>
      <c r="E3" s="9"/>
      <c r="F3" s="9"/>
      <c r="G3" s="9"/>
      <c r="H3" s="9"/>
      <c r="I3" s="9"/>
      <c r="J3" s="9"/>
      <c r="K3" s="9"/>
      <c r="L3" s="9"/>
      <c r="M3" s="102"/>
      <c r="N3" s="102"/>
      <c r="O3" s="9"/>
      <c r="P3" s="9"/>
      <c r="Q3" s="9"/>
    </row>
    <row r="4" spans="1:23" x14ac:dyDescent="0.25">
      <c r="A4" s="7"/>
    </row>
    <row r="5" spans="1:23" x14ac:dyDescent="0.25">
      <c r="M5"/>
      <c r="N5"/>
    </row>
    <row r="6" spans="1:23" x14ac:dyDescent="0.25">
      <c r="M6"/>
      <c r="N6"/>
    </row>
    <row r="7" spans="1:23" s="25" customFormat="1" ht="50.25" customHeight="1" x14ac:dyDescent="0.3">
      <c r="A7" s="159" t="s">
        <v>304</v>
      </c>
      <c r="B7" s="159" t="s">
        <v>276</v>
      </c>
      <c r="C7" s="159" t="s">
        <v>278</v>
      </c>
      <c r="D7" s="159" t="s">
        <v>280</v>
      </c>
      <c r="E7" s="159" t="s">
        <v>6</v>
      </c>
      <c r="F7" s="159" t="s">
        <v>283</v>
      </c>
      <c r="G7" s="159" t="s">
        <v>285</v>
      </c>
      <c r="H7" s="159" t="s">
        <v>305</v>
      </c>
      <c r="I7" s="159" t="s">
        <v>289</v>
      </c>
      <c r="J7" s="159" t="s">
        <v>306</v>
      </c>
      <c r="K7" s="159" t="s">
        <v>293</v>
      </c>
      <c r="L7" s="159" t="s">
        <v>295</v>
      </c>
      <c r="M7" s="159" t="s">
        <v>297</v>
      </c>
      <c r="N7" s="159" t="s">
        <v>299</v>
      </c>
      <c r="O7" s="159" t="s">
        <v>301</v>
      </c>
      <c r="P7" s="159" t="s">
        <v>307</v>
      </c>
      <c r="Q7"/>
      <c r="R7"/>
      <c r="S7"/>
      <c r="T7"/>
      <c r="U7"/>
      <c r="V7"/>
      <c r="W7"/>
    </row>
    <row r="8" spans="1:23" ht="25" x14ac:dyDescent="0.25">
      <c r="A8" s="100" t="s">
        <v>844</v>
      </c>
      <c r="B8" s="86" t="s">
        <v>72</v>
      </c>
      <c r="C8" s="86" t="s">
        <v>73</v>
      </c>
      <c r="D8" s="86" t="s">
        <v>308</v>
      </c>
      <c r="E8" s="86" t="s">
        <v>309</v>
      </c>
      <c r="F8" s="86" t="s">
        <v>310</v>
      </c>
      <c r="G8" s="86" t="s">
        <v>311</v>
      </c>
      <c r="H8" s="86">
        <v>0</v>
      </c>
      <c r="I8" s="74">
        <v>101</v>
      </c>
      <c r="J8" t="s">
        <v>312</v>
      </c>
      <c r="K8" s="165" t="s">
        <v>313</v>
      </c>
      <c r="L8" s="165"/>
      <c r="M8" s="166">
        <v>45202</v>
      </c>
      <c r="N8" s="166">
        <v>45200</v>
      </c>
      <c r="O8" s="86" t="s">
        <v>314</v>
      </c>
      <c r="P8" s="166" t="s">
        <v>315</v>
      </c>
    </row>
    <row r="9" spans="1:23" ht="25" x14ac:dyDescent="0.25">
      <c r="A9" s="164" t="str">
        <f ca="1">HYPERLINK(MID(CELL("filename",A1),FIND("[",CELL("filename",A1)),FIND("]",CELL("filename",A1)) - FIND("[",CELL("filename",A1)) + 1) &amp; "'x-102'!TABLE_CLIENT_1","x-102 1")</f>
        <v>x-102 1</v>
      </c>
      <c r="B9" s="86" t="s">
        <v>72</v>
      </c>
      <c r="C9" s="86" t="s">
        <v>73</v>
      </c>
      <c r="D9" s="86" t="s">
        <v>308</v>
      </c>
      <c r="E9" s="86" t="s">
        <v>316</v>
      </c>
      <c r="F9" s="86" t="s">
        <v>310</v>
      </c>
      <c r="G9" s="86" t="s">
        <v>311</v>
      </c>
      <c r="H9" s="86">
        <v>0</v>
      </c>
      <c r="I9" s="74">
        <v>102</v>
      </c>
      <c r="J9" t="s">
        <v>317</v>
      </c>
      <c r="K9" s="165" t="s">
        <v>318</v>
      </c>
      <c r="L9" s="165"/>
      <c r="M9" s="166">
        <v>45202</v>
      </c>
      <c r="N9" s="166">
        <v>45200</v>
      </c>
      <c r="O9" s="86" t="s">
        <v>314</v>
      </c>
      <c r="P9" s="166" t="s">
        <v>315</v>
      </c>
    </row>
    <row r="10" spans="1:23" ht="25" x14ac:dyDescent="0.25">
      <c r="A10" s="164" t="str">
        <f ca="1">HYPERLINK(MID(CELL("filename",A1),FIND("[",CELL("filename",A1)),FIND("]",CELL("filename",A1)) - FIND("[",CELL("filename",A1)) + 1) &amp; "'x-103'!TABLE_CLIENT_1","x-103 1")</f>
        <v>x-103 1</v>
      </c>
      <c r="B10" s="86" t="s">
        <v>72</v>
      </c>
      <c r="C10" s="86" t="s">
        <v>73</v>
      </c>
      <c r="D10" s="86" t="s">
        <v>308</v>
      </c>
      <c r="E10" s="86" t="s">
        <v>319</v>
      </c>
      <c r="F10" s="86" t="s">
        <v>310</v>
      </c>
      <c r="G10" s="86" t="s">
        <v>311</v>
      </c>
      <c r="H10" s="86">
        <v>0</v>
      </c>
      <c r="I10" s="74">
        <v>103</v>
      </c>
      <c r="J10" t="s">
        <v>320</v>
      </c>
      <c r="K10" s="165" t="s">
        <v>321</v>
      </c>
      <c r="L10" s="165"/>
      <c r="M10" s="166">
        <v>45202</v>
      </c>
      <c r="N10" s="166">
        <v>45200</v>
      </c>
      <c r="O10" s="86" t="s">
        <v>314</v>
      </c>
      <c r="P10" s="166" t="s">
        <v>315</v>
      </c>
    </row>
    <row r="11" spans="1:23" ht="25" x14ac:dyDescent="0.25">
      <c r="A11" s="164" t="str">
        <f ca="1">HYPERLINK(MID(CELL("filename",A1),FIND("[",CELL("filename",A1)),FIND("]",CELL("filename",A1)) - FIND("[",CELL("filename",A1)) + 1) &amp; "'x-104'!TABLE_CLIENT_1","x-104 1")</f>
        <v>x-104 1</v>
      </c>
      <c r="B11" s="86" t="s">
        <v>72</v>
      </c>
      <c r="C11" s="86" t="s">
        <v>73</v>
      </c>
      <c r="D11" s="86" t="s">
        <v>308</v>
      </c>
      <c r="E11" s="86" t="s">
        <v>322</v>
      </c>
      <c r="F11" s="86" t="s">
        <v>310</v>
      </c>
      <c r="G11" s="86" t="s">
        <v>311</v>
      </c>
      <c r="H11" s="86">
        <v>0</v>
      </c>
      <c r="I11" s="74">
        <v>104</v>
      </c>
      <c r="J11" t="s">
        <v>323</v>
      </c>
      <c r="K11" s="165" t="s">
        <v>324</v>
      </c>
      <c r="L11" s="165"/>
      <c r="M11" s="166">
        <v>45202</v>
      </c>
      <c r="N11" s="166">
        <v>45200</v>
      </c>
      <c r="O11" s="86" t="s">
        <v>314</v>
      </c>
      <c r="P11" s="166" t="s">
        <v>315</v>
      </c>
    </row>
    <row r="12" spans="1:23" ht="25" x14ac:dyDescent="0.25">
      <c r="A12" s="164" t="str">
        <f ca="1">HYPERLINK(MID(CELL("filename",A1),FIND("[",CELL("filename",A1)),FIND("]",CELL("filename",A1)) - FIND("[",CELL("filename",A1)) + 1) &amp; "'x-201'!TABLE_CLIENT_1","x-201 1")</f>
        <v>x-201 1</v>
      </c>
      <c r="B12" s="86" t="s">
        <v>72</v>
      </c>
      <c r="C12" s="86" t="s">
        <v>74</v>
      </c>
      <c r="D12" s="86" t="s">
        <v>325</v>
      </c>
      <c r="E12" s="86" t="s">
        <v>326</v>
      </c>
      <c r="F12" s="86" t="s">
        <v>327</v>
      </c>
      <c r="G12" s="86" t="s">
        <v>311</v>
      </c>
      <c r="H12" s="86">
        <v>1</v>
      </c>
      <c r="I12" s="74">
        <v>201</v>
      </c>
      <c r="J12" t="s">
        <v>328</v>
      </c>
      <c r="K12" s="165" t="s">
        <v>329</v>
      </c>
      <c r="L12" s="165"/>
      <c r="M12" s="166">
        <v>45072</v>
      </c>
      <c r="N12" s="166">
        <v>45014</v>
      </c>
      <c r="O12" s="86" t="s">
        <v>314</v>
      </c>
      <c r="P12" s="166" t="s">
        <v>315</v>
      </c>
    </row>
    <row r="13" spans="1:23" ht="25" x14ac:dyDescent="0.25">
      <c r="A13" s="164" t="str">
        <f ca="1">HYPERLINK(MID(CELL("filename",A1),FIND("[",CELL("filename",A1)),FIND("]",CELL("filename",A1)) - FIND("[",CELL("filename",A1)) + 1) &amp; "'x-202'!TABLE_CLIENT_1","x-202 1")</f>
        <v>x-202 1</v>
      </c>
      <c r="B13" s="86" t="s">
        <v>72</v>
      </c>
      <c r="C13" s="86" t="s">
        <v>74</v>
      </c>
      <c r="D13" s="86" t="s">
        <v>325</v>
      </c>
      <c r="E13" s="86" t="s">
        <v>330</v>
      </c>
      <c r="F13" s="86" t="s">
        <v>331</v>
      </c>
      <c r="G13" s="86" t="s">
        <v>311</v>
      </c>
      <c r="H13" s="86">
        <v>1</v>
      </c>
      <c r="I13" s="74">
        <v>202</v>
      </c>
      <c r="J13" t="s">
        <v>332</v>
      </c>
      <c r="K13" s="165" t="s">
        <v>333</v>
      </c>
      <c r="L13" s="165"/>
      <c r="M13" s="166">
        <v>45072</v>
      </c>
      <c r="N13" s="166">
        <v>45014</v>
      </c>
      <c r="O13" s="86" t="s">
        <v>314</v>
      </c>
      <c r="P13" s="166" t="s">
        <v>315</v>
      </c>
    </row>
    <row r="14" spans="1:23" ht="25" x14ac:dyDescent="0.25">
      <c r="A14" s="164" t="str">
        <f ca="1">HYPERLINK(MID(CELL("filename",A1),FIND("[",CELL("filename",A1)),FIND("]",CELL("filename",A1)) - FIND("[",CELL("filename",A1)) + 1) &amp; "'x-203'!TABLE_CLIENT_1","x-203 1")</f>
        <v>x-203 1</v>
      </c>
      <c r="B14" s="86" t="s">
        <v>72</v>
      </c>
      <c r="C14" s="86" t="s">
        <v>74</v>
      </c>
      <c r="D14" s="86" t="s">
        <v>325</v>
      </c>
      <c r="E14" s="86" t="s">
        <v>334</v>
      </c>
      <c r="F14" s="86" t="s">
        <v>327</v>
      </c>
      <c r="G14" s="86" t="s">
        <v>311</v>
      </c>
      <c r="H14" s="86">
        <v>2</v>
      </c>
      <c r="I14" s="74">
        <v>203</v>
      </c>
      <c r="J14" t="s">
        <v>335</v>
      </c>
      <c r="K14" s="165" t="s">
        <v>336</v>
      </c>
      <c r="L14" s="165"/>
      <c r="M14" s="166">
        <v>45072</v>
      </c>
      <c r="N14" s="166">
        <v>45014</v>
      </c>
      <c r="O14" s="86" t="s">
        <v>314</v>
      </c>
      <c r="P14" s="166" t="s">
        <v>315</v>
      </c>
    </row>
    <row r="15" spans="1:23" ht="25" x14ac:dyDescent="0.25">
      <c r="A15" s="164" t="str">
        <f ca="1">HYPERLINK(MID(CELL("filename",A1),FIND("[",CELL("filename",A1)),FIND("]",CELL("filename",A1)) - FIND("[",CELL("filename",A1)) + 1) &amp; "'x-204'!TABLE_CLIENT_1","x-204 1")</f>
        <v>x-204 1</v>
      </c>
      <c r="B15" s="86" t="s">
        <v>72</v>
      </c>
      <c r="C15" s="86" t="s">
        <v>74</v>
      </c>
      <c r="D15" s="86" t="s">
        <v>325</v>
      </c>
      <c r="E15" s="86" t="s">
        <v>337</v>
      </c>
      <c r="F15" s="86" t="s">
        <v>331</v>
      </c>
      <c r="G15" s="86" t="s">
        <v>311</v>
      </c>
      <c r="H15" s="86">
        <v>2</v>
      </c>
      <c r="I15" s="74">
        <v>204</v>
      </c>
      <c r="J15" t="s">
        <v>338</v>
      </c>
      <c r="K15" s="165" t="s">
        <v>339</v>
      </c>
      <c r="L15" s="165"/>
      <c r="M15" s="166">
        <v>45072</v>
      </c>
      <c r="N15" s="166">
        <v>45014</v>
      </c>
      <c r="O15" s="86" t="s">
        <v>314</v>
      </c>
      <c r="P15" s="166" t="s">
        <v>315</v>
      </c>
    </row>
    <row r="16" spans="1:23" ht="25" x14ac:dyDescent="0.25">
      <c r="A16" s="164" t="str">
        <f ca="1">HYPERLINK(MID(CELL("filename",A1),FIND("[",CELL("filename",A1)),FIND("]",CELL("filename",A1)) - FIND("[",CELL("filename",A1)) + 1) &amp; "'x-204'!TABLE_CLIENT_2","x-204 2")</f>
        <v>x-204 2</v>
      </c>
      <c r="B16" s="86" t="s">
        <v>72</v>
      </c>
      <c r="C16" s="86" t="s">
        <v>74</v>
      </c>
      <c r="D16" s="86" t="s">
        <v>325</v>
      </c>
      <c r="E16" s="86" t="s">
        <v>340</v>
      </c>
      <c r="F16" s="86" t="s">
        <v>331</v>
      </c>
      <c r="G16" s="86" t="s">
        <v>311</v>
      </c>
      <c r="H16" s="86">
        <v>2</v>
      </c>
      <c r="I16" s="74">
        <v>204</v>
      </c>
      <c r="J16" t="s">
        <v>341</v>
      </c>
      <c r="K16" s="165" t="s">
        <v>339</v>
      </c>
      <c r="L16" s="165"/>
      <c r="M16" s="166">
        <v>45072</v>
      </c>
      <c r="N16" s="166">
        <v>45014</v>
      </c>
      <c r="O16" s="86" t="s">
        <v>314</v>
      </c>
      <c r="P16" s="166" t="s">
        <v>315</v>
      </c>
    </row>
    <row r="17" spans="1:16" x14ac:dyDescent="0.25">
      <c r="A17" s="164" t="str">
        <f ca="1">HYPERLINK(MID(CELL("filename",A1),FIND("[",CELL("filename",A1)),FIND("]",CELL("filename",A1)) - FIND("[",CELL("filename",A1)) + 1) &amp; "'x-205'!TABLE_CLIENT_1","x-205 1")</f>
        <v>x-205 1</v>
      </c>
      <c r="B17" s="86" t="s">
        <v>72</v>
      </c>
      <c r="C17" s="86" t="s">
        <v>74</v>
      </c>
      <c r="D17" s="86" t="s">
        <v>325</v>
      </c>
      <c r="E17" s="86" t="s">
        <v>342</v>
      </c>
      <c r="F17" s="86" t="s">
        <v>327</v>
      </c>
      <c r="G17" s="86" t="s">
        <v>311</v>
      </c>
      <c r="H17" s="86">
        <v>1</v>
      </c>
      <c r="I17" s="74">
        <v>205</v>
      </c>
      <c r="J17" t="s">
        <v>343</v>
      </c>
      <c r="K17" s="165" t="s">
        <v>344</v>
      </c>
      <c r="L17" s="165"/>
      <c r="M17" s="166">
        <v>45072</v>
      </c>
      <c r="N17" s="166">
        <v>45014</v>
      </c>
      <c r="O17" s="86" t="s">
        <v>314</v>
      </c>
      <c r="P17" s="166" t="s">
        <v>315</v>
      </c>
    </row>
    <row r="18" spans="1:16" x14ac:dyDescent="0.25">
      <c r="A18" s="164" t="str">
        <f ca="1">HYPERLINK(MID(CELL("filename",A1),FIND("[",CELL("filename",A1)),FIND("]",CELL("filename",A1)) - FIND("[",CELL("filename",A1)) + 1) &amp; "'x-206'!TABLE_CLIENT_1","x-206 1")</f>
        <v>x-206 1</v>
      </c>
      <c r="B18" s="86" t="s">
        <v>72</v>
      </c>
      <c r="C18" s="86" t="s">
        <v>74</v>
      </c>
      <c r="D18" s="86" t="s">
        <v>325</v>
      </c>
      <c r="E18" s="86" t="s">
        <v>345</v>
      </c>
      <c r="F18" s="86" t="s">
        <v>331</v>
      </c>
      <c r="G18" s="86" t="s">
        <v>311</v>
      </c>
      <c r="H18" s="86">
        <v>1</v>
      </c>
      <c r="I18" s="74">
        <v>206</v>
      </c>
      <c r="J18" t="s">
        <v>346</v>
      </c>
      <c r="K18" s="165" t="s">
        <v>347</v>
      </c>
      <c r="L18" s="165"/>
      <c r="M18" s="166">
        <v>45072</v>
      </c>
      <c r="N18" s="166">
        <v>45014</v>
      </c>
      <c r="O18" s="86" t="s">
        <v>314</v>
      </c>
      <c r="P18" s="166" t="s">
        <v>315</v>
      </c>
    </row>
    <row r="19" spans="1:16" ht="25" x14ac:dyDescent="0.25">
      <c r="A19" s="164" t="str">
        <f ca="1">HYPERLINK(MID(CELL("filename",A1),FIND("[",CELL("filename",A1)),FIND("]",CELL("filename",A1)) - FIND("[",CELL("filename",A1)) + 1) &amp; "'x-207'!TABLE_CLIENT_1","x-207 1")</f>
        <v>x-207 1</v>
      </c>
      <c r="B19" s="86" t="s">
        <v>72</v>
      </c>
      <c r="C19" s="86" t="s">
        <v>74</v>
      </c>
      <c r="D19" s="86" t="s">
        <v>325</v>
      </c>
      <c r="E19" s="86" t="s">
        <v>348</v>
      </c>
      <c r="F19" s="86" t="s">
        <v>327</v>
      </c>
      <c r="G19" s="86" t="s">
        <v>311</v>
      </c>
      <c r="H19" s="86">
        <v>1</v>
      </c>
      <c r="I19" s="74">
        <v>207</v>
      </c>
      <c r="J19" t="s">
        <v>349</v>
      </c>
      <c r="K19" s="165" t="s">
        <v>350</v>
      </c>
      <c r="L19" s="165"/>
      <c r="M19" s="166">
        <v>45072</v>
      </c>
      <c r="N19" s="166">
        <v>45014</v>
      </c>
      <c r="O19" s="86" t="s">
        <v>314</v>
      </c>
      <c r="P19" s="166" t="s">
        <v>315</v>
      </c>
    </row>
    <row r="20" spans="1:16" ht="25" x14ac:dyDescent="0.25">
      <c r="A20" s="164" t="str">
        <f ca="1">HYPERLINK(MID(CELL("filename",A1),FIND("[",CELL("filename",A1)),FIND("]",CELL("filename",A1)) - FIND("[",CELL("filename",A1)) + 1) &amp; "'x-208'!TABLE_CLIENT_1","x-208 1")</f>
        <v>x-208 1</v>
      </c>
      <c r="B20" s="86" t="s">
        <v>72</v>
      </c>
      <c r="C20" s="86" t="s">
        <v>74</v>
      </c>
      <c r="D20" s="86" t="s">
        <v>325</v>
      </c>
      <c r="E20" s="86" t="s">
        <v>351</v>
      </c>
      <c r="F20" s="86" t="s">
        <v>331</v>
      </c>
      <c r="G20" s="86" t="s">
        <v>311</v>
      </c>
      <c r="H20" s="86">
        <v>1</v>
      </c>
      <c r="I20" s="74">
        <v>208</v>
      </c>
      <c r="J20" t="s">
        <v>352</v>
      </c>
      <c r="K20" s="165" t="s">
        <v>353</v>
      </c>
      <c r="L20" s="165"/>
      <c r="M20" s="166">
        <v>45072</v>
      </c>
      <c r="N20" s="166">
        <v>45014</v>
      </c>
      <c r="O20" s="86" t="s">
        <v>314</v>
      </c>
      <c r="P20" s="166" t="s">
        <v>315</v>
      </c>
    </row>
    <row r="21" spans="1:16" x14ac:dyDescent="0.25">
      <c r="A21" s="164" t="str">
        <f ca="1">HYPERLINK(MID(CELL("filename",A1),FIND("[",CELL("filename",A1)),FIND("]",CELL("filename",A1)) - FIND("[",CELL("filename",A1)) + 1) &amp; "'x-209'!TABLE_CLIENT_1","x-209 1")</f>
        <v>x-209 1</v>
      </c>
      <c r="B21" s="86" t="s">
        <v>72</v>
      </c>
      <c r="C21" s="86" t="s">
        <v>73</v>
      </c>
      <c r="D21" s="86" t="s">
        <v>325</v>
      </c>
      <c r="E21" s="86" t="s">
        <v>354</v>
      </c>
      <c r="F21" s="86" t="s">
        <v>355</v>
      </c>
      <c r="G21" s="86" t="s">
        <v>356</v>
      </c>
      <c r="H21" s="86">
        <v>0</v>
      </c>
      <c r="I21" s="74">
        <v>209</v>
      </c>
      <c r="J21" t="s">
        <v>357</v>
      </c>
      <c r="K21" s="165" t="s">
        <v>358</v>
      </c>
      <c r="L21" s="165"/>
      <c r="M21" s="166">
        <v>45072</v>
      </c>
      <c r="N21" s="166">
        <v>45014</v>
      </c>
      <c r="O21" s="86" t="s">
        <v>314</v>
      </c>
      <c r="P21" s="166" t="s">
        <v>315</v>
      </c>
    </row>
    <row r="22" spans="1:16" ht="37.5" x14ac:dyDescent="0.25">
      <c r="A22" s="164" t="str">
        <f ca="1">HYPERLINK(MID(CELL("filename",A1),FIND("[",CELL("filename",A1)),FIND("]",CELL("filename",A1)) - FIND("[",CELL("filename",A1)) + 1) &amp; "'x-214'!TABLE_CLIENT_1","x-214 1")</f>
        <v>x-214 1</v>
      </c>
      <c r="B22" s="86" t="s">
        <v>72</v>
      </c>
      <c r="C22" s="86" t="s">
        <v>74</v>
      </c>
      <c r="D22" s="86" t="s">
        <v>359</v>
      </c>
      <c r="E22" s="86" t="s">
        <v>360</v>
      </c>
      <c r="F22" s="86" t="s">
        <v>327</v>
      </c>
      <c r="G22" s="86" t="s">
        <v>361</v>
      </c>
      <c r="H22" s="86">
        <v>2</v>
      </c>
      <c r="I22" s="74">
        <v>214</v>
      </c>
      <c r="J22" t="s">
        <v>362</v>
      </c>
      <c r="K22" s="165" t="s">
        <v>363</v>
      </c>
      <c r="L22" s="165"/>
      <c r="M22" s="166">
        <v>45138</v>
      </c>
      <c r="N22" s="166">
        <v>45014</v>
      </c>
      <c r="O22" s="86" t="s">
        <v>314</v>
      </c>
      <c r="P22" s="166" t="s">
        <v>315</v>
      </c>
    </row>
    <row r="23" spans="1:16" ht="37.5" x14ac:dyDescent="0.25">
      <c r="A23" s="164" t="str">
        <f ca="1">HYPERLINK(MID(CELL("filename",A1),FIND("[",CELL("filename",A1)),FIND("]",CELL("filename",A1)) - FIND("[",CELL("filename",A1)) + 1) &amp; "'x-215'!TABLE_CLIENT_1","x-215 1")</f>
        <v>x-215 1</v>
      </c>
      <c r="B23" s="86" t="s">
        <v>72</v>
      </c>
      <c r="C23" s="86" t="s">
        <v>74</v>
      </c>
      <c r="D23" s="86" t="s">
        <v>359</v>
      </c>
      <c r="E23" s="86" t="s">
        <v>364</v>
      </c>
      <c r="F23" s="86" t="s">
        <v>331</v>
      </c>
      <c r="G23" s="86" t="s">
        <v>361</v>
      </c>
      <c r="H23" s="86">
        <v>2</v>
      </c>
      <c r="I23" s="74">
        <v>215</v>
      </c>
      <c r="J23" t="s">
        <v>365</v>
      </c>
      <c r="K23" s="165" t="s">
        <v>366</v>
      </c>
      <c r="L23" s="165"/>
      <c r="M23" s="166">
        <v>45138</v>
      </c>
      <c r="N23" s="166">
        <v>45014</v>
      </c>
      <c r="O23" s="86" t="s">
        <v>314</v>
      </c>
      <c r="P23" s="166" t="s">
        <v>315</v>
      </c>
    </row>
    <row r="24" spans="1:16" ht="37.5" x14ac:dyDescent="0.25">
      <c r="A24" s="164" t="str">
        <f ca="1">HYPERLINK(MID(CELL("filename",A1),FIND("[",CELL("filename",A1)),FIND("]",CELL("filename",A1)) - FIND("[",CELL("filename",A1)) + 1) &amp; "'x-216'!TABLE_CLIENT_1","x-216 1")</f>
        <v>x-216 1</v>
      </c>
      <c r="B24" s="86" t="s">
        <v>72</v>
      </c>
      <c r="C24" s="86" t="s">
        <v>74</v>
      </c>
      <c r="D24" s="86" t="s">
        <v>359</v>
      </c>
      <c r="E24" s="86" t="s">
        <v>367</v>
      </c>
      <c r="F24" s="86" t="s">
        <v>331</v>
      </c>
      <c r="G24" s="86" t="s">
        <v>361</v>
      </c>
      <c r="H24" s="86">
        <v>2</v>
      </c>
      <c r="I24" s="74">
        <v>216</v>
      </c>
      <c r="J24" t="s">
        <v>368</v>
      </c>
      <c r="K24" s="165" t="s">
        <v>369</v>
      </c>
      <c r="L24" s="165"/>
      <c r="M24" s="166">
        <v>45138</v>
      </c>
      <c r="N24" s="166">
        <v>45014</v>
      </c>
      <c r="O24" s="86" t="s">
        <v>314</v>
      </c>
      <c r="P24" s="166" t="s">
        <v>315</v>
      </c>
    </row>
    <row r="25" spans="1:16" ht="62.5" x14ac:dyDescent="0.25">
      <c r="A25" s="164" t="str">
        <f ca="1">HYPERLINK(MID(CELL("filename",A1),FIND("[",CELL("filename",A1)),FIND("]",CELL("filename",A1)) - FIND("[",CELL("filename",A1)) + 1) &amp; "'x-217'!TABLE_CLIENT_1","x-217 1")</f>
        <v>x-217 1</v>
      </c>
      <c r="B25" s="86" t="s">
        <v>72</v>
      </c>
      <c r="C25" s="86" t="s">
        <v>73</v>
      </c>
      <c r="D25" s="86" t="s">
        <v>359</v>
      </c>
      <c r="E25" s="86" t="s">
        <v>370</v>
      </c>
      <c r="F25" s="86" t="s">
        <v>355</v>
      </c>
      <c r="G25" s="86" t="s">
        <v>371</v>
      </c>
      <c r="H25" s="86">
        <v>0</v>
      </c>
      <c r="I25" s="74">
        <v>217</v>
      </c>
      <c r="J25" t="s">
        <v>372</v>
      </c>
      <c r="K25" s="165" t="s">
        <v>373</v>
      </c>
      <c r="L25" s="165"/>
      <c r="M25" s="166" t="s">
        <v>374</v>
      </c>
      <c r="N25" s="166">
        <v>45014</v>
      </c>
      <c r="O25" s="86" t="s">
        <v>314</v>
      </c>
      <c r="P25" s="166" t="s">
        <v>315</v>
      </c>
    </row>
    <row r="26" spans="1:16" x14ac:dyDescent="0.25">
      <c r="A26" s="164" t="str">
        <f ca="1">HYPERLINK(MID(CELL("filename",A1),FIND("[",CELL("filename",A1)),FIND("]",CELL("filename",A1)) - FIND("[",CELL("filename",A1)) + 1) &amp; "'x-218'!TABLE_CLIENT_1","x-218 1")</f>
        <v>x-218 1</v>
      </c>
      <c r="B26" s="86" t="s">
        <v>72</v>
      </c>
      <c r="C26" s="86" t="s">
        <v>375</v>
      </c>
      <c r="D26" s="86" t="s">
        <v>376</v>
      </c>
      <c r="E26" s="86" t="s">
        <v>377</v>
      </c>
      <c r="F26" s="86" t="s">
        <v>355</v>
      </c>
      <c r="G26" s="86" t="s">
        <v>361</v>
      </c>
      <c r="H26" s="86">
        <v>0</v>
      </c>
      <c r="I26" s="74">
        <v>218</v>
      </c>
      <c r="J26" t="s">
        <v>378</v>
      </c>
      <c r="K26" s="165" t="s">
        <v>379</v>
      </c>
      <c r="L26" s="165"/>
      <c r="M26" s="166">
        <v>45107</v>
      </c>
      <c r="N26" s="166">
        <v>45015</v>
      </c>
      <c r="O26" s="86" t="s">
        <v>314</v>
      </c>
      <c r="P26" s="166" t="s">
        <v>315</v>
      </c>
    </row>
    <row r="27" spans="1:16" x14ac:dyDescent="0.25">
      <c r="A27" s="164" t="str">
        <f ca="1">HYPERLINK(MID(CELL("filename",A1),FIND("[",CELL("filename",A1)),FIND("]",CELL("filename",A1)) - FIND("[",CELL("filename",A1)) + 1) &amp; "'x-219'!TABLE_CLIENT_1","x-219 1")</f>
        <v>x-219 1</v>
      </c>
      <c r="B27" s="86" t="s">
        <v>72</v>
      </c>
      <c r="C27" s="86" t="s">
        <v>380</v>
      </c>
      <c r="D27" s="86" t="s">
        <v>376</v>
      </c>
      <c r="E27" s="86" t="s">
        <v>381</v>
      </c>
      <c r="F27" s="86" t="s">
        <v>355</v>
      </c>
      <c r="G27" s="86" t="s">
        <v>361</v>
      </c>
      <c r="H27" s="86">
        <v>0</v>
      </c>
      <c r="I27" s="74">
        <v>219</v>
      </c>
      <c r="J27">
        <v>219</v>
      </c>
      <c r="K27" s="165" t="s">
        <v>382</v>
      </c>
      <c r="L27" s="165"/>
      <c r="M27" s="166">
        <v>45107</v>
      </c>
      <c r="N27" s="166">
        <v>45015</v>
      </c>
      <c r="O27" s="86" t="s">
        <v>314</v>
      </c>
      <c r="P27" s="166" t="s">
        <v>315</v>
      </c>
    </row>
    <row r="28" spans="1:16" ht="25" x14ac:dyDescent="0.25">
      <c r="A28" s="164" t="str">
        <f ca="1">HYPERLINK(MID(CELL("filename",A1),FIND("[",CELL("filename",A1)),FIND("]",CELL("filename",A1)) - FIND("[",CELL("filename",A1)) + 1) &amp; "'x-301'!TABLE_CLIENT_1","x-301 1")</f>
        <v>x-301 1</v>
      </c>
      <c r="B28" s="86" t="s">
        <v>72</v>
      </c>
      <c r="C28" s="86" t="s">
        <v>74</v>
      </c>
      <c r="D28" s="86" t="s">
        <v>383</v>
      </c>
      <c r="E28" s="86" t="s">
        <v>384</v>
      </c>
      <c r="F28" s="86" t="s">
        <v>355</v>
      </c>
      <c r="G28" s="86" t="s">
        <v>385</v>
      </c>
      <c r="H28" s="86">
        <v>1</v>
      </c>
      <c r="I28" s="74">
        <v>301</v>
      </c>
      <c r="J28" t="s">
        <v>386</v>
      </c>
      <c r="K28" s="165" t="s">
        <v>387</v>
      </c>
      <c r="L28" s="165"/>
      <c r="M28" s="166">
        <v>45072</v>
      </c>
      <c r="N28" s="166">
        <v>45014</v>
      </c>
      <c r="O28" s="86" t="s">
        <v>314</v>
      </c>
      <c r="P28" s="166" t="s">
        <v>315</v>
      </c>
    </row>
    <row r="29" spans="1:16" ht="25" x14ac:dyDescent="0.25">
      <c r="A29" s="164" t="str">
        <f ca="1">HYPERLINK(MID(CELL("filename",A1),FIND("[",CELL("filename",A1)),FIND("]",CELL("filename",A1)) - FIND("[",CELL("filename",A1)) + 1) &amp; "'x-302'!TABLE_CLIENT_1","x-302 1")</f>
        <v>x-302 1</v>
      </c>
      <c r="B29" s="86" t="s">
        <v>72</v>
      </c>
      <c r="C29" s="86" t="s">
        <v>74</v>
      </c>
      <c r="D29" s="86" t="s">
        <v>383</v>
      </c>
      <c r="E29" s="86" t="s">
        <v>388</v>
      </c>
      <c r="F29" s="86" t="s">
        <v>355</v>
      </c>
      <c r="G29" s="86" t="s">
        <v>385</v>
      </c>
      <c r="H29" s="86">
        <v>1</v>
      </c>
      <c r="I29" s="74">
        <v>302</v>
      </c>
      <c r="J29" t="s">
        <v>389</v>
      </c>
      <c r="K29" s="165" t="s">
        <v>390</v>
      </c>
      <c r="L29" s="165"/>
      <c r="M29" s="166">
        <v>45072</v>
      </c>
      <c r="N29" s="166">
        <v>45014</v>
      </c>
      <c r="O29" s="86" t="s">
        <v>314</v>
      </c>
      <c r="P29" s="166" t="s">
        <v>315</v>
      </c>
    </row>
    <row r="30" spans="1:16" ht="37.5" x14ac:dyDescent="0.25">
      <c r="A30" s="164" t="str">
        <f ca="1">HYPERLINK(MID(CELL("filename",A1),FIND("[",CELL("filename",A1)),FIND("]",CELL("filename",A1)) - FIND("[",CELL("filename",A1)) + 1) &amp; "'x-303'!TABLE_CLIENT_1","x-303 1")</f>
        <v>x-303 1</v>
      </c>
      <c r="B30" s="86" t="s">
        <v>72</v>
      </c>
      <c r="C30" s="86" t="s">
        <v>74</v>
      </c>
      <c r="D30" s="86" t="s">
        <v>383</v>
      </c>
      <c r="E30" s="86" t="s">
        <v>391</v>
      </c>
      <c r="F30" s="86" t="s">
        <v>355</v>
      </c>
      <c r="G30" s="86" t="s">
        <v>361</v>
      </c>
      <c r="H30" s="86">
        <v>1</v>
      </c>
      <c r="I30" s="74">
        <v>303</v>
      </c>
      <c r="J30" t="s">
        <v>392</v>
      </c>
      <c r="K30" s="165" t="s">
        <v>393</v>
      </c>
      <c r="L30" s="165"/>
      <c r="M30" s="166">
        <v>45072</v>
      </c>
      <c r="N30" s="166">
        <v>45014</v>
      </c>
      <c r="O30" s="86" t="s">
        <v>314</v>
      </c>
      <c r="P30" s="166" t="s">
        <v>315</v>
      </c>
    </row>
    <row r="31" spans="1:16" ht="25" x14ac:dyDescent="0.25">
      <c r="A31" s="164" t="str">
        <f ca="1">HYPERLINK(MID(CELL("filename",A1),FIND("[",CELL("filename",A1)),FIND("]",CELL("filename",A1)) - FIND("[",CELL("filename",A1)) + 1) &amp; "'x-304'!TABLE_CLIENT_1","x-304 1")</f>
        <v>x-304 1</v>
      </c>
      <c r="B31" s="86" t="s">
        <v>72</v>
      </c>
      <c r="C31" s="86" t="s">
        <v>73</v>
      </c>
      <c r="D31" s="86" t="s">
        <v>383</v>
      </c>
      <c r="E31" s="86" t="s">
        <v>384</v>
      </c>
      <c r="F31" s="86" t="s">
        <v>355</v>
      </c>
      <c r="G31" s="86" t="s">
        <v>385</v>
      </c>
      <c r="H31" s="86">
        <v>0</v>
      </c>
      <c r="I31" s="74">
        <v>304</v>
      </c>
      <c r="J31" t="s">
        <v>394</v>
      </c>
      <c r="K31" s="165" t="s">
        <v>387</v>
      </c>
      <c r="L31" s="165"/>
      <c r="M31" s="166">
        <v>45072</v>
      </c>
      <c r="N31" s="166">
        <v>45014</v>
      </c>
      <c r="O31" s="86" t="s">
        <v>314</v>
      </c>
      <c r="P31" s="166" t="s">
        <v>315</v>
      </c>
    </row>
    <row r="32" spans="1:16" ht="25" x14ac:dyDescent="0.25">
      <c r="A32" s="164" t="str">
        <f ca="1">HYPERLINK(MID(CELL("filename",A1),FIND("[",CELL("filename",A1)),FIND("]",CELL("filename",A1)) - FIND("[",CELL("filename",A1)) + 1) &amp; "'x-305'!TABLE_CLIENT_1","x-305 1")</f>
        <v>x-305 1</v>
      </c>
      <c r="B32" s="86" t="s">
        <v>72</v>
      </c>
      <c r="C32" s="86" t="s">
        <v>73</v>
      </c>
      <c r="D32" s="86" t="s">
        <v>383</v>
      </c>
      <c r="E32" s="86" t="s">
        <v>388</v>
      </c>
      <c r="F32" s="86" t="s">
        <v>355</v>
      </c>
      <c r="G32" s="86" t="s">
        <v>385</v>
      </c>
      <c r="H32" s="86">
        <v>0</v>
      </c>
      <c r="I32" s="74">
        <v>305</v>
      </c>
      <c r="J32" t="s">
        <v>395</v>
      </c>
      <c r="K32" s="165" t="s">
        <v>390</v>
      </c>
      <c r="L32" s="165"/>
      <c r="M32" s="166">
        <v>45072</v>
      </c>
      <c r="N32" s="166">
        <v>45014</v>
      </c>
      <c r="O32" s="86" t="s">
        <v>314</v>
      </c>
      <c r="P32" s="166" t="s">
        <v>315</v>
      </c>
    </row>
    <row r="33" spans="1:16" ht="25" x14ac:dyDescent="0.25">
      <c r="A33" s="164" t="str">
        <f ca="1">HYPERLINK(MID(CELL("filename",A1),FIND("[",CELL("filename",A1)),FIND("]",CELL("filename",A1)) - FIND("[",CELL("filename",A1)) + 1) &amp; "'x-306'!TABLE_CLIENT_1","x-306 1")</f>
        <v>x-306 1</v>
      </c>
      <c r="B33" s="86" t="s">
        <v>72</v>
      </c>
      <c r="C33" s="86" t="s">
        <v>74</v>
      </c>
      <c r="D33" s="86" t="s">
        <v>396</v>
      </c>
      <c r="E33" s="86" t="s">
        <v>397</v>
      </c>
      <c r="F33" s="86" t="s">
        <v>355</v>
      </c>
      <c r="G33" s="86" t="s">
        <v>398</v>
      </c>
      <c r="H33" s="86">
        <v>1</v>
      </c>
      <c r="I33" s="74">
        <v>306</v>
      </c>
      <c r="J33" t="s">
        <v>399</v>
      </c>
      <c r="K33" s="165" t="s">
        <v>400</v>
      </c>
      <c r="L33" s="165"/>
      <c r="M33" s="166">
        <v>45072</v>
      </c>
      <c r="N33" s="166">
        <v>45014</v>
      </c>
      <c r="O33" s="86" t="s">
        <v>314</v>
      </c>
      <c r="P33" s="166" t="s">
        <v>315</v>
      </c>
    </row>
    <row r="34" spans="1:16" x14ac:dyDescent="0.25">
      <c r="A34" s="164" t="str">
        <f ca="1">HYPERLINK(MID(CELL("filename",A1),FIND("[",CELL("filename",A1)),FIND("]",CELL("filename",A1)) - FIND("[",CELL("filename",A1)) + 1) &amp; "'x-307'!TABLE_CLIENT_1","x-307 1")</f>
        <v>x-307 1</v>
      </c>
      <c r="B34" s="86" t="s">
        <v>72</v>
      </c>
      <c r="C34" s="86" t="s">
        <v>73</v>
      </c>
      <c r="D34" s="86" t="s">
        <v>396</v>
      </c>
      <c r="E34" s="86" t="s">
        <v>401</v>
      </c>
      <c r="F34" s="86" t="s">
        <v>355</v>
      </c>
      <c r="G34" s="86" t="s">
        <v>398</v>
      </c>
      <c r="H34" s="86">
        <v>0</v>
      </c>
      <c r="I34" s="74">
        <v>307</v>
      </c>
      <c r="J34" t="s">
        <v>402</v>
      </c>
      <c r="K34" s="165" t="s">
        <v>400</v>
      </c>
      <c r="L34" s="165"/>
      <c r="M34" s="166">
        <v>45072</v>
      </c>
      <c r="N34" s="166">
        <v>45014</v>
      </c>
      <c r="O34" s="86" t="s">
        <v>314</v>
      </c>
      <c r="P34" s="166" t="s">
        <v>315</v>
      </c>
    </row>
    <row r="35" spans="1:16" ht="25" x14ac:dyDescent="0.25">
      <c r="A35" s="164" t="str">
        <f ca="1">HYPERLINK(MID(CELL("filename",A1),FIND("[",CELL("filename",A1)),FIND("]",CELL("filename",A1)) - FIND("[",CELL("filename",A1)) + 1) &amp; "'x-308'!TABLE_CLIENT_1","x-308 1")</f>
        <v>x-308 1</v>
      </c>
      <c r="B35" s="86" t="s">
        <v>72</v>
      </c>
      <c r="C35" s="86" t="s">
        <v>74</v>
      </c>
      <c r="D35" s="86" t="s">
        <v>383</v>
      </c>
      <c r="E35" s="86" t="s">
        <v>384</v>
      </c>
      <c r="F35" s="86" t="s">
        <v>355</v>
      </c>
      <c r="G35" s="86" t="s">
        <v>385</v>
      </c>
      <c r="H35" s="86">
        <v>1</v>
      </c>
      <c r="I35" s="74">
        <v>308</v>
      </c>
      <c r="J35" t="s">
        <v>403</v>
      </c>
      <c r="K35" s="165" t="s">
        <v>404</v>
      </c>
      <c r="L35" s="165"/>
      <c r="M35" s="166">
        <v>45072</v>
      </c>
      <c r="N35" s="166">
        <v>45014</v>
      </c>
      <c r="O35" s="86" t="s">
        <v>314</v>
      </c>
      <c r="P35" s="166" t="s">
        <v>315</v>
      </c>
    </row>
    <row r="36" spans="1:16" ht="25" x14ac:dyDescent="0.25">
      <c r="A36" s="164" t="str">
        <f ca="1">HYPERLINK(MID(CELL("filename",A1),FIND("[",CELL("filename",A1)),FIND("]",CELL("filename",A1)) - FIND("[",CELL("filename",A1)) + 1) &amp; "'x-401'!TABLE_CLIENT_1","x-401 1")</f>
        <v>x-401 1</v>
      </c>
      <c r="B36" s="86" t="s">
        <v>72</v>
      </c>
      <c r="C36" s="86" t="s">
        <v>74</v>
      </c>
      <c r="D36" s="86" t="s">
        <v>405</v>
      </c>
      <c r="E36" s="86" t="s">
        <v>406</v>
      </c>
      <c r="F36" s="86" t="s">
        <v>355</v>
      </c>
      <c r="G36" s="86" t="s">
        <v>407</v>
      </c>
      <c r="H36" s="86">
        <v>1</v>
      </c>
      <c r="I36" s="74">
        <v>401</v>
      </c>
      <c r="J36" t="s">
        <v>408</v>
      </c>
      <c r="K36" s="165" t="s">
        <v>409</v>
      </c>
      <c r="L36" s="165"/>
      <c r="M36" s="166">
        <v>45107</v>
      </c>
      <c r="N36" s="166">
        <v>45110</v>
      </c>
      <c r="O36" s="86" t="s">
        <v>314</v>
      </c>
      <c r="P36" s="166" t="s">
        <v>315</v>
      </c>
    </row>
    <row r="37" spans="1:16" ht="25" x14ac:dyDescent="0.25">
      <c r="A37" s="164" t="str">
        <f ca="1">HYPERLINK(MID(CELL("filename",A1),FIND("[",CELL("filename",A1)),FIND("]",CELL("filename",A1)) - FIND("[",CELL("filename",A1)) + 1) &amp; "'x-402'!TABLE_CLIENT_1","x-402 1")</f>
        <v>x-402 1</v>
      </c>
      <c r="B37" s="86" t="s">
        <v>72</v>
      </c>
      <c r="C37" s="86" t="s">
        <v>74</v>
      </c>
      <c r="D37" s="86" t="s">
        <v>405</v>
      </c>
      <c r="E37" s="86" t="s">
        <v>410</v>
      </c>
      <c r="F37" s="86" t="s">
        <v>355</v>
      </c>
      <c r="G37" s="86" t="s">
        <v>407</v>
      </c>
      <c r="H37" s="86">
        <v>1</v>
      </c>
      <c r="I37" s="74">
        <v>402</v>
      </c>
      <c r="J37" t="s">
        <v>411</v>
      </c>
      <c r="K37" s="165" t="s">
        <v>412</v>
      </c>
      <c r="L37" s="165"/>
      <c r="M37" s="166">
        <v>45107</v>
      </c>
      <c r="N37" s="166">
        <v>45110</v>
      </c>
      <c r="O37" s="86" t="s">
        <v>314</v>
      </c>
      <c r="P37" s="166" t="s">
        <v>315</v>
      </c>
    </row>
    <row r="38" spans="1:16" ht="25" x14ac:dyDescent="0.25">
      <c r="A38" s="164" t="str">
        <f ca="1">HYPERLINK(MID(CELL("filename",A1),FIND("[",CELL("filename",A1)),FIND("]",CELL("filename",A1)) - FIND("[",CELL("filename",A1)) + 1) &amp; "'x-403'!TABLE_CLIENT_1","x-403 1")</f>
        <v>x-403 1</v>
      </c>
      <c r="B38" s="86" t="s">
        <v>72</v>
      </c>
      <c r="C38" s="86" t="s">
        <v>74</v>
      </c>
      <c r="D38" s="86" t="s">
        <v>405</v>
      </c>
      <c r="E38" s="86" t="s">
        <v>413</v>
      </c>
      <c r="F38" s="86" t="s">
        <v>355</v>
      </c>
      <c r="G38" s="86" t="s">
        <v>407</v>
      </c>
      <c r="H38" s="86">
        <v>1</v>
      </c>
      <c r="I38" s="74">
        <v>403</v>
      </c>
      <c r="J38" t="s">
        <v>414</v>
      </c>
      <c r="K38" s="165" t="s">
        <v>415</v>
      </c>
      <c r="L38" s="165"/>
      <c r="M38" s="166">
        <v>45107</v>
      </c>
      <c r="N38" s="166">
        <v>45110</v>
      </c>
      <c r="O38" s="86" t="s">
        <v>314</v>
      </c>
      <c r="P38" s="166" t="s">
        <v>315</v>
      </c>
    </row>
    <row r="39" spans="1:16" ht="37.5" x14ac:dyDescent="0.25">
      <c r="A39" s="164" t="str">
        <f ca="1">HYPERLINK(MID(CELL("filename",A1),FIND("[",CELL("filename",A1)),FIND("]",CELL("filename",A1)) - FIND("[",CELL("filename",A1)) + 1) &amp; "'x-403'!TABLE_CLIENT_2","x-403 2")</f>
        <v>x-403 2</v>
      </c>
      <c r="B39" s="86" t="s">
        <v>72</v>
      </c>
      <c r="C39" s="86" t="s">
        <v>74</v>
      </c>
      <c r="D39" s="86" t="s">
        <v>405</v>
      </c>
      <c r="E39" s="86" t="s">
        <v>416</v>
      </c>
      <c r="F39" s="86" t="s">
        <v>355</v>
      </c>
      <c r="G39" s="86" t="s">
        <v>417</v>
      </c>
      <c r="H39" s="86">
        <v>1</v>
      </c>
      <c r="I39" s="74">
        <v>403</v>
      </c>
      <c r="J39" t="s">
        <v>418</v>
      </c>
      <c r="K39" s="165" t="s">
        <v>419</v>
      </c>
      <c r="L39" s="165"/>
      <c r="M39" s="166">
        <v>45107</v>
      </c>
      <c r="N39" s="166">
        <v>45110</v>
      </c>
      <c r="O39" s="86" t="s">
        <v>314</v>
      </c>
      <c r="P39" s="166" t="s">
        <v>315</v>
      </c>
    </row>
    <row r="40" spans="1:16" ht="37.5" x14ac:dyDescent="0.25">
      <c r="A40" s="164" t="str">
        <f ca="1">HYPERLINK(MID(CELL("filename",A1),FIND("[",CELL("filename",A1)),FIND("]",CELL("filename",A1)) - FIND("[",CELL("filename",A1)) + 1) &amp; "'x-404'!TABLE_CLIENT_1","x-404 1")</f>
        <v>x-404 1</v>
      </c>
      <c r="B40" s="86" t="s">
        <v>72</v>
      </c>
      <c r="C40" s="86" t="s">
        <v>74</v>
      </c>
      <c r="D40" s="86" t="s">
        <v>405</v>
      </c>
      <c r="E40" s="86" t="s">
        <v>420</v>
      </c>
      <c r="F40" s="86" t="s">
        <v>355</v>
      </c>
      <c r="G40" s="86" t="s">
        <v>407</v>
      </c>
      <c r="H40" s="86">
        <v>1</v>
      </c>
      <c r="I40" s="74">
        <v>404</v>
      </c>
      <c r="J40" t="s">
        <v>421</v>
      </c>
      <c r="K40" s="165" t="s">
        <v>422</v>
      </c>
      <c r="L40" s="165"/>
      <c r="M40" s="166">
        <v>45107</v>
      </c>
      <c r="N40" s="166">
        <v>45110</v>
      </c>
      <c r="O40" s="86" t="s">
        <v>314</v>
      </c>
      <c r="P40" s="166" t="s">
        <v>315</v>
      </c>
    </row>
    <row r="41" spans="1:16" ht="37.5" x14ac:dyDescent="0.25">
      <c r="A41" s="164" t="str">
        <f ca="1">HYPERLINK(MID(CELL("filename",A1),FIND("[",CELL("filename",A1)),FIND("]",CELL("filename",A1)) - FIND("[",CELL("filename",A1)) + 1) &amp; "'x-404'!TABLE_CLIENT_2","x-404 2")</f>
        <v>x-404 2</v>
      </c>
      <c r="B41" s="86" t="s">
        <v>72</v>
      </c>
      <c r="C41" s="86" t="s">
        <v>74</v>
      </c>
      <c r="D41" s="86" t="s">
        <v>405</v>
      </c>
      <c r="E41" s="86" t="s">
        <v>423</v>
      </c>
      <c r="F41" s="86" t="s">
        <v>355</v>
      </c>
      <c r="G41" s="86" t="s">
        <v>417</v>
      </c>
      <c r="H41" s="86">
        <v>1</v>
      </c>
      <c r="I41" s="74">
        <v>404</v>
      </c>
      <c r="J41" t="s">
        <v>424</v>
      </c>
      <c r="K41" s="165" t="s">
        <v>425</v>
      </c>
      <c r="L41" s="165"/>
      <c r="M41" s="166">
        <v>45107</v>
      </c>
      <c r="N41" s="166">
        <v>45110</v>
      </c>
      <c r="O41" s="86" t="s">
        <v>314</v>
      </c>
      <c r="P41" s="166" t="s">
        <v>426</v>
      </c>
    </row>
    <row r="42" spans="1:16" ht="37.5" x14ac:dyDescent="0.25">
      <c r="A42" s="164" t="str">
        <f ca="1">HYPERLINK(MID(CELL("filename",A1),FIND("[",CELL("filename",A1)),FIND("]",CELL("filename",A1)) - FIND("[",CELL("filename",A1)) + 1) &amp; "'x-405'!TABLE_CLIENT_1","x-405 1")</f>
        <v>x-405 1</v>
      </c>
      <c r="B42" s="86" t="s">
        <v>72</v>
      </c>
      <c r="C42" s="86" t="s">
        <v>74</v>
      </c>
      <c r="D42" s="86" t="s">
        <v>405</v>
      </c>
      <c r="E42" s="86" t="s">
        <v>427</v>
      </c>
      <c r="F42" s="86" t="s">
        <v>355</v>
      </c>
      <c r="G42" s="86" t="s">
        <v>407</v>
      </c>
      <c r="H42" s="86">
        <v>1</v>
      </c>
      <c r="I42" s="74">
        <v>405</v>
      </c>
      <c r="J42" t="s">
        <v>428</v>
      </c>
      <c r="K42" s="165" t="s">
        <v>429</v>
      </c>
      <c r="L42" s="165"/>
      <c r="M42" s="166">
        <v>45107</v>
      </c>
      <c r="N42" s="166">
        <v>45110</v>
      </c>
      <c r="O42" s="86" t="s">
        <v>314</v>
      </c>
      <c r="P42" s="166" t="s">
        <v>315</v>
      </c>
    </row>
    <row r="43" spans="1:16" ht="37.5" x14ac:dyDescent="0.25">
      <c r="A43" s="164" t="str">
        <f ca="1">HYPERLINK(MID(CELL("filename",A1),FIND("[",CELL("filename",A1)),FIND("]",CELL("filename",A1)) - FIND("[",CELL("filename",A1)) + 1) &amp; "'x-406'!TABLE_CLIENT_1","x-406 1")</f>
        <v>x-406 1</v>
      </c>
      <c r="B43" s="86" t="s">
        <v>72</v>
      </c>
      <c r="C43" s="86" t="s">
        <v>74</v>
      </c>
      <c r="D43" s="86" t="s">
        <v>405</v>
      </c>
      <c r="E43" s="86" t="s">
        <v>430</v>
      </c>
      <c r="F43" s="86" t="s">
        <v>355</v>
      </c>
      <c r="G43" s="86" t="s">
        <v>407</v>
      </c>
      <c r="H43" s="86">
        <v>1</v>
      </c>
      <c r="I43" s="74">
        <v>406</v>
      </c>
      <c r="J43" t="s">
        <v>431</v>
      </c>
      <c r="K43" s="165" t="s">
        <v>432</v>
      </c>
      <c r="L43" s="165"/>
      <c r="M43" s="166">
        <v>45107</v>
      </c>
      <c r="N43" s="166">
        <v>45110</v>
      </c>
      <c r="O43" s="86" t="s">
        <v>314</v>
      </c>
      <c r="P43" s="166" t="s">
        <v>315</v>
      </c>
    </row>
    <row r="44" spans="1:16" ht="25" x14ac:dyDescent="0.25">
      <c r="A44" s="164" t="str">
        <f ca="1">HYPERLINK(MID(CELL("filename",A1),FIND("[",CELL("filename",A1)),FIND("]",CELL("filename",A1)) - FIND("[",CELL("filename",A1)) + 1) &amp; "'x-407'!TABLE_CLIENT_1","x-407 1")</f>
        <v>x-407 1</v>
      </c>
      <c r="B44" s="86" t="s">
        <v>72</v>
      </c>
      <c r="C44" s="86" t="s">
        <v>74</v>
      </c>
      <c r="D44" s="86" t="s">
        <v>405</v>
      </c>
      <c r="E44" s="86" t="s">
        <v>433</v>
      </c>
      <c r="F44" s="86" t="s">
        <v>355</v>
      </c>
      <c r="G44" s="86" t="s">
        <v>407</v>
      </c>
      <c r="H44" s="86">
        <v>1</v>
      </c>
      <c r="I44" s="74">
        <v>407</v>
      </c>
      <c r="J44" t="s">
        <v>434</v>
      </c>
      <c r="K44" s="165" t="s">
        <v>435</v>
      </c>
      <c r="L44" s="165"/>
      <c r="M44" s="166">
        <v>45107</v>
      </c>
      <c r="N44" s="166">
        <v>45110</v>
      </c>
      <c r="O44" s="86" t="s">
        <v>314</v>
      </c>
      <c r="P44" s="166" t="s">
        <v>315</v>
      </c>
    </row>
    <row r="45" spans="1:16" ht="37.5" x14ac:dyDescent="0.25">
      <c r="A45" s="164" t="str">
        <f ca="1">HYPERLINK(MID(CELL("filename",A1),FIND("[",CELL("filename",A1)),FIND("]",CELL("filename",A1)) - FIND("[",CELL("filename",A1)) + 1) &amp; "'x-408'!TABLE_CLIENT_1","x-408 1")</f>
        <v>x-408 1</v>
      </c>
      <c r="B45" s="86" t="s">
        <v>72</v>
      </c>
      <c r="C45" s="86" t="s">
        <v>74</v>
      </c>
      <c r="D45" s="86" t="s">
        <v>405</v>
      </c>
      <c r="E45" s="86" t="s">
        <v>436</v>
      </c>
      <c r="F45" s="86" t="s">
        <v>355</v>
      </c>
      <c r="G45" s="86" t="s">
        <v>407</v>
      </c>
      <c r="H45" s="86">
        <v>1</v>
      </c>
      <c r="I45" s="74">
        <v>408</v>
      </c>
      <c r="J45" t="s">
        <v>437</v>
      </c>
      <c r="K45" s="165" t="s">
        <v>438</v>
      </c>
      <c r="L45" s="165"/>
      <c r="M45" s="166">
        <v>45107</v>
      </c>
      <c r="N45" s="166">
        <v>45110</v>
      </c>
      <c r="O45" s="86" t="s">
        <v>314</v>
      </c>
      <c r="P45" s="166" t="s">
        <v>315</v>
      </c>
    </row>
    <row r="46" spans="1:16" ht="37.5" x14ac:dyDescent="0.25">
      <c r="A46" s="164" t="str">
        <f ca="1">HYPERLINK(MID(CELL("filename",A1),FIND("[",CELL("filename",A1)),FIND("]",CELL("filename",A1)) - FIND("[",CELL("filename",A1)) + 1) &amp; "'x-409'!TABLE_CLIENT_1","x-409 1")</f>
        <v>x-409 1</v>
      </c>
      <c r="B46" s="86" t="s">
        <v>72</v>
      </c>
      <c r="C46" s="86" t="s">
        <v>74</v>
      </c>
      <c r="D46" s="86" t="s">
        <v>405</v>
      </c>
      <c r="E46" s="86" t="s">
        <v>439</v>
      </c>
      <c r="F46" s="86" t="s">
        <v>355</v>
      </c>
      <c r="G46" s="86" t="s">
        <v>407</v>
      </c>
      <c r="H46" s="86">
        <v>1</v>
      </c>
      <c r="I46" s="74">
        <v>409</v>
      </c>
      <c r="J46" t="s">
        <v>440</v>
      </c>
      <c r="K46" s="165" t="s">
        <v>441</v>
      </c>
      <c r="L46" s="165"/>
      <c r="M46" s="166">
        <v>45107</v>
      </c>
      <c r="N46" s="166">
        <v>45110</v>
      </c>
      <c r="O46" s="86" t="s">
        <v>314</v>
      </c>
      <c r="P46" s="166" t="s">
        <v>315</v>
      </c>
    </row>
    <row r="47" spans="1:16" ht="37.5" x14ac:dyDescent="0.25">
      <c r="A47" s="164" t="str">
        <f ca="1">HYPERLINK(MID(CELL("filename",A1),FIND("[",CELL("filename",A1)),FIND("]",CELL("filename",A1)) - FIND("[",CELL("filename",A1)) + 1) &amp; "'x-409'!TABLE_CLIENT_2","x-409 2")</f>
        <v>x-409 2</v>
      </c>
      <c r="B47" s="86" t="s">
        <v>72</v>
      </c>
      <c r="C47" s="86" t="s">
        <v>74</v>
      </c>
      <c r="D47" s="86" t="s">
        <v>405</v>
      </c>
      <c r="E47" s="86" t="s">
        <v>442</v>
      </c>
      <c r="F47" s="86" t="s">
        <v>355</v>
      </c>
      <c r="G47" s="86" t="s">
        <v>407</v>
      </c>
      <c r="H47" s="86">
        <v>1</v>
      </c>
      <c r="I47" s="74">
        <v>409</v>
      </c>
      <c r="J47" t="s">
        <v>443</v>
      </c>
      <c r="K47" s="165" t="s">
        <v>444</v>
      </c>
      <c r="L47" s="165"/>
      <c r="M47" s="166">
        <v>45107</v>
      </c>
      <c r="N47" s="166">
        <v>45110</v>
      </c>
      <c r="O47" s="86" t="s">
        <v>314</v>
      </c>
      <c r="P47" s="166">
        <v>0</v>
      </c>
    </row>
    <row r="48" spans="1:16" ht="37.5" x14ac:dyDescent="0.25">
      <c r="A48" s="164" t="str">
        <f ca="1">HYPERLINK(MID(CELL("filename",A1),FIND("[",CELL("filename",A1)),FIND("]",CELL("filename",A1)) - FIND("[",CELL("filename",A1)) + 1) &amp; "'x-410'!TABLE_CLIENT_1","x-410 1")</f>
        <v>x-410 1</v>
      </c>
      <c r="B48" s="86" t="s">
        <v>72</v>
      </c>
      <c r="C48" s="86" t="s">
        <v>74</v>
      </c>
      <c r="D48" s="86" t="s">
        <v>405</v>
      </c>
      <c r="E48" s="86" t="s">
        <v>445</v>
      </c>
      <c r="F48" s="86" t="s">
        <v>355</v>
      </c>
      <c r="G48" s="86" t="s">
        <v>407</v>
      </c>
      <c r="H48" s="86">
        <v>1</v>
      </c>
      <c r="I48" s="74">
        <v>410</v>
      </c>
      <c r="J48" t="s">
        <v>446</v>
      </c>
      <c r="K48" s="165" t="s">
        <v>447</v>
      </c>
      <c r="L48" s="165"/>
      <c r="M48" s="166">
        <v>45107</v>
      </c>
      <c r="N48" s="166">
        <v>45110</v>
      </c>
      <c r="O48" s="86" t="s">
        <v>314</v>
      </c>
      <c r="P48" s="166" t="s">
        <v>315</v>
      </c>
    </row>
    <row r="49" spans="1:16" ht="37.5" x14ac:dyDescent="0.25">
      <c r="A49" s="164" t="str">
        <f ca="1">HYPERLINK(MID(CELL("filename",A1),FIND("[",CELL("filename",A1)),FIND("]",CELL("filename",A1)) - FIND("[",CELL("filename",A1)) + 1) &amp; "'x-410'!TABLE_CLIENT_2","x-410 2")</f>
        <v>x-410 2</v>
      </c>
      <c r="B49" s="86" t="s">
        <v>72</v>
      </c>
      <c r="C49" s="86" t="s">
        <v>74</v>
      </c>
      <c r="D49" s="86" t="s">
        <v>405</v>
      </c>
      <c r="E49" s="86" t="s">
        <v>448</v>
      </c>
      <c r="F49" s="86" t="s">
        <v>355</v>
      </c>
      <c r="G49" s="86" t="s">
        <v>407</v>
      </c>
      <c r="H49" s="86">
        <v>1</v>
      </c>
      <c r="I49" s="74">
        <v>410</v>
      </c>
      <c r="J49" t="s">
        <v>449</v>
      </c>
      <c r="K49" s="165" t="s">
        <v>450</v>
      </c>
      <c r="L49" s="165"/>
      <c r="M49" s="166">
        <v>45107</v>
      </c>
      <c r="N49" s="166">
        <v>45110</v>
      </c>
      <c r="O49" s="86" t="s">
        <v>314</v>
      </c>
      <c r="P49" s="166">
        <v>0</v>
      </c>
    </row>
    <row r="50" spans="1:16" ht="37.5" x14ac:dyDescent="0.25">
      <c r="A50" s="164" t="str">
        <f ca="1">HYPERLINK(MID(CELL("filename",A1),FIND("[",CELL("filename",A1)),FIND("]",CELL("filename",A1)) - FIND("[",CELL("filename",A1)) + 1) &amp; "'x-411'!TABLE_CLIENT_1","x-411 1")</f>
        <v>x-411 1</v>
      </c>
      <c r="B50" s="86" t="s">
        <v>72</v>
      </c>
      <c r="C50" s="86" t="s">
        <v>74</v>
      </c>
      <c r="D50" s="86" t="s">
        <v>405</v>
      </c>
      <c r="E50" s="86" t="s">
        <v>451</v>
      </c>
      <c r="F50" s="86" t="s">
        <v>355</v>
      </c>
      <c r="G50" s="86" t="s">
        <v>407</v>
      </c>
      <c r="H50" s="86">
        <v>2</v>
      </c>
      <c r="I50" s="74">
        <v>411</v>
      </c>
      <c r="J50" t="s">
        <v>452</v>
      </c>
      <c r="K50" s="165" t="s">
        <v>453</v>
      </c>
      <c r="L50" s="165"/>
      <c r="M50" s="166">
        <v>45107</v>
      </c>
      <c r="N50" s="166">
        <v>45110</v>
      </c>
      <c r="O50" s="86" t="s">
        <v>314</v>
      </c>
      <c r="P50" s="166" t="s">
        <v>315</v>
      </c>
    </row>
    <row r="51" spans="1:16" ht="37.5" x14ac:dyDescent="0.25">
      <c r="A51" s="164" t="str">
        <f ca="1">HYPERLINK(MID(CELL("filename",A1),FIND("[",CELL("filename",A1)),FIND("]",CELL("filename",A1)) - FIND("[",CELL("filename",A1)) + 1) &amp; "'x-412'!TABLE_CLIENT_1","x-412 1")</f>
        <v>x-412 1</v>
      </c>
      <c r="B51" s="86" t="s">
        <v>72</v>
      </c>
      <c r="C51" s="86" t="s">
        <v>74</v>
      </c>
      <c r="D51" s="86" t="s">
        <v>405</v>
      </c>
      <c r="E51" s="86" t="s">
        <v>454</v>
      </c>
      <c r="F51" s="86" t="s">
        <v>355</v>
      </c>
      <c r="G51" s="86" t="s">
        <v>407</v>
      </c>
      <c r="H51" s="86">
        <v>1</v>
      </c>
      <c r="I51" s="74">
        <v>412</v>
      </c>
      <c r="J51" t="s">
        <v>455</v>
      </c>
      <c r="K51" s="165" t="s">
        <v>456</v>
      </c>
      <c r="L51" s="165"/>
      <c r="M51" s="166">
        <v>45107</v>
      </c>
      <c r="N51" s="166">
        <v>45110</v>
      </c>
      <c r="O51" s="86" t="s">
        <v>314</v>
      </c>
      <c r="P51" s="166" t="s">
        <v>315</v>
      </c>
    </row>
    <row r="52" spans="1:16" ht="37.5" x14ac:dyDescent="0.25">
      <c r="A52" s="164" t="str">
        <f ca="1">HYPERLINK(MID(CELL("filename",A1),FIND("[",CELL("filename",A1)),FIND("]",CELL("filename",A1)) - FIND("[",CELL("filename",A1)) + 1) &amp; "'x-413'!TABLE_CLIENT_1","x-413 1")</f>
        <v>x-413 1</v>
      </c>
      <c r="B52" s="86" t="s">
        <v>72</v>
      </c>
      <c r="C52" s="86" t="s">
        <v>74</v>
      </c>
      <c r="D52" s="86" t="s">
        <v>405</v>
      </c>
      <c r="E52" s="86" t="s">
        <v>457</v>
      </c>
      <c r="F52" s="86" t="s">
        <v>355</v>
      </c>
      <c r="G52" s="86" t="s">
        <v>407</v>
      </c>
      <c r="H52" s="86">
        <v>1</v>
      </c>
      <c r="I52" s="74">
        <v>413</v>
      </c>
      <c r="J52" t="s">
        <v>458</v>
      </c>
      <c r="K52" s="165" t="s">
        <v>459</v>
      </c>
      <c r="L52" s="165"/>
      <c r="M52" s="166">
        <v>45107</v>
      </c>
      <c r="N52" s="166">
        <v>45110</v>
      </c>
      <c r="O52" s="86" t="s">
        <v>314</v>
      </c>
      <c r="P52" s="166" t="s">
        <v>315</v>
      </c>
    </row>
    <row r="53" spans="1:16" ht="37.5" x14ac:dyDescent="0.25">
      <c r="A53" s="164" t="str">
        <f ca="1">HYPERLINK(MID(CELL("filename",A1),FIND("[",CELL("filename",A1)),FIND("]",CELL("filename",A1)) - FIND("[",CELL("filename",A1)) + 1) &amp; "'x-414'!TABLE_CLIENT_1","x-414 1")</f>
        <v>x-414 1</v>
      </c>
      <c r="B53" s="86" t="s">
        <v>72</v>
      </c>
      <c r="C53" s="86" t="s">
        <v>74</v>
      </c>
      <c r="D53" s="86" t="s">
        <v>405</v>
      </c>
      <c r="E53" s="86" t="s">
        <v>460</v>
      </c>
      <c r="F53" s="86" t="s">
        <v>355</v>
      </c>
      <c r="G53" s="86" t="s">
        <v>407</v>
      </c>
      <c r="H53" s="86">
        <v>1</v>
      </c>
      <c r="I53" s="74">
        <v>414</v>
      </c>
      <c r="J53" t="s">
        <v>461</v>
      </c>
      <c r="K53" s="165" t="s">
        <v>462</v>
      </c>
      <c r="L53" s="165"/>
      <c r="M53" s="166">
        <v>45107</v>
      </c>
      <c r="N53" s="166">
        <v>45110</v>
      </c>
      <c r="O53" s="86" t="s">
        <v>314</v>
      </c>
      <c r="P53" s="166" t="s">
        <v>315</v>
      </c>
    </row>
    <row r="54" spans="1:16" ht="37.5" x14ac:dyDescent="0.25">
      <c r="A54" s="164" t="str">
        <f ca="1">HYPERLINK(MID(CELL("filename",A1),FIND("[",CELL("filename",A1)),FIND("]",CELL("filename",A1)) - FIND("[",CELL("filename",A1)) + 1) &amp; "'x-415'!TABLE_CLIENT_1","x-415 1")</f>
        <v>x-415 1</v>
      </c>
      <c r="B54" s="86" t="s">
        <v>72</v>
      </c>
      <c r="C54" s="86" t="s">
        <v>74</v>
      </c>
      <c r="D54" s="86" t="s">
        <v>405</v>
      </c>
      <c r="E54" s="86" t="s">
        <v>463</v>
      </c>
      <c r="F54" s="86" t="s">
        <v>355</v>
      </c>
      <c r="G54" s="86" t="s">
        <v>407</v>
      </c>
      <c r="H54" s="86">
        <v>1</v>
      </c>
      <c r="I54" s="74">
        <v>415</v>
      </c>
      <c r="J54" t="s">
        <v>464</v>
      </c>
      <c r="K54" s="165" t="s">
        <v>465</v>
      </c>
      <c r="L54" s="165"/>
      <c r="M54" s="166">
        <v>45107</v>
      </c>
      <c r="N54" s="166">
        <v>45110</v>
      </c>
      <c r="O54" s="86" t="s">
        <v>314</v>
      </c>
      <c r="P54" s="166" t="s">
        <v>315</v>
      </c>
    </row>
    <row r="55" spans="1:16" ht="37.5" x14ac:dyDescent="0.25">
      <c r="A55" s="164" t="str">
        <f ca="1">HYPERLINK(MID(CELL("filename",A1),FIND("[",CELL("filename",A1)),FIND("]",CELL("filename",A1)) - FIND("[",CELL("filename",A1)) + 1) &amp; "'x-415'!TABLE_CLIENT_2","x-415 2")</f>
        <v>x-415 2</v>
      </c>
      <c r="B55" s="86" t="s">
        <v>72</v>
      </c>
      <c r="C55" s="86" t="s">
        <v>74</v>
      </c>
      <c r="D55" s="86" t="s">
        <v>405</v>
      </c>
      <c r="E55" s="86" t="s">
        <v>466</v>
      </c>
      <c r="F55" s="86" t="s">
        <v>355</v>
      </c>
      <c r="G55" s="86" t="s">
        <v>407</v>
      </c>
      <c r="H55" s="86">
        <v>1</v>
      </c>
      <c r="I55" s="74">
        <v>415</v>
      </c>
      <c r="J55" t="s">
        <v>467</v>
      </c>
      <c r="K55" s="165" t="s">
        <v>468</v>
      </c>
      <c r="L55" s="165"/>
      <c r="M55" s="166">
        <v>45107</v>
      </c>
      <c r="N55" s="166">
        <v>45110</v>
      </c>
      <c r="O55" s="86" t="s">
        <v>314</v>
      </c>
      <c r="P55" s="166" t="s">
        <v>315</v>
      </c>
    </row>
    <row r="56" spans="1:16" ht="25" x14ac:dyDescent="0.25">
      <c r="A56" s="164" t="str">
        <f ca="1">HYPERLINK(MID(CELL("filename",A1),FIND("[",CELL("filename",A1)),FIND("]",CELL("filename",A1)) - FIND("[",CELL("filename",A1)) + 1) &amp; "'x-416'!TABLE_CLIENT_1","x-416 1")</f>
        <v>x-416 1</v>
      </c>
      <c r="B56" s="86" t="s">
        <v>72</v>
      </c>
      <c r="C56" s="86" t="s">
        <v>73</v>
      </c>
      <c r="D56" s="86" t="s">
        <v>405</v>
      </c>
      <c r="E56" s="86" t="s">
        <v>469</v>
      </c>
      <c r="F56" s="86" t="s">
        <v>355</v>
      </c>
      <c r="G56" s="86" t="s">
        <v>470</v>
      </c>
      <c r="H56" s="86">
        <v>0</v>
      </c>
      <c r="I56" s="74">
        <v>416</v>
      </c>
      <c r="J56" t="s">
        <v>471</v>
      </c>
      <c r="K56" s="165" t="s">
        <v>472</v>
      </c>
      <c r="L56" s="165"/>
      <c r="M56" s="166">
        <v>45107</v>
      </c>
      <c r="N56" s="166">
        <v>45110</v>
      </c>
      <c r="O56" s="86" t="s">
        <v>314</v>
      </c>
      <c r="P56" s="166" t="s">
        <v>315</v>
      </c>
    </row>
    <row r="57" spans="1:16" ht="37.5" x14ac:dyDescent="0.25">
      <c r="A57" s="164" t="str">
        <f ca="1">HYPERLINK(MID(CELL("filename",A1),FIND("[",CELL("filename",A1)),FIND("]",CELL("filename",A1)) - FIND("[",CELL("filename",A1)) + 1) &amp; "'x-417'!TABLE_CLIENT_1","x-417 1")</f>
        <v>x-417 1</v>
      </c>
      <c r="B57" s="86" t="s">
        <v>72</v>
      </c>
      <c r="C57" s="86" t="s">
        <v>74</v>
      </c>
      <c r="D57" s="86" t="s">
        <v>473</v>
      </c>
      <c r="E57" s="86" t="s">
        <v>474</v>
      </c>
      <c r="F57" s="86" t="s">
        <v>355</v>
      </c>
      <c r="G57" s="86" t="s">
        <v>407</v>
      </c>
      <c r="H57" s="86">
        <v>2</v>
      </c>
      <c r="I57" s="74">
        <v>417</v>
      </c>
      <c r="J57" t="s">
        <v>475</v>
      </c>
      <c r="K57" s="165" t="s">
        <v>476</v>
      </c>
      <c r="L57" s="165"/>
      <c r="M57" s="166">
        <v>45107</v>
      </c>
      <c r="N57" s="166">
        <v>45110</v>
      </c>
      <c r="O57" s="86" t="s">
        <v>314</v>
      </c>
      <c r="P57" s="166" t="s">
        <v>315</v>
      </c>
    </row>
    <row r="58" spans="1:16" ht="37.5" x14ac:dyDescent="0.25">
      <c r="A58" s="164" t="str">
        <f ca="1">HYPERLINK(MID(CELL("filename",A1),FIND("[",CELL("filename",A1)),FIND("]",CELL("filename",A1)) - FIND("[",CELL("filename",A1)) + 1) &amp; "'x-418'!TABLE_CLIENT_1","x-418 1")</f>
        <v>x-418 1</v>
      </c>
      <c r="B58" s="86" t="s">
        <v>72</v>
      </c>
      <c r="C58" s="86" t="s">
        <v>74</v>
      </c>
      <c r="D58" s="86" t="s">
        <v>473</v>
      </c>
      <c r="E58" s="86" t="s">
        <v>477</v>
      </c>
      <c r="F58" s="86" t="s">
        <v>355</v>
      </c>
      <c r="G58" s="86" t="s">
        <v>407</v>
      </c>
      <c r="H58" s="86">
        <v>2</v>
      </c>
      <c r="I58" s="74">
        <v>418</v>
      </c>
      <c r="J58" t="s">
        <v>478</v>
      </c>
      <c r="K58" s="165" t="s">
        <v>479</v>
      </c>
      <c r="L58" s="165"/>
      <c r="M58" s="166">
        <v>45107</v>
      </c>
      <c r="N58" s="166">
        <v>45110</v>
      </c>
      <c r="O58" s="86" t="s">
        <v>314</v>
      </c>
      <c r="P58" s="166" t="s">
        <v>315</v>
      </c>
    </row>
    <row r="59" spans="1:16" ht="25" x14ac:dyDescent="0.25">
      <c r="A59" s="164" t="str">
        <f ca="1">HYPERLINK(MID(CELL("filename",A1),FIND("[",CELL("filename",A1)),FIND("]",CELL("filename",A1)) - FIND("[",CELL("filename",A1)) + 1) &amp; "'x-419'!TABLE_CLIENT_1","x-419 1")</f>
        <v>x-419 1</v>
      </c>
      <c r="B59" s="86" t="s">
        <v>72</v>
      </c>
      <c r="C59" s="86" t="s">
        <v>74</v>
      </c>
      <c r="D59" s="86" t="s">
        <v>473</v>
      </c>
      <c r="E59" s="86" t="s">
        <v>480</v>
      </c>
      <c r="F59" s="86" t="s">
        <v>355</v>
      </c>
      <c r="G59" s="86" t="s">
        <v>407</v>
      </c>
      <c r="H59" s="86">
        <v>2</v>
      </c>
      <c r="I59" s="74">
        <v>419</v>
      </c>
      <c r="J59" t="s">
        <v>481</v>
      </c>
      <c r="K59" s="165" t="s">
        <v>482</v>
      </c>
      <c r="L59" s="165"/>
      <c r="M59" s="166">
        <v>45107</v>
      </c>
      <c r="N59" s="166">
        <v>45110</v>
      </c>
      <c r="O59" s="86" t="s">
        <v>314</v>
      </c>
      <c r="P59" s="166" t="s">
        <v>315</v>
      </c>
    </row>
    <row r="60" spans="1:16" ht="25" x14ac:dyDescent="0.25">
      <c r="A60" s="164" t="str">
        <f ca="1">HYPERLINK(MID(CELL("filename",A1),FIND("[",CELL("filename",A1)),FIND("]",CELL("filename",A1)) - FIND("[",CELL("filename",A1)) + 1) &amp; "'x-420'!TABLE_CLIENT_1","x-420 1")</f>
        <v>x-420 1</v>
      </c>
      <c r="B60" s="86" t="s">
        <v>72</v>
      </c>
      <c r="C60" s="86" t="s">
        <v>74</v>
      </c>
      <c r="D60" s="86" t="s">
        <v>473</v>
      </c>
      <c r="E60" s="86" t="s">
        <v>483</v>
      </c>
      <c r="F60" s="86" t="s">
        <v>355</v>
      </c>
      <c r="G60" s="86" t="s">
        <v>407</v>
      </c>
      <c r="H60" s="86">
        <v>2</v>
      </c>
      <c r="I60" s="74">
        <v>420</v>
      </c>
      <c r="J60" t="s">
        <v>484</v>
      </c>
      <c r="K60" s="165" t="s">
        <v>485</v>
      </c>
      <c r="L60" s="165"/>
      <c r="M60" s="166">
        <v>45107</v>
      </c>
      <c r="N60" s="166">
        <v>45110</v>
      </c>
      <c r="O60" s="86" t="s">
        <v>314</v>
      </c>
      <c r="P60" s="166" t="s">
        <v>315</v>
      </c>
    </row>
    <row r="61" spans="1:16" ht="25" x14ac:dyDescent="0.25">
      <c r="A61" s="164" t="str">
        <f ca="1">HYPERLINK(MID(CELL("filename",A1),FIND("[",CELL("filename",A1)),FIND("]",CELL("filename",A1)) - FIND("[",CELL("filename",A1)) + 1) &amp; "'x-421'!TABLE_CLIENT_1","x-421 1")</f>
        <v>x-421 1</v>
      </c>
      <c r="B61" s="86" t="s">
        <v>72</v>
      </c>
      <c r="C61" s="86" t="s">
        <v>73</v>
      </c>
      <c r="D61" s="86" t="s">
        <v>473</v>
      </c>
      <c r="E61" s="86" t="s">
        <v>486</v>
      </c>
      <c r="F61" s="86" t="s">
        <v>355</v>
      </c>
      <c r="G61" s="86" t="s">
        <v>487</v>
      </c>
      <c r="H61" s="86">
        <v>0</v>
      </c>
      <c r="I61" s="74">
        <v>421</v>
      </c>
      <c r="J61" t="s">
        <v>488</v>
      </c>
      <c r="K61" s="165" t="s">
        <v>489</v>
      </c>
      <c r="L61" s="165"/>
      <c r="M61" s="166">
        <v>45107</v>
      </c>
      <c r="N61" s="166">
        <v>45110</v>
      </c>
      <c r="O61" s="86" t="s">
        <v>314</v>
      </c>
      <c r="P61" s="166" t="s">
        <v>315</v>
      </c>
    </row>
    <row r="62" spans="1:16" ht="25" x14ac:dyDescent="0.25">
      <c r="A62" s="164" t="str">
        <f ca="1">HYPERLINK(MID(CELL("filename",A1),FIND("[",CELL("filename",A1)),FIND("]",CELL("filename",A1)) - FIND("[",CELL("filename",A1)) + 1) &amp; "'x-422'!TABLE_CLIENT_1","x-422 1")</f>
        <v>x-422 1</v>
      </c>
      <c r="B62" s="86" t="s">
        <v>72</v>
      </c>
      <c r="C62" s="86" t="s">
        <v>73</v>
      </c>
      <c r="D62" s="86" t="s">
        <v>473</v>
      </c>
      <c r="E62" s="86" t="s">
        <v>490</v>
      </c>
      <c r="F62" s="86" t="s">
        <v>355</v>
      </c>
      <c r="G62" s="86" t="s">
        <v>487</v>
      </c>
      <c r="H62" s="86">
        <v>0</v>
      </c>
      <c r="I62" s="74">
        <v>422</v>
      </c>
      <c r="J62" t="s">
        <v>491</v>
      </c>
      <c r="K62" s="165" t="s">
        <v>492</v>
      </c>
      <c r="L62" s="165"/>
      <c r="M62" s="166">
        <v>45107</v>
      </c>
      <c r="N62" s="166">
        <v>45110</v>
      </c>
      <c r="O62" s="86" t="s">
        <v>314</v>
      </c>
      <c r="P62" s="166" t="s">
        <v>315</v>
      </c>
    </row>
    <row r="63" spans="1:16" ht="25" x14ac:dyDescent="0.25">
      <c r="A63" s="164" t="str">
        <f ca="1">HYPERLINK(MID(CELL("filename",A1),FIND("[",CELL("filename",A1)),FIND("]",CELL("filename",A1)) - FIND("[",CELL("filename",A1)) + 1) &amp; "'x-423'!TABLE_CLIENT_1","x-423 1")</f>
        <v>x-423 1</v>
      </c>
      <c r="B63" s="86" t="s">
        <v>72</v>
      </c>
      <c r="C63" s="86" t="s">
        <v>74</v>
      </c>
      <c r="D63" s="86" t="s">
        <v>473</v>
      </c>
      <c r="E63" s="86" t="s">
        <v>493</v>
      </c>
      <c r="F63" s="86" t="s">
        <v>355</v>
      </c>
      <c r="G63" s="86" t="s">
        <v>494</v>
      </c>
      <c r="H63" s="86">
        <v>0</v>
      </c>
      <c r="I63" s="74">
        <v>423</v>
      </c>
      <c r="J63" t="s">
        <v>495</v>
      </c>
      <c r="K63" s="165" t="s">
        <v>496</v>
      </c>
      <c r="L63" s="165"/>
      <c r="M63" s="166">
        <v>45107</v>
      </c>
      <c r="N63" s="166">
        <v>45110</v>
      </c>
      <c r="O63" s="86" t="s">
        <v>314</v>
      </c>
      <c r="P63" s="166" t="s">
        <v>315</v>
      </c>
    </row>
    <row r="64" spans="1:16" ht="37.5" x14ac:dyDescent="0.25">
      <c r="A64" s="164" t="str">
        <f ca="1">HYPERLINK(MID(CELL("filename",A1),FIND("[",CELL("filename",A1)),FIND("]",CELL("filename",A1)) - FIND("[",CELL("filename",A1)) + 1) &amp; "'x-424'!TABLE_CLIENT_1","x-424 1")</f>
        <v>x-424 1</v>
      </c>
      <c r="B64" s="86" t="s">
        <v>72</v>
      </c>
      <c r="C64" s="86" t="s">
        <v>74</v>
      </c>
      <c r="D64" s="86" t="s">
        <v>405</v>
      </c>
      <c r="E64" s="86" t="s">
        <v>497</v>
      </c>
      <c r="F64" s="86" t="s">
        <v>355</v>
      </c>
      <c r="G64" s="86" t="s">
        <v>407</v>
      </c>
      <c r="H64" s="86">
        <v>1</v>
      </c>
      <c r="I64" s="74">
        <v>424</v>
      </c>
      <c r="J64" t="s">
        <v>498</v>
      </c>
      <c r="K64" s="165" t="s">
        <v>499</v>
      </c>
      <c r="L64" s="165"/>
      <c r="M64" s="166">
        <v>45107</v>
      </c>
      <c r="N64" s="166">
        <v>45110</v>
      </c>
      <c r="O64" s="86" t="s">
        <v>314</v>
      </c>
      <c r="P64" s="166" t="s">
        <v>315</v>
      </c>
    </row>
    <row r="65" spans="1:16" x14ac:dyDescent="0.25">
      <c r="A65" s="164" t="str">
        <f ca="1">HYPERLINK(MID(CELL("filename",A1),FIND("[",CELL("filename",A1)),FIND("]",CELL("filename",A1)) - FIND("[",CELL("filename",A1)) + 1) &amp; "'x-501'!TABLE_CLIENT_1","x-501 1")</f>
        <v>x-501 1</v>
      </c>
      <c r="B65" s="86" t="s">
        <v>72</v>
      </c>
      <c r="C65" s="86">
        <v>1995</v>
      </c>
      <c r="D65" s="86" t="s">
        <v>500</v>
      </c>
      <c r="E65" s="86" t="s">
        <v>501</v>
      </c>
      <c r="F65" s="86" t="s">
        <v>355</v>
      </c>
      <c r="G65" s="86" t="s">
        <v>417</v>
      </c>
      <c r="H65" s="86">
        <v>1</v>
      </c>
      <c r="I65" s="74">
        <v>501</v>
      </c>
      <c r="J65" t="s">
        <v>502</v>
      </c>
      <c r="K65" s="165" t="s">
        <v>503</v>
      </c>
      <c r="L65" s="165"/>
      <c r="M65" s="166">
        <v>45138</v>
      </c>
      <c r="N65" s="166">
        <v>45138</v>
      </c>
      <c r="O65" s="86" t="s">
        <v>314</v>
      </c>
      <c r="P65" s="166" t="s">
        <v>315</v>
      </c>
    </row>
    <row r="66" spans="1:16" x14ac:dyDescent="0.25">
      <c r="A66" s="164" t="str">
        <f ca="1">HYPERLINK(MID(CELL("filename",A1),FIND("[",CELL("filename",A1)),FIND("]",CELL("filename",A1)) - FIND("[",CELL("filename",A1)) + 1) &amp; "'x-502'!TABLE_CLIENT_1","x-502 1")</f>
        <v>x-502 1</v>
      </c>
      <c r="B66" s="86" t="s">
        <v>72</v>
      </c>
      <c r="C66" s="86">
        <v>2008</v>
      </c>
      <c r="D66" s="86" t="s">
        <v>500</v>
      </c>
      <c r="E66" s="86" t="s">
        <v>501</v>
      </c>
      <c r="F66" s="86" t="s">
        <v>355</v>
      </c>
      <c r="G66" s="86" t="s">
        <v>417</v>
      </c>
      <c r="H66" s="86">
        <v>2</v>
      </c>
      <c r="I66" s="74">
        <v>502</v>
      </c>
      <c r="J66" t="s">
        <v>504</v>
      </c>
      <c r="K66" s="165" t="s">
        <v>505</v>
      </c>
      <c r="L66" s="165"/>
      <c r="M66" s="166">
        <v>45138</v>
      </c>
      <c r="N66" s="166">
        <v>45138</v>
      </c>
      <c r="O66" s="86" t="s">
        <v>314</v>
      </c>
      <c r="P66" s="166" t="s">
        <v>315</v>
      </c>
    </row>
    <row r="67" spans="1:16" x14ac:dyDescent="0.25">
      <c r="A67" s="164" t="str">
        <f ca="1">HYPERLINK(MID(CELL("filename",A1),FIND("[",CELL("filename",A1)),FIND("]",CELL("filename",A1)) - FIND("[",CELL("filename",A1)) + 1) &amp; "'x-503'!TABLE_CLIENT_1","x-503 1")</f>
        <v>x-503 1</v>
      </c>
      <c r="B67" s="86" t="s">
        <v>72</v>
      </c>
      <c r="C67" s="86" t="s">
        <v>73</v>
      </c>
      <c r="D67" s="86" t="s">
        <v>500</v>
      </c>
      <c r="E67" s="86" t="s">
        <v>506</v>
      </c>
      <c r="F67" s="86" t="s">
        <v>355</v>
      </c>
      <c r="G67" s="86" t="s">
        <v>417</v>
      </c>
      <c r="H67" s="86">
        <v>0</v>
      </c>
      <c r="I67" s="74">
        <v>503</v>
      </c>
      <c r="J67" t="s">
        <v>507</v>
      </c>
      <c r="K67" s="165" t="s">
        <v>508</v>
      </c>
      <c r="L67" s="165"/>
      <c r="M67" s="166">
        <v>45138</v>
      </c>
      <c r="N67" s="166">
        <v>45138</v>
      </c>
      <c r="O67" s="86" t="s">
        <v>314</v>
      </c>
      <c r="P67" s="166" t="s">
        <v>315</v>
      </c>
    </row>
    <row r="68" spans="1:16" x14ac:dyDescent="0.25">
      <c r="A68" s="164" t="str">
        <f ca="1">HYPERLINK(MID(CELL("filename",A1),FIND("[",CELL("filename",A1)),FIND("]",CELL("filename",A1)) - FIND("[",CELL("filename",A1)) + 1) &amp; "'x-504'!TABLE_CLIENT_1","x-504 1")</f>
        <v>x-504 1</v>
      </c>
      <c r="B68" s="86" t="s">
        <v>72</v>
      </c>
      <c r="C68" s="86">
        <v>1995</v>
      </c>
      <c r="D68" s="86" t="s">
        <v>509</v>
      </c>
      <c r="E68" s="86" t="s">
        <v>510</v>
      </c>
      <c r="F68" s="86" t="s">
        <v>355</v>
      </c>
      <c r="G68" s="86" t="s">
        <v>417</v>
      </c>
      <c r="H68" s="86">
        <v>1</v>
      </c>
      <c r="I68" s="74">
        <v>504</v>
      </c>
      <c r="J68" t="s">
        <v>511</v>
      </c>
      <c r="K68" s="165" t="s">
        <v>512</v>
      </c>
      <c r="L68" s="165"/>
      <c r="M68" s="166">
        <v>45138</v>
      </c>
      <c r="N68" s="166">
        <v>45138</v>
      </c>
      <c r="O68" s="86" t="s">
        <v>314</v>
      </c>
      <c r="P68" s="166" t="s">
        <v>315</v>
      </c>
    </row>
    <row r="69" spans="1:16" x14ac:dyDescent="0.25">
      <c r="A69" s="164" t="str">
        <f ca="1">HYPERLINK(MID(CELL("filename",A1),FIND("[",CELL("filename",A1)),FIND("]",CELL("filename",A1)) - FIND("[",CELL("filename",A1)) + 1) &amp; "'x-505'!TABLE_CLIENT_1","x-505 1")</f>
        <v>x-505 1</v>
      </c>
      <c r="B69" s="86" t="s">
        <v>72</v>
      </c>
      <c r="C69" s="86" t="s">
        <v>74</v>
      </c>
      <c r="D69" s="86" t="s">
        <v>500</v>
      </c>
      <c r="E69" s="86" t="s">
        <v>501</v>
      </c>
      <c r="F69" s="86" t="s">
        <v>355</v>
      </c>
      <c r="G69" s="86" t="s">
        <v>417</v>
      </c>
      <c r="H69" s="86">
        <v>1</v>
      </c>
      <c r="I69" s="74">
        <v>505</v>
      </c>
      <c r="J69" t="s">
        <v>513</v>
      </c>
      <c r="K69" s="165" t="s">
        <v>514</v>
      </c>
      <c r="L69" s="165"/>
      <c r="M69" s="166">
        <v>45138</v>
      </c>
      <c r="N69" s="166">
        <v>45138</v>
      </c>
      <c r="O69" s="86" t="s">
        <v>314</v>
      </c>
      <c r="P69" s="166" t="s">
        <v>315</v>
      </c>
    </row>
    <row r="70" spans="1:16" x14ac:dyDescent="0.25">
      <c r="A70" s="164" t="str">
        <f ca="1">HYPERLINK(MID(CELL("filename",A1),FIND("[",CELL("filename",A1)),FIND("]",CELL("filename",A1)) - FIND("[",CELL("filename",A1)) + 1) &amp; "'x-605'!TABLE_CLIENT_1","x-605 1")</f>
        <v>x-605 1</v>
      </c>
      <c r="B70" s="86" t="s">
        <v>72</v>
      </c>
      <c r="C70" s="86" t="s">
        <v>74</v>
      </c>
      <c r="D70" s="86" t="s">
        <v>515</v>
      </c>
      <c r="E70" s="86" t="s">
        <v>516</v>
      </c>
      <c r="F70" s="86" t="s">
        <v>355</v>
      </c>
      <c r="G70" s="86" t="s">
        <v>371</v>
      </c>
      <c r="H70" s="86">
        <v>1</v>
      </c>
      <c r="I70" s="74">
        <v>605</v>
      </c>
      <c r="J70" t="s">
        <v>517</v>
      </c>
      <c r="K70" s="165" t="s">
        <v>518</v>
      </c>
      <c r="L70" s="165"/>
      <c r="M70" s="166">
        <v>45138</v>
      </c>
      <c r="N70" s="166">
        <v>45138</v>
      </c>
      <c r="O70" s="86" t="s">
        <v>519</v>
      </c>
      <c r="P70" s="166" t="s">
        <v>315</v>
      </c>
    </row>
    <row r="71" spans="1:16" x14ac:dyDescent="0.25">
      <c r="A71" s="164" t="str">
        <f ca="1">HYPERLINK(MID(CELL("filename",A1),FIND("[",CELL("filename",A1)),FIND("]",CELL("filename",A1)) - FIND("[",CELL("filename",A1)) + 1) &amp; "'x-606'!TABLE_CLIENT_1","x-606 1")</f>
        <v>x-606 1</v>
      </c>
      <c r="B71" s="86" t="s">
        <v>72</v>
      </c>
      <c r="C71" s="86" t="s">
        <v>73</v>
      </c>
      <c r="D71" s="86" t="s">
        <v>515</v>
      </c>
      <c r="E71" s="86" t="s">
        <v>516</v>
      </c>
      <c r="F71" s="86" t="s">
        <v>355</v>
      </c>
      <c r="G71" s="86" t="s">
        <v>371</v>
      </c>
      <c r="H71" s="86">
        <v>0</v>
      </c>
      <c r="I71" s="74">
        <v>606</v>
      </c>
      <c r="J71" t="s">
        <v>520</v>
      </c>
      <c r="K71" s="165" t="s">
        <v>518</v>
      </c>
      <c r="L71" s="165"/>
      <c r="M71" s="166">
        <v>45138</v>
      </c>
      <c r="N71" s="166">
        <v>45138</v>
      </c>
      <c r="O71" s="86" t="s">
        <v>519</v>
      </c>
      <c r="P71" s="166" t="s">
        <v>315</v>
      </c>
    </row>
    <row r="72" spans="1:16" x14ac:dyDescent="0.25">
      <c r="A72" s="164" t="str">
        <f ca="1">HYPERLINK(MID(CELL("filename",A1),FIND("[",CELL("filename",A1)),FIND("]",CELL("filename",A1)) - FIND("[",CELL("filename",A1)) + 1) &amp; "'x-607'!TABLE_CLIENT_1","x-607 1")</f>
        <v>x-607 1</v>
      </c>
      <c r="B72" s="86" t="s">
        <v>72</v>
      </c>
      <c r="C72" s="86" t="s">
        <v>74</v>
      </c>
      <c r="D72" s="86" t="s">
        <v>521</v>
      </c>
      <c r="E72" s="86" t="s">
        <v>522</v>
      </c>
      <c r="F72" s="86" t="s">
        <v>355</v>
      </c>
      <c r="G72" s="86" t="s">
        <v>361</v>
      </c>
      <c r="H72" s="86">
        <v>1</v>
      </c>
      <c r="I72" s="74">
        <v>607</v>
      </c>
      <c r="J72" t="s">
        <v>523</v>
      </c>
      <c r="K72" s="165" t="s">
        <v>524</v>
      </c>
      <c r="L72" s="165"/>
      <c r="M72" s="166">
        <v>45138</v>
      </c>
      <c r="N72" s="166">
        <v>45138</v>
      </c>
      <c r="O72" s="86" t="s">
        <v>314</v>
      </c>
      <c r="P72" s="166" t="s">
        <v>315</v>
      </c>
    </row>
    <row r="73" spans="1:16" x14ac:dyDescent="0.25">
      <c r="A73" s="164" t="str">
        <f ca="1">HYPERLINK(MID(CELL("filename",A1),FIND("[",CELL("filename",A1)),FIND("]",CELL("filename",A1)) - FIND("[",CELL("filename",A1)) + 1) &amp; "'x-608'!TABLE_CLIENT_1","x-608 1")</f>
        <v>x-608 1</v>
      </c>
      <c r="B73" s="86" t="s">
        <v>72</v>
      </c>
      <c r="C73" s="86" t="s">
        <v>74</v>
      </c>
      <c r="D73" s="86" t="s">
        <v>521</v>
      </c>
      <c r="E73" s="86" t="s">
        <v>525</v>
      </c>
      <c r="F73" s="86" t="s">
        <v>355</v>
      </c>
      <c r="G73" s="86" t="s">
        <v>361</v>
      </c>
      <c r="H73" s="86">
        <v>1</v>
      </c>
      <c r="I73" s="74">
        <v>608</v>
      </c>
      <c r="J73" t="s">
        <v>526</v>
      </c>
      <c r="K73" s="165" t="s">
        <v>527</v>
      </c>
      <c r="L73" s="165"/>
      <c r="M73" s="166">
        <v>45138</v>
      </c>
      <c r="N73" s="166">
        <v>45138</v>
      </c>
      <c r="O73" s="86" t="s">
        <v>314</v>
      </c>
      <c r="P73" s="166" t="s">
        <v>315</v>
      </c>
    </row>
    <row r="74" spans="1:16" x14ac:dyDescent="0.25">
      <c r="A74" s="164" t="str">
        <f ca="1">HYPERLINK(MID(CELL("filename",A1),FIND("[",CELL("filename",A1)),FIND("]",CELL("filename",A1)) - FIND("[",CELL("filename",A1)) + 1) &amp; "'x-609'!TABLE_CLIENT_1","x-609 1")</f>
        <v>x-609 1</v>
      </c>
      <c r="B74" s="86" t="s">
        <v>72</v>
      </c>
      <c r="C74" s="86" t="s">
        <v>74</v>
      </c>
      <c r="D74" s="86" t="s">
        <v>521</v>
      </c>
      <c r="E74" s="86" t="s">
        <v>528</v>
      </c>
      <c r="F74" s="86" t="s">
        <v>355</v>
      </c>
      <c r="G74" s="86" t="s">
        <v>529</v>
      </c>
      <c r="H74" s="86">
        <v>0</v>
      </c>
      <c r="I74" s="74">
        <v>609</v>
      </c>
      <c r="J74" t="s">
        <v>530</v>
      </c>
      <c r="K74" s="165" t="s">
        <v>531</v>
      </c>
      <c r="L74" s="165"/>
      <c r="M74" s="166">
        <v>45138</v>
      </c>
      <c r="N74" s="166">
        <v>45138</v>
      </c>
      <c r="O74" s="86" t="s">
        <v>314</v>
      </c>
      <c r="P74" s="166" t="s">
        <v>315</v>
      </c>
    </row>
    <row r="75" spans="1:16" x14ac:dyDescent="0.25">
      <c r="A75" s="164" t="str">
        <f ca="1">HYPERLINK(MID(CELL("filename",A1),FIND("[",CELL("filename",A1)),FIND("]",CELL("filename",A1)) - FIND("[",CELL("filename",A1)) + 1) &amp; "'x-610'!TABLE_CLIENT_1","x-610 1")</f>
        <v>x-610 1</v>
      </c>
      <c r="B75" s="86" t="s">
        <v>72</v>
      </c>
      <c r="C75" s="86" t="s">
        <v>74</v>
      </c>
      <c r="D75" s="86" t="s">
        <v>521</v>
      </c>
      <c r="E75" s="86" t="s">
        <v>532</v>
      </c>
      <c r="F75" s="86" t="s">
        <v>355</v>
      </c>
      <c r="G75" s="86" t="s">
        <v>529</v>
      </c>
      <c r="H75" s="86">
        <v>0</v>
      </c>
      <c r="I75" s="74">
        <v>610</v>
      </c>
      <c r="J75" t="s">
        <v>533</v>
      </c>
      <c r="K75" s="165" t="s">
        <v>534</v>
      </c>
      <c r="L75" s="165"/>
      <c r="M75" s="166">
        <v>45138</v>
      </c>
      <c r="N75" s="166">
        <v>45138</v>
      </c>
      <c r="O75" s="86" t="s">
        <v>314</v>
      </c>
      <c r="P75" s="166" t="s">
        <v>315</v>
      </c>
    </row>
    <row r="76" spans="1:16" x14ac:dyDescent="0.25">
      <c r="A76" s="164" t="str">
        <f ca="1">HYPERLINK(MID(CELL("filename",A1),FIND("[",CELL("filename",A1)),FIND("]",CELL("filename",A1)) - FIND("[",CELL("filename",A1)) + 1) &amp; "'x-611'!TABLE_CLIENT_1","x-611 1")</f>
        <v>x-611 1</v>
      </c>
      <c r="B76" s="86" t="s">
        <v>72</v>
      </c>
      <c r="C76" s="86" t="s">
        <v>73</v>
      </c>
      <c r="D76" s="86" t="s">
        <v>521</v>
      </c>
      <c r="E76" s="86" t="s">
        <v>525</v>
      </c>
      <c r="F76" s="86" t="s">
        <v>355</v>
      </c>
      <c r="G76" s="86" t="s">
        <v>361</v>
      </c>
      <c r="H76" s="86">
        <v>0</v>
      </c>
      <c r="I76" s="74">
        <v>611</v>
      </c>
      <c r="J76" t="s">
        <v>535</v>
      </c>
      <c r="K76" s="165" t="s">
        <v>527</v>
      </c>
      <c r="L76" s="165"/>
      <c r="M76" s="166">
        <v>45138</v>
      </c>
      <c r="N76" s="166">
        <v>45138</v>
      </c>
      <c r="O76" s="86" t="s">
        <v>314</v>
      </c>
      <c r="P76" s="166" t="s">
        <v>315</v>
      </c>
    </row>
    <row r="77" spans="1:16" x14ac:dyDescent="0.25">
      <c r="A77" s="164" t="str">
        <f ca="1">HYPERLINK(MID(CELL("filename",A1),FIND("[",CELL("filename",A1)),FIND("]",CELL("filename",A1)) - FIND("[",CELL("filename",A1)) + 1) &amp; "'x-612'!TABLE_CLIENT_1","x-612 1")</f>
        <v>x-612 1</v>
      </c>
      <c r="B77" s="86" t="s">
        <v>72</v>
      </c>
      <c r="C77" s="86" t="s">
        <v>73</v>
      </c>
      <c r="D77" s="86" t="s">
        <v>521</v>
      </c>
      <c r="E77" s="86" t="s">
        <v>536</v>
      </c>
      <c r="F77" s="86" t="s">
        <v>355</v>
      </c>
      <c r="G77" s="86" t="s">
        <v>361</v>
      </c>
      <c r="H77" s="86">
        <v>0</v>
      </c>
      <c r="I77" s="74">
        <v>612</v>
      </c>
      <c r="J77" t="s">
        <v>537</v>
      </c>
      <c r="K77" s="165" t="s">
        <v>538</v>
      </c>
      <c r="L77" s="165"/>
      <c r="M77" s="166">
        <v>45138</v>
      </c>
      <c r="N77" s="166">
        <v>45138</v>
      </c>
      <c r="O77" s="86" t="s">
        <v>314</v>
      </c>
      <c r="P77" s="166" t="s">
        <v>315</v>
      </c>
    </row>
    <row r="78" spans="1:16" x14ac:dyDescent="0.25">
      <c r="A78" s="164" t="str">
        <f ca="1">HYPERLINK(MID(CELL("filename",A1),FIND("[",CELL("filename",A1)),FIND("]",CELL("filename",A1)) - FIND("[",CELL("filename",A1)) + 1) &amp; "'x-613'!TABLE_CLIENT_1","x-613 1")</f>
        <v>x-613 1</v>
      </c>
      <c r="B78" s="86" t="s">
        <v>72</v>
      </c>
      <c r="C78" s="86" t="s">
        <v>73</v>
      </c>
      <c r="D78" s="86" t="s">
        <v>521</v>
      </c>
      <c r="E78" s="86" t="s">
        <v>539</v>
      </c>
      <c r="F78" s="86" t="s">
        <v>355</v>
      </c>
      <c r="G78" s="86" t="s">
        <v>361</v>
      </c>
      <c r="H78" s="86">
        <v>0</v>
      </c>
      <c r="I78" s="74">
        <v>613</v>
      </c>
      <c r="J78" t="s">
        <v>540</v>
      </c>
      <c r="K78" s="165" t="s">
        <v>541</v>
      </c>
      <c r="L78" s="165"/>
      <c r="M78" s="166">
        <v>45138</v>
      </c>
      <c r="N78" s="166">
        <v>45138</v>
      </c>
      <c r="O78" s="86" t="s">
        <v>314</v>
      </c>
      <c r="P78" s="166" t="s">
        <v>315</v>
      </c>
    </row>
    <row r="79" spans="1:16" x14ac:dyDescent="0.25">
      <c r="A79" s="164" t="str">
        <f ca="1">HYPERLINK(MID(CELL("filename",A1),FIND("[",CELL("filename",A1)),FIND("]",CELL("filename",A1)) - FIND("[",CELL("filename",A1)) + 1) &amp; "'x-614'!TABLE_CLIENT_1","x-614 1")</f>
        <v>x-614 1</v>
      </c>
      <c r="B79" s="86" t="s">
        <v>72</v>
      </c>
      <c r="C79" s="86" t="s">
        <v>73</v>
      </c>
      <c r="D79" s="86" t="s">
        <v>521</v>
      </c>
      <c r="E79" s="86" t="s">
        <v>542</v>
      </c>
      <c r="F79" s="86" t="s">
        <v>355</v>
      </c>
      <c r="G79" s="86" t="s">
        <v>361</v>
      </c>
      <c r="H79" s="86">
        <v>0</v>
      </c>
      <c r="I79" s="74">
        <v>614</v>
      </c>
      <c r="J79" t="s">
        <v>543</v>
      </c>
      <c r="K79" s="165" t="s">
        <v>544</v>
      </c>
      <c r="L79" s="165"/>
      <c r="M79" s="166">
        <v>45138</v>
      </c>
      <c r="N79" s="166">
        <v>45138</v>
      </c>
      <c r="O79" s="86" t="s">
        <v>314</v>
      </c>
      <c r="P79" s="166" t="s">
        <v>315</v>
      </c>
    </row>
    <row r="80" spans="1:16" x14ac:dyDescent="0.25">
      <c r="A80" s="164" t="str">
        <f ca="1">HYPERLINK(MID(CELL("filename",A1),FIND("[",CELL("filename",A1)),FIND("]",CELL("filename",A1)) - FIND("[",CELL("filename",A1)) + 1) &amp; "'x-615'!TABLE_CLIENT_1","x-615 1")</f>
        <v>x-615 1</v>
      </c>
      <c r="B80" s="86" t="s">
        <v>72</v>
      </c>
      <c r="C80" s="86" t="s">
        <v>73</v>
      </c>
      <c r="D80" s="86" t="s">
        <v>521</v>
      </c>
      <c r="E80" s="86" t="s">
        <v>545</v>
      </c>
      <c r="F80" s="86" t="s">
        <v>355</v>
      </c>
      <c r="G80" s="86" t="s">
        <v>546</v>
      </c>
      <c r="H80" s="86">
        <v>0</v>
      </c>
      <c r="I80" s="74">
        <v>615</v>
      </c>
      <c r="J80" t="s">
        <v>547</v>
      </c>
      <c r="K80" s="165" t="s">
        <v>548</v>
      </c>
      <c r="L80" s="165"/>
      <c r="M80" s="166">
        <v>45138</v>
      </c>
      <c r="N80" s="166">
        <v>45138</v>
      </c>
      <c r="O80" s="86" t="s">
        <v>314</v>
      </c>
      <c r="P80" s="166" t="s">
        <v>315</v>
      </c>
    </row>
    <row r="81" spans="1:16" ht="37.5" x14ac:dyDescent="0.25">
      <c r="A81" s="164" t="str">
        <f ca="1">HYPERLINK(MID(CELL("filename",A1),FIND("[",CELL("filename",A1)),FIND("]",CELL("filename",A1)) - FIND("[",CELL("filename",A1)) + 1) &amp; "'x-703'!TABLE_CLIENT_1","x-703 1")</f>
        <v>x-703 1</v>
      </c>
      <c r="B81" s="86" t="s">
        <v>72</v>
      </c>
      <c r="C81" s="86" t="s">
        <v>73</v>
      </c>
      <c r="D81" s="86" t="s">
        <v>549</v>
      </c>
      <c r="E81" s="86" t="s">
        <v>550</v>
      </c>
      <c r="F81" s="86" t="s">
        <v>355</v>
      </c>
      <c r="G81" s="86" t="s">
        <v>551</v>
      </c>
      <c r="H81" s="86">
        <v>0</v>
      </c>
      <c r="I81" s="74">
        <v>703</v>
      </c>
      <c r="J81" t="s">
        <v>552</v>
      </c>
      <c r="K81" s="165" t="s">
        <v>553</v>
      </c>
      <c r="L81" s="165"/>
      <c r="M81" s="166">
        <v>45202</v>
      </c>
      <c r="N81" s="166">
        <v>45383</v>
      </c>
      <c r="O81" s="86" t="s">
        <v>314</v>
      </c>
      <c r="P81" s="166" t="s">
        <v>315</v>
      </c>
    </row>
    <row r="82" spans="1:16" ht="50" x14ac:dyDescent="0.25">
      <c r="A82" s="164" t="str">
        <f ca="1">HYPERLINK(MID(CELL("filename",A1),FIND("[",CELL("filename",A1)),FIND("]",CELL("filename",A1)) - FIND("[",CELL("filename",A1)) + 1) &amp; "'x-704'!TABLE_CLIENT_1","x-704 1")</f>
        <v>x-704 1</v>
      </c>
      <c r="B82" s="86" t="s">
        <v>72</v>
      </c>
      <c r="C82" s="86" t="s">
        <v>74</v>
      </c>
      <c r="D82" s="86" t="s">
        <v>549</v>
      </c>
      <c r="E82" s="86" t="s">
        <v>554</v>
      </c>
      <c r="F82" s="86" t="s">
        <v>355</v>
      </c>
      <c r="G82" s="86" t="s">
        <v>555</v>
      </c>
      <c r="H82" s="86">
        <v>1</v>
      </c>
      <c r="I82" s="74">
        <v>704</v>
      </c>
      <c r="J82" t="s">
        <v>556</v>
      </c>
      <c r="K82" s="165" t="s">
        <v>557</v>
      </c>
      <c r="L82" s="165"/>
      <c r="M82" s="166">
        <v>45202</v>
      </c>
      <c r="N82" s="166">
        <v>45383</v>
      </c>
      <c r="O82" s="86" t="s">
        <v>314</v>
      </c>
      <c r="P82" s="166" t="s">
        <v>315</v>
      </c>
    </row>
    <row r="83" spans="1:16" ht="50" x14ac:dyDescent="0.25">
      <c r="A83" s="164" t="str">
        <f ca="1">HYPERLINK(MID(CELL("filename",A1),FIND("[",CELL("filename",A1)),FIND("]",CELL("filename",A1)) - FIND("[",CELL("filename",A1)) + 1) &amp; "'x-705'!TABLE_CLIENT_1","x-705 1")</f>
        <v>x-705 1</v>
      </c>
      <c r="B83" s="86" t="s">
        <v>72</v>
      </c>
      <c r="C83" s="86" t="s">
        <v>74</v>
      </c>
      <c r="D83" s="86" t="s">
        <v>549</v>
      </c>
      <c r="E83" s="86" t="s">
        <v>558</v>
      </c>
      <c r="F83" s="86" t="s">
        <v>355</v>
      </c>
      <c r="G83" s="86" t="s">
        <v>555</v>
      </c>
      <c r="H83" s="86">
        <v>1</v>
      </c>
      <c r="I83" s="74">
        <v>705</v>
      </c>
      <c r="J83" t="s">
        <v>559</v>
      </c>
      <c r="K83" s="165" t="s">
        <v>560</v>
      </c>
      <c r="L83" s="165"/>
      <c r="M83" s="166">
        <v>45202</v>
      </c>
      <c r="N83" s="166">
        <v>45383</v>
      </c>
      <c r="O83" s="86" t="s">
        <v>314</v>
      </c>
      <c r="P83" s="166" t="s">
        <v>315</v>
      </c>
    </row>
    <row r="84" spans="1:16" ht="50" x14ac:dyDescent="0.25">
      <c r="A84" s="164" t="str">
        <f ca="1">HYPERLINK(MID(CELL("filename",A1),FIND("[",CELL("filename",A1)),FIND("]",CELL("filename",A1)) - FIND("[",CELL("filename",A1)) + 1) &amp; "'x-706'!TABLE_CLIENT_1","x-706 1")</f>
        <v>x-706 1</v>
      </c>
      <c r="B84" s="86" t="s">
        <v>72</v>
      </c>
      <c r="C84" s="86" t="s">
        <v>74</v>
      </c>
      <c r="D84" s="86" t="s">
        <v>549</v>
      </c>
      <c r="E84" s="86" t="s">
        <v>561</v>
      </c>
      <c r="F84" s="86" t="s">
        <v>355</v>
      </c>
      <c r="G84" s="86" t="s">
        <v>555</v>
      </c>
      <c r="H84" s="86">
        <v>2</v>
      </c>
      <c r="I84" s="74">
        <v>706</v>
      </c>
      <c r="J84" t="s">
        <v>562</v>
      </c>
      <c r="K84" s="165" t="s">
        <v>563</v>
      </c>
      <c r="L84" s="165"/>
      <c r="M84" s="166">
        <v>45202</v>
      </c>
      <c r="N84" s="166">
        <v>45383</v>
      </c>
      <c r="O84" s="86" t="s">
        <v>314</v>
      </c>
      <c r="P84" s="166" t="s">
        <v>315</v>
      </c>
    </row>
    <row r="85" spans="1:16" ht="50" x14ac:dyDescent="0.25">
      <c r="A85" s="164" t="str">
        <f ca="1">HYPERLINK(MID(CELL("filename",A1),FIND("[",CELL("filename",A1)),FIND("]",CELL("filename",A1)) - FIND("[",CELL("filename",A1)) + 1) &amp; "'x-707'!TABLE_CLIENT_1","x-707 1")</f>
        <v>x-707 1</v>
      </c>
      <c r="B85" s="86" t="s">
        <v>72</v>
      </c>
      <c r="C85" s="86" t="s">
        <v>74</v>
      </c>
      <c r="D85" s="86" t="s">
        <v>549</v>
      </c>
      <c r="E85" s="86" t="s">
        <v>564</v>
      </c>
      <c r="F85" s="86" t="s">
        <v>355</v>
      </c>
      <c r="G85" s="86" t="s">
        <v>555</v>
      </c>
      <c r="H85" s="86">
        <v>2</v>
      </c>
      <c r="I85" s="74">
        <v>707</v>
      </c>
      <c r="J85" t="s">
        <v>565</v>
      </c>
      <c r="K85" s="165" t="s">
        <v>566</v>
      </c>
      <c r="L85" s="165"/>
      <c r="M85" s="166">
        <v>45202</v>
      </c>
      <c r="N85" s="166">
        <v>45383</v>
      </c>
      <c r="O85" s="86" t="s">
        <v>314</v>
      </c>
      <c r="P85" s="166" t="s">
        <v>315</v>
      </c>
    </row>
    <row r="86" spans="1:16" ht="50" x14ac:dyDescent="0.25">
      <c r="A86" s="164" t="str">
        <f ca="1">HYPERLINK(MID(CELL("filename",A1),FIND("[",CELL("filename",A1)),FIND("]",CELL("filename",A1)) - FIND("[",CELL("filename",A1)) + 1) &amp; "'x-708'!TABLE_CLIENT_1","x-708 1")</f>
        <v>x-708 1</v>
      </c>
      <c r="B86" s="86" t="s">
        <v>72</v>
      </c>
      <c r="C86" s="86" t="s">
        <v>74</v>
      </c>
      <c r="D86" s="86" t="s">
        <v>549</v>
      </c>
      <c r="E86" s="86" t="s">
        <v>567</v>
      </c>
      <c r="F86" s="86" t="s">
        <v>355</v>
      </c>
      <c r="G86" s="86" t="s">
        <v>555</v>
      </c>
      <c r="H86" s="86">
        <v>1</v>
      </c>
      <c r="I86" s="74">
        <v>708</v>
      </c>
      <c r="J86" t="s">
        <v>568</v>
      </c>
      <c r="K86" s="165" t="s">
        <v>569</v>
      </c>
      <c r="L86" s="165"/>
      <c r="M86" s="166">
        <v>45202</v>
      </c>
      <c r="N86" s="166">
        <v>45383</v>
      </c>
      <c r="O86" s="86" t="s">
        <v>314</v>
      </c>
      <c r="P86" s="166" t="s">
        <v>315</v>
      </c>
    </row>
    <row r="87" spans="1:16" ht="50" x14ac:dyDescent="0.25">
      <c r="A87" s="164" t="str">
        <f ca="1">HYPERLINK(MID(CELL("filename",A1),FIND("[",CELL("filename",A1)),FIND("]",CELL("filename",A1)) - FIND("[",CELL("filename",A1)) + 1) &amp; "'x-709'!TABLE_CLIENT_1","x-709 1")</f>
        <v>x-709 1</v>
      </c>
      <c r="B87" s="86" t="s">
        <v>72</v>
      </c>
      <c r="C87" s="86" t="s">
        <v>74</v>
      </c>
      <c r="D87" s="86" t="s">
        <v>549</v>
      </c>
      <c r="E87" s="86" t="s">
        <v>570</v>
      </c>
      <c r="F87" s="86" t="s">
        <v>355</v>
      </c>
      <c r="G87" s="86" t="s">
        <v>555</v>
      </c>
      <c r="H87" s="86">
        <v>1</v>
      </c>
      <c r="I87" s="74">
        <v>709</v>
      </c>
      <c r="J87" t="s">
        <v>571</v>
      </c>
      <c r="K87" s="165" t="s">
        <v>572</v>
      </c>
      <c r="L87" s="165"/>
      <c r="M87" s="166">
        <v>45202</v>
      </c>
      <c r="N87" s="166">
        <v>45383</v>
      </c>
      <c r="O87" s="86" t="s">
        <v>314</v>
      </c>
      <c r="P87" s="166" t="s">
        <v>315</v>
      </c>
    </row>
    <row r="88" spans="1:16" ht="50" x14ac:dyDescent="0.25">
      <c r="A88" s="164" t="str">
        <f ca="1">HYPERLINK(MID(CELL("filename",A1),FIND("[",CELL("filename",A1)),FIND("]",CELL("filename",A1)) - FIND("[",CELL("filename",A1)) + 1) &amp; "'x-710'!TABLE_CLIENT_1","x-710 1")</f>
        <v>x-710 1</v>
      </c>
      <c r="B88" s="86" t="s">
        <v>72</v>
      </c>
      <c r="C88" s="86" t="s">
        <v>74</v>
      </c>
      <c r="D88" s="86" t="s">
        <v>549</v>
      </c>
      <c r="E88" s="86" t="s">
        <v>573</v>
      </c>
      <c r="F88" s="86" t="s">
        <v>355</v>
      </c>
      <c r="G88" s="86" t="s">
        <v>555</v>
      </c>
      <c r="H88" s="86">
        <v>2</v>
      </c>
      <c r="I88" s="74">
        <v>710</v>
      </c>
      <c r="J88" t="s">
        <v>574</v>
      </c>
      <c r="K88" s="165" t="s">
        <v>575</v>
      </c>
      <c r="L88" s="165"/>
      <c r="M88" s="166">
        <v>45202</v>
      </c>
      <c r="N88" s="166">
        <v>45383</v>
      </c>
      <c r="O88" s="86" t="s">
        <v>314</v>
      </c>
      <c r="P88" s="166" t="s">
        <v>315</v>
      </c>
    </row>
    <row r="89" spans="1:16" ht="50" x14ac:dyDescent="0.25">
      <c r="A89" s="164" t="str">
        <f ca="1">HYPERLINK(MID(CELL("filename",A1),FIND("[",CELL("filename",A1)),FIND("]",CELL("filename",A1)) - FIND("[",CELL("filename",A1)) + 1) &amp; "'x-711'!TABLE_CLIENT_1","x-711 1")</f>
        <v>x-711 1</v>
      </c>
      <c r="B89" s="86" t="s">
        <v>72</v>
      </c>
      <c r="C89" s="86" t="s">
        <v>74</v>
      </c>
      <c r="D89" s="86" t="s">
        <v>549</v>
      </c>
      <c r="E89" s="86" t="s">
        <v>576</v>
      </c>
      <c r="F89" s="86" t="s">
        <v>355</v>
      </c>
      <c r="G89" s="86" t="s">
        <v>555</v>
      </c>
      <c r="H89" s="86">
        <v>2</v>
      </c>
      <c r="I89" s="74">
        <v>711</v>
      </c>
      <c r="J89" t="s">
        <v>577</v>
      </c>
      <c r="K89" s="165" t="s">
        <v>578</v>
      </c>
      <c r="L89" s="165"/>
      <c r="M89" s="166">
        <v>45202</v>
      </c>
      <c r="N89" s="166">
        <v>45383</v>
      </c>
      <c r="O89" s="86" t="s">
        <v>314</v>
      </c>
      <c r="P89" s="166" t="s">
        <v>315</v>
      </c>
    </row>
    <row r="90" spans="1:16" ht="25" x14ac:dyDescent="0.25">
      <c r="A90" s="164" t="str">
        <f ca="1">HYPERLINK(MID(CELL("filename",A1),FIND("[",CELL("filename",A1)),FIND("]",CELL("filename",A1)) - FIND("[",CELL("filename",A1)) + 1) &amp; "'x-712'!TABLE_CLIENT_1","x-712 1")</f>
        <v>x-712 1</v>
      </c>
      <c r="B90" s="86" t="s">
        <v>72</v>
      </c>
      <c r="C90" s="86" t="s">
        <v>73</v>
      </c>
      <c r="D90" s="86" t="s">
        <v>549</v>
      </c>
      <c r="E90" s="86" t="s">
        <v>579</v>
      </c>
      <c r="F90" s="86" t="s">
        <v>355</v>
      </c>
      <c r="G90" s="86" t="s">
        <v>555</v>
      </c>
      <c r="H90" s="86">
        <v>0</v>
      </c>
      <c r="I90" s="74">
        <v>712</v>
      </c>
      <c r="J90" t="s">
        <v>580</v>
      </c>
      <c r="K90" s="165" t="s">
        <v>581</v>
      </c>
      <c r="L90" s="165"/>
      <c r="M90" s="166">
        <v>45202</v>
      </c>
      <c r="N90" s="166">
        <v>45383</v>
      </c>
      <c r="O90" s="86" t="s">
        <v>314</v>
      </c>
      <c r="P90" s="166" t="s">
        <v>315</v>
      </c>
    </row>
    <row r="91" spans="1:16" ht="25" x14ac:dyDescent="0.25">
      <c r="A91" s="164" t="str">
        <f ca="1">HYPERLINK(MID(CELL("filename",A1),FIND("[",CELL("filename",A1)),FIND("]",CELL("filename",A1)) - FIND("[",CELL("filename",A1)) + 1) &amp; "'x-713'!TABLE_CLIENT_1","x-713 1")</f>
        <v>x-713 1</v>
      </c>
      <c r="B91" s="86" t="s">
        <v>72</v>
      </c>
      <c r="C91" s="86" t="s">
        <v>73</v>
      </c>
      <c r="D91" s="86" t="s">
        <v>549</v>
      </c>
      <c r="E91" s="86" t="s">
        <v>582</v>
      </c>
      <c r="F91" s="86" t="s">
        <v>355</v>
      </c>
      <c r="G91" s="86" t="s">
        <v>555</v>
      </c>
      <c r="H91" s="86">
        <v>0</v>
      </c>
      <c r="I91" s="74">
        <v>713</v>
      </c>
      <c r="J91" t="s">
        <v>583</v>
      </c>
      <c r="K91" s="165" t="s">
        <v>584</v>
      </c>
      <c r="L91" s="165"/>
      <c r="M91" s="166">
        <v>45202</v>
      </c>
      <c r="N91" s="166">
        <v>45383</v>
      </c>
      <c r="O91" s="86" t="s">
        <v>314</v>
      </c>
      <c r="P91" s="166" t="s">
        <v>315</v>
      </c>
    </row>
    <row r="92" spans="1:16" ht="25" x14ac:dyDescent="0.25">
      <c r="A92" s="164" t="str">
        <f ca="1">HYPERLINK(MID(CELL("filename",A1),FIND("[",CELL("filename",A1)),FIND("]",CELL("filename",A1)) - FIND("[",CELL("filename",A1)) + 1) &amp; "'x-714'!TABLE_CLIENT_1","x-714 1")</f>
        <v>x-714 1</v>
      </c>
      <c r="B92" s="86" t="s">
        <v>72</v>
      </c>
      <c r="C92" s="86" t="s">
        <v>73</v>
      </c>
      <c r="D92" s="86" t="s">
        <v>549</v>
      </c>
      <c r="E92" s="86" t="s">
        <v>585</v>
      </c>
      <c r="F92" s="86" t="s">
        <v>355</v>
      </c>
      <c r="G92" s="86" t="s">
        <v>555</v>
      </c>
      <c r="H92" s="86">
        <v>0</v>
      </c>
      <c r="I92" s="74">
        <v>714</v>
      </c>
      <c r="J92" t="s">
        <v>586</v>
      </c>
      <c r="K92" s="165" t="s">
        <v>587</v>
      </c>
      <c r="L92" s="165"/>
      <c r="M92" s="166">
        <v>45202</v>
      </c>
      <c r="N92" s="166">
        <v>45383</v>
      </c>
      <c r="O92" s="86" t="s">
        <v>314</v>
      </c>
      <c r="P92" s="166" t="s">
        <v>315</v>
      </c>
    </row>
    <row r="93" spans="1:16" ht="25" x14ac:dyDescent="0.25">
      <c r="A93" s="164" t="str">
        <f ca="1">HYPERLINK(MID(CELL("filename",A1),FIND("[",CELL("filename",A1)),FIND("]",CELL("filename",A1)) - FIND("[",CELL("filename",A1)) + 1) &amp; "'x-715'!TABLE_CLIENT_1","x-715 1")</f>
        <v>x-715 1</v>
      </c>
      <c r="B93" s="86" t="s">
        <v>72</v>
      </c>
      <c r="C93" s="86" t="s">
        <v>73</v>
      </c>
      <c r="D93" s="86" t="s">
        <v>549</v>
      </c>
      <c r="E93" s="86" t="s">
        <v>588</v>
      </c>
      <c r="F93" s="86" t="s">
        <v>355</v>
      </c>
      <c r="G93" s="86" t="s">
        <v>555</v>
      </c>
      <c r="H93" s="86">
        <v>0</v>
      </c>
      <c r="I93" s="74">
        <v>715</v>
      </c>
      <c r="J93" t="s">
        <v>589</v>
      </c>
      <c r="K93" s="165" t="s">
        <v>590</v>
      </c>
      <c r="L93" s="165"/>
      <c r="M93" s="166">
        <v>45202</v>
      </c>
      <c r="N93" s="166">
        <v>45383</v>
      </c>
      <c r="O93" s="86" t="s">
        <v>314</v>
      </c>
      <c r="P93" s="166" t="s">
        <v>315</v>
      </c>
    </row>
    <row r="94" spans="1:16" ht="37.5" x14ac:dyDescent="0.25">
      <c r="A94" s="164" t="str">
        <f ca="1">HYPERLINK(MID(CELL("filename",A1),FIND("[",CELL("filename",A1)),FIND("]",CELL("filename",A1)) - FIND("[",CELL("filename",A1)) + 1) &amp; "'x-716'!TABLE_CLIENT_1","x-716 1")</f>
        <v>x-716 1</v>
      </c>
      <c r="B94" s="86" t="s">
        <v>72</v>
      </c>
      <c r="C94" s="86" t="s">
        <v>73</v>
      </c>
      <c r="D94" s="86" t="s">
        <v>549</v>
      </c>
      <c r="E94" s="86" t="s">
        <v>591</v>
      </c>
      <c r="F94" s="86" t="s">
        <v>355</v>
      </c>
      <c r="G94" s="86" t="s">
        <v>555</v>
      </c>
      <c r="H94" s="86">
        <v>0</v>
      </c>
      <c r="I94" s="74">
        <v>716</v>
      </c>
      <c r="J94" t="s">
        <v>592</v>
      </c>
      <c r="K94" s="165" t="s">
        <v>593</v>
      </c>
      <c r="L94" s="165"/>
      <c r="M94" s="166">
        <v>45202</v>
      </c>
      <c r="N94" s="166">
        <v>45383</v>
      </c>
      <c r="O94" s="86" t="s">
        <v>314</v>
      </c>
      <c r="P94" s="166" t="s">
        <v>315</v>
      </c>
    </row>
    <row r="95" spans="1:16" ht="37.5" x14ac:dyDescent="0.25">
      <c r="A95" s="164" t="str">
        <f ca="1">HYPERLINK(MID(CELL("filename",A1),FIND("[",CELL("filename",A1)),FIND("]",CELL("filename",A1)) - FIND("[",CELL("filename",A1)) + 1) &amp; "'x-717'!TABLE_CLIENT_1","x-717 1")</f>
        <v>x-717 1</v>
      </c>
      <c r="B95" s="86" t="s">
        <v>72</v>
      </c>
      <c r="C95" s="86" t="s">
        <v>73</v>
      </c>
      <c r="D95" s="86" t="s">
        <v>549</v>
      </c>
      <c r="E95" s="86" t="s">
        <v>594</v>
      </c>
      <c r="F95" s="86" t="s">
        <v>355</v>
      </c>
      <c r="G95" s="86" t="s">
        <v>555</v>
      </c>
      <c r="H95" s="86">
        <v>0</v>
      </c>
      <c r="I95" s="74">
        <v>717</v>
      </c>
      <c r="J95" t="s">
        <v>595</v>
      </c>
      <c r="K95" s="165" t="s">
        <v>596</v>
      </c>
      <c r="L95" s="165"/>
      <c r="M95" s="166">
        <v>45202</v>
      </c>
      <c r="N95" s="166">
        <v>45383</v>
      </c>
      <c r="O95" s="86" t="s">
        <v>314</v>
      </c>
      <c r="P95" s="166" t="s">
        <v>315</v>
      </c>
    </row>
    <row r="96" spans="1:16" ht="37.5" x14ac:dyDescent="0.25">
      <c r="A96" s="164" t="str">
        <f ca="1">HYPERLINK(MID(CELL("filename",A1),FIND("[",CELL("filename",A1)),FIND("]",CELL("filename",A1)) - FIND("[",CELL("filename",A1)) + 1) &amp; "'x-718'!TABLE_CLIENT_1","x-718 1")</f>
        <v>x-718 1</v>
      </c>
      <c r="B96" s="86" t="s">
        <v>72</v>
      </c>
      <c r="C96" s="86" t="s">
        <v>73</v>
      </c>
      <c r="D96" s="86" t="s">
        <v>549</v>
      </c>
      <c r="E96" s="86" t="s">
        <v>597</v>
      </c>
      <c r="F96" s="86" t="s">
        <v>355</v>
      </c>
      <c r="G96" s="86" t="s">
        <v>555</v>
      </c>
      <c r="H96" s="86">
        <v>0</v>
      </c>
      <c r="I96" s="74">
        <v>718</v>
      </c>
      <c r="J96" t="s">
        <v>598</v>
      </c>
      <c r="K96" s="165" t="s">
        <v>599</v>
      </c>
      <c r="L96" s="165"/>
      <c r="M96" s="166">
        <v>45202</v>
      </c>
      <c r="N96" s="166">
        <v>45383</v>
      </c>
      <c r="O96" s="86" t="s">
        <v>314</v>
      </c>
      <c r="P96" s="166" t="s">
        <v>315</v>
      </c>
    </row>
    <row r="97" spans="1:16" ht="37.5" x14ac:dyDescent="0.25">
      <c r="A97" s="164" t="str">
        <f ca="1">HYPERLINK(MID(CELL("filename",A1),FIND("[",CELL("filename",A1)),FIND("]",CELL("filename",A1)) - FIND("[",CELL("filename",A1)) + 1) &amp; "'x-719'!TABLE_CLIENT_1","x-719 1")</f>
        <v>x-719 1</v>
      </c>
      <c r="B97" s="86" t="s">
        <v>72</v>
      </c>
      <c r="C97" s="86" t="s">
        <v>73</v>
      </c>
      <c r="D97" s="86" t="s">
        <v>549</v>
      </c>
      <c r="E97" s="86" t="s">
        <v>600</v>
      </c>
      <c r="F97" s="86" t="s">
        <v>355</v>
      </c>
      <c r="G97" s="86" t="s">
        <v>555</v>
      </c>
      <c r="H97" s="86">
        <v>0</v>
      </c>
      <c r="I97" s="74">
        <v>719</v>
      </c>
      <c r="J97" t="s">
        <v>601</v>
      </c>
      <c r="K97" s="165" t="s">
        <v>602</v>
      </c>
      <c r="L97" s="165"/>
      <c r="M97" s="166">
        <v>45202</v>
      </c>
      <c r="N97" s="166">
        <v>45383</v>
      </c>
      <c r="O97" s="86" t="s">
        <v>314</v>
      </c>
      <c r="P97" s="166" t="s">
        <v>315</v>
      </c>
    </row>
    <row r="98" spans="1:16" ht="25" x14ac:dyDescent="0.25">
      <c r="A98" s="164" t="str">
        <f ca="1">HYPERLINK(MID(CELL("filename",A1),FIND("[",CELL("filename",A1)),FIND("]",CELL("filename",A1)) - FIND("[",CELL("filename",A1)) + 1) &amp; "'x-720'!TABLE_CLIENT_1","x-720 1")</f>
        <v>x-720 1</v>
      </c>
      <c r="B98" s="86" t="s">
        <v>72</v>
      </c>
      <c r="C98" s="86" t="s">
        <v>73</v>
      </c>
      <c r="D98" s="86" t="s">
        <v>603</v>
      </c>
      <c r="E98" s="86" t="s">
        <v>604</v>
      </c>
      <c r="F98" s="86" t="s">
        <v>355</v>
      </c>
      <c r="G98" s="86" t="s">
        <v>605</v>
      </c>
      <c r="H98" s="86">
        <v>0</v>
      </c>
      <c r="I98" s="74">
        <v>720</v>
      </c>
      <c r="J98" t="s">
        <v>606</v>
      </c>
      <c r="K98" s="165" t="s">
        <v>607</v>
      </c>
      <c r="L98" s="165"/>
      <c r="M98" s="166">
        <v>45202</v>
      </c>
      <c r="N98" s="166">
        <v>45383</v>
      </c>
      <c r="O98" s="86" t="s">
        <v>314</v>
      </c>
      <c r="P98" s="166" t="s">
        <v>315</v>
      </c>
    </row>
    <row r="99" spans="1:16" ht="37.5" x14ac:dyDescent="0.25">
      <c r="A99" s="164" t="str">
        <f ca="1">HYPERLINK(MID(CELL("filename",A1),FIND("[",CELL("filename",A1)),FIND("]",CELL("filename",A1)) - FIND("[",CELL("filename",A1)) + 1) &amp; "'x-801'!TABLE_CLIENT_1","x-801 1")</f>
        <v>x-801 1</v>
      </c>
      <c r="B99" s="86" t="s">
        <v>72</v>
      </c>
      <c r="C99" s="86" t="s">
        <v>74</v>
      </c>
      <c r="D99" s="86" t="s">
        <v>405</v>
      </c>
      <c r="E99" s="86" t="s">
        <v>608</v>
      </c>
      <c r="F99" s="86" t="s">
        <v>355</v>
      </c>
      <c r="G99" s="86" t="s">
        <v>609</v>
      </c>
      <c r="H99" s="86">
        <v>1</v>
      </c>
      <c r="I99" s="74">
        <v>801</v>
      </c>
      <c r="J99" t="s">
        <v>610</v>
      </c>
      <c r="K99" s="165" t="s">
        <v>611</v>
      </c>
      <c r="L99" s="165"/>
      <c r="M99" s="166">
        <v>45138</v>
      </c>
      <c r="N99" s="166">
        <v>45138</v>
      </c>
      <c r="O99" s="86" t="s">
        <v>314</v>
      </c>
      <c r="P99" s="166" t="s">
        <v>315</v>
      </c>
    </row>
    <row r="100" spans="1:16" ht="37.5" x14ac:dyDescent="0.25">
      <c r="A100" s="164" t="str">
        <f ca="1">HYPERLINK(MID(CELL("filename",A1),FIND("[",CELL("filename",A1)),FIND("]",CELL("filename",A1)) - FIND("[",CELL("filename",A1)) + 1) &amp; "'x-802'!TABLE_CLIENT_1","x-802 1")</f>
        <v>x-802 1</v>
      </c>
      <c r="B100" s="86" t="s">
        <v>72</v>
      </c>
      <c r="C100" s="86" t="s">
        <v>74</v>
      </c>
      <c r="D100" s="86" t="s">
        <v>405</v>
      </c>
      <c r="E100" s="86" t="s">
        <v>612</v>
      </c>
      <c r="F100" s="86" t="s">
        <v>355</v>
      </c>
      <c r="G100" s="86" t="s">
        <v>609</v>
      </c>
      <c r="H100" s="86">
        <v>1</v>
      </c>
      <c r="I100" s="74">
        <v>802</v>
      </c>
      <c r="J100" t="s">
        <v>613</v>
      </c>
      <c r="K100" s="165" t="s">
        <v>614</v>
      </c>
      <c r="L100" s="165"/>
      <c r="M100" s="166">
        <v>45138</v>
      </c>
      <c r="N100" s="166">
        <v>45138</v>
      </c>
      <c r="O100" s="86" t="s">
        <v>314</v>
      </c>
      <c r="P100" s="166" t="s">
        <v>315</v>
      </c>
    </row>
    <row r="101" spans="1:16" ht="25" x14ac:dyDescent="0.25">
      <c r="A101" s="164" t="str">
        <f ca="1">HYPERLINK(MID(CELL("filename",A1),FIND("[",CELL("filename",A1)),FIND("]",CELL("filename",A1)) - FIND("[",CELL("filename",A1)) + 1) &amp; "'x-803'!TABLE_CLIENT_1","x-803 1")</f>
        <v>x-803 1</v>
      </c>
      <c r="B101" s="86" t="s">
        <v>72</v>
      </c>
      <c r="C101" s="86" t="s">
        <v>74</v>
      </c>
      <c r="D101" s="86" t="s">
        <v>405</v>
      </c>
      <c r="E101" s="86" t="s">
        <v>615</v>
      </c>
      <c r="F101" s="86" t="s">
        <v>355</v>
      </c>
      <c r="G101" s="86" t="s">
        <v>616</v>
      </c>
      <c r="H101" s="86">
        <v>1</v>
      </c>
      <c r="I101" s="74">
        <v>803</v>
      </c>
      <c r="J101" t="s">
        <v>617</v>
      </c>
      <c r="K101" s="165" t="s">
        <v>618</v>
      </c>
      <c r="L101" s="165"/>
      <c r="M101" s="166">
        <v>45138</v>
      </c>
      <c r="N101" s="166">
        <v>45138</v>
      </c>
      <c r="O101" s="86" t="s">
        <v>314</v>
      </c>
      <c r="P101" s="166" t="s">
        <v>315</v>
      </c>
    </row>
    <row r="102" spans="1:16" ht="37.5" x14ac:dyDescent="0.25">
      <c r="A102" s="164" t="str">
        <f ca="1">HYPERLINK(MID(CELL("filename",A1),FIND("[",CELL("filename",A1)),FIND("]",CELL("filename",A1)) - FIND("[",CELL("filename",A1)) + 1) &amp; "'x-804'!TABLE_CLIENT_1","x-804 1")</f>
        <v>x-804 1</v>
      </c>
      <c r="B102" s="86" t="s">
        <v>72</v>
      </c>
      <c r="C102" s="86" t="s">
        <v>74</v>
      </c>
      <c r="D102" s="86" t="s">
        <v>405</v>
      </c>
      <c r="E102" s="86" t="s">
        <v>619</v>
      </c>
      <c r="F102" s="86" t="s">
        <v>355</v>
      </c>
      <c r="G102" s="86" t="s">
        <v>609</v>
      </c>
      <c r="H102" s="86">
        <v>1</v>
      </c>
      <c r="I102" s="74">
        <v>804</v>
      </c>
      <c r="J102" t="s">
        <v>620</v>
      </c>
      <c r="K102" s="165" t="s">
        <v>621</v>
      </c>
      <c r="L102" s="165"/>
      <c r="M102" s="166">
        <v>45138</v>
      </c>
      <c r="N102" s="166">
        <v>45138</v>
      </c>
      <c r="O102" s="86" t="s">
        <v>314</v>
      </c>
      <c r="P102" s="166" t="s">
        <v>315</v>
      </c>
    </row>
    <row r="103" spans="1:16" ht="37.5" x14ac:dyDescent="0.25">
      <c r="A103" s="164" t="str">
        <f ca="1">HYPERLINK(MID(CELL("filename",A1),FIND("[",CELL("filename",A1)),FIND("]",CELL("filename",A1)) - FIND("[",CELL("filename",A1)) + 1) &amp; "'x-805'!TABLE_CLIENT_1","x-805 1")</f>
        <v>x-805 1</v>
      </c>
      <c r="B103" s="86" t="s">
        <v>72</v>
      </c>
      <c r="C103" s="86" t="s">
        <v>74</v>
      </c>
      <c r="D103" s="86" t="s">
        <v>405</v>
      </c>
      <c r="E103" s="86" t="s">
        <v>622</v>
      </c>
      <c r="F103" s="86" t="s">
        <v>355</v>
      </c>
      <c r="G103" s="86" t="s">
        <v>609</v>
      </c>
      <c r="H103" s="86">
        <v>1</v>
      </c>
      <c r="I103" s="74">
        <v>805</v>
      </c>
      <c r="J103" t="s">
        <v>623</v>
      </c>
      <c r="K103" s="165" t="s">
        <v>624</v>
      </c>
      <c r="L103" s="165"/>
      <c r="M103" s="166">
        <v>45138</v>
      </c>
      <c r="N103" s="166">
        <v>45138</v>
      </c>
      <c r="O103" s="86" t="s">
        <v>314</v>
      </c>
      <c r="P103" s="166" t="s">
        <v>315</v>
      </c>
    </row>
    <row r="104" spans="1:16" ht="25" x14ac:dyDescent="0.25">
      <c r="A104" s="164" t="str">
        <f ca="1">HYPERLINK(MID(CELL("filename",A1),FIND("[",CELL("filename",A1)),FIND("]",CELL("filename",A1)) - FIND("[",CELL("filename",A1)) + 1) &amp; "'x-806'!TABLE_CLIENT_1","x-806 1")</f>
        <v>x-806 1</v>
      </c>
      <c r="B104" s="86" t="s">
        <v>72</v>
      </c>
      <c r="C104" s="86" t="s">
        <v>74</v>
      </c>
      <c r="D104" s="86" t="s">
        <v>405</v>
      </c>
      <c r="E104" s="86" t="s">
        <v>625</v>
      </c>
      <c r="F104" s="86" t="s">
        <v>355</v>
      </c>
      <c r="G104" s="86" t="s">
        <v>609</v>
      </c>
      <c r="H104" s="86">
        <v>1</v>
      </c>
      <c r="I104" s="74">
        <v>806</v>
      </c>
      <c r="J104" t="s">
        <v>626</v>
      </c>
      <c r="K104" s="165" t="s">
        <v>627</v>
      </c>
      <c r="L104" s="165"/>
      <c r="M104" s="166">
        <v>45138</v>
      </c>
      <c r="N104" s="166">
        <v>45138</v>
      </c>
      <c r="O104" s="86" t="s">
        <v>314</v>
      </c>
      <c r="P104" s="166" t="s">
        <v>315</v>
      </c>
    </row>
    <row r="105" spans="1:16" ht="37.5" x14ac:dyDescent="0.25">
      <c r="A105" s="164" t="str">
        <f ca="1">HYPERLINK(MID(CELL("filename",A1),FIND("[",CELL("filename",A1)),FIND("]",CELL("filename",A1)) - FIND("[",CELL("filename",A1)) + 1) &amp; "'x-807'!TABLE_CLIENT_1","x-807 1")</f>
        <v>x-807 1</v>
      </c>
      <c r="B105" s="86" t="s">
        <v>72</v>
      </c>
      <c r="C105" s="86" t="s">
        <v>74</v>
      </c>
      <c r="D105" s="86" t="s">
        <v>405</v>
      </c>
      <c r="E105" s="86" t="s">
        <v>628</v>
      </c>
      <c r="F105" s="86" t="s">
        <v>355</v>
      </c>
      <c r="G105" s="86" t="s">
        <v>609</v>
      </c>
      <c r="H105" s="86">
        <v>2</v>
      </c>
      <c r="I105" s="74">
        <v>807</v>
      </c>
      <c r="J105" t="s">
        <v>629</v>
      </c>
      <c r="K105" s="165" t="s">
        <v>630</v>
      </c>
      <c r="L105" s="165"/>
      <c r="M105" s="166">
        <v>45138</v>
      </c>
      <c r="N105" s="166">
        <v>45138</v>
      </c>
      <c r="O105" s="86" t="s">
        <v>314</v>
      </c>
      <c r="P105" s="166" t="s">
        <v>315</v>
      </c>
    </row>
    <row r="106" spans="1:16" ht="37.5" x14ac:dyDescent="0.25">
      <c r="A106" s="164" t="str">
        <f ca="1">HYPERLINK(MID(CELL("filename",A1),FIND("[",CELL("filename",A1)),FIND("]",CELL("filename",A1)) - FIND("[",CELL("filename",A1)) + 1) &amp; "'x-808'!TABLE_CLIENT_1","x-808 1")</f>
        <v>x-808 1</v>
      </c>
      <c r="B106" s="86" t="s">
        <v>72</v>
      </c>
      <c r="C106" s="86" t="s">
        <v>74</v>
      </c>
      <c r="D106" s="86" t="s">
        <v>405</v>
      </c>
      <c r="E106" s="86" t="s">
        <v>631</v>
      </c>
      <c r="F106" s="86" t="s">
        <v>355</v>
      </c>
      <c r="G106" s="86" t="s">
        <v>609</v>
      </c>
      <c r="H106" s="86">
        <v>2</v>
      </c>
      <c r="I106" s="74">
        <v>808</v>
      </c>
      <c r="J106" t="s">
        <v>632</v>
      </c>
      <c r="K106" s="165" t="s">
        <v>633</v>
      </c>
      <c r="L106" s="165"/>
      <c r="M106" s="166">
        <v>45138</v>
      </c>
      <c r="N106" s="166">
        <v>45138</v>
      </c>
      <c r="O106" s="86" t="s">
        <v>314</v>
      </c>
      <c r="P106" s="166" t="s">
        <v>315</v>
      </c>
    </row>
    <row r="107" spans="1:16" ht="25" x14ac:dyDescent="0.25">
      <c r="A107" s="164" t="str">
        <f ca="1">HYPERLINK(MID(CELL("filename",A1),FIND("[",CELL("filename",A1)),FIND("]",CELL("filename",A1)) - FIND("[",CELL("filename",A1)) + 1) &amp; "'x-809'!TABLE_CLIENT_1","x-809 1")</f>
        <v>x-809 1</v>
      </c>
      <c r="B107" s="86" t="s">
        <v>72</v>
      </c>
      <c r="C107" s="86" t="s">
        <v>74</v>
      </c>
      <c r="D107" s="86" t="s">
        <v>405</v>
      </c>
      <c r="E107" s="86" t="s">
        <v>634</v>
      </c>
      <c r="F107" s="86" t="s">
        <v>355</v>
      </c>
      <c r="G107" s="86" t="s">
        <v>609</v>
      </c>
      <c r="H107" s="86">
        <v>1</v>
      </c>
      <c r="I107" s="74">
        <v>809</v>
      </c>
      <c r="J107" t="s">
        <v>635</v>
      </c>
      <c r="K107" s="165" t="s">
        <v>636</v>
      </c>
      <c r="L107" s="165"/>
      <c r="M107" s="166">
        <v>45138</v>
      </c>
      <c r="N107" s="166">
        <v>45138</v>
      </c>
      <c r="O107" s="86" t="s">
        <v>314</v>
      </c>
      <c r="P107" s="166" t="s">
        <v>315</v>
      </c>
    </row>
    <row r="108" spans="1:16" ht="37.5" x14ac:dyDescent="0.25">
      <c r="A108" s="164" t="str">
        <f ca="1">HYPERLINK(MID(CELL("filename",A1),FIND("[",CELL("filename",A1)),FIND("]",CELL("filename",A1)) - FIND("[",CELL("filename",A1)) + 1) &amp; "'x-810'!TABLE_CLIENT_1","x-810 1")</f>
        <v>x-810 1</v>
      </c>
      <c r="B108" s="86" t="s">
        <v>72</v>
      </c>
      <c r="C108" s="86" t="s">
        <v>74</v>
      </c>
      <c r="D108" s="86" t="s">
        <v>405</v>
      </c>
      <c r="E108" s="86" t="s">
        <v>637</v>
      </c>
      <c r="F108" s="86" t="s">
        <v>355</v>
      </c>
      <c r="G108" s="86" t="s">
        <v>609</v>
      </c>
      <c r="H108" s="86">
        <v>1</v>
      </c>
      <c r="I108" s="74">
        <v>810</v>
      </c>
      <c r="J108" t="s">
        <v>638</v>
      </c>
      <c r="K108" s="165" t="s">
        <v>639</v>
      </c>
      <c r="L108" s="165"/>
      <c r="M108" s="166">
        <v>45138</v>
      </c>
      <c r="N108" s="166">
        <v>45138</v>
      </c>
      <c r="O108" s="86" t="s">
        <v>314</v>
      </c>
      <c r="P108" s="166" t="s">
        <v>315</v>
      </c>
    </row>
    <row r="109" spans="1:16" ht="37.5" x14ac:dyDescent="0.25">
      <c r="A109" s="164" t="str">
        <f ca="1">HYPERLINK(MID(CELL("filename",A1),FIND("[",CELL("filename",A1)),FIND("]",CELL("filename",A1)) - FIND("[",CELL("filename",A1)) + 1) &amp; "'x-810'!TABLE_CLIENT_2","x-810 2")</f>
        <v>x-810 2</v>
      </c>
      <c r="B109" s="86" t="s">
        <v>72</v>
      </c>
      <c r="C109" s="86" t="s">
        <v>74</v>
      </c>
      <c r="D109" s="86" t="s">
        <v>405</v>
      </c>
      <c r="E109" s="86" t="s">
        <v>640</v>
      </c>
      <c r="F109" s="86" t="s">
        <v>355</v>
      </c>
      <c r="G109" s="86" t="s">
        <v>609</v>
      </c>
      <c r="H109" s="86">
        <v>1</v>
      </c>
      <c r="I109" s="74">
        <v>810</v>
      </c>
      <c r="J109" t="s">
        <v>641</v>
      </c>
      <c r="K109" s="165" t="s">
        <v>639</v>
      </c>
      <c r="L109" s="165"/>
      <c r="M109" s="166">
        <v>45138</v>
      </c>
      <c r="N109" s="166">
        <v>45138</v>
      </c>
      <c r="O109" s="86" t="s">
        <v>314</v>
      </c>
      <c r="P109" s="166">
        <v>0</v>
      </c>
    </row>
    <row r="110" spans="1:16" ht="37.5" x14ac:dyDescent="0.25">
      <c r="A110" s="164" t="str">
        <f ca="1">HYPERLINK(MID(CELL("filename",A1),FIND("[",CELL("filename",A1)),FIND("]",CELL("filename",A1)) - FIND("[",CELL("filename",A1)) + 1) &amp; "'x-811'!TABLE_CLIENT_1","x-811 1")</f>
        <v>x-811 1</v>
      </c>
      <c r="B110" s="86" t="s">
        <v>72</v>
      </c>
      <c r="C110" s="86" t="s">
        <v>74</v>
      </c>
      <c r="D110" s="86" t="s">
        <v>405</v>
      </c>
      <c r="E110" s="86" t="s">
        <v>642</v>
      </c>
      <c r="F110" s="86" t="s">
        <v>355</v>
      </c>
      <c r="G110" s="86" t="s">
        <v>609</v>
      </c>
      <c r="H110" s="86">
        <v>1</v>
      </c>
      <c r="I110" s="74">
        <v>811</v>
      </c>
      <c r="J110" t="s">
        <v>643</v>
      </c>
      <c r="K110" s="165" t="s">
        <v>644</v>
      </c>
      <c r="L110" s="165"/>
      <c r="M110" s="166">
        <v>45138</v>
      </c>
      <c r="N110" s="166">
        <v>45138</v>
      </c>
      <c r="O110" s="86" t="s">
        <v>314</v>
      </c>
      <c r="P110" s="166" t="s">
        <v>315</v>
      </c>
    </row>
    <row r="111" spans="1:16" ht="37.5" x14ac:dyDescent="0.25">
      <c r="A111" s="164" t="str">
        <f ca="1">HYPERLINK(MID(CELL("filename",A1),FIND("[",CELL("filename",A1)),FIND("]",CELL("filename",A1)) - FIND("[",CELL("filename",A1)) + 1) &amp; "'x-812'!TABLE_CLIENT_1","x-812 1")</f>
        <v>x-812 1</v>
      </c>
      <c r="B111" s="86" t="s">
        <v>72</v>
      </c>
      <c r="C111" s="86" t="s">
        <v>74</v>
      </c>
      <c r="D111" s="86" t="s">
        <v>405</v>
      </c>
      <c r="E111" s="86" t="s">
        <v>645</v>
      </c>
      <c r="F111" s="86" t="s">
        <v>355</v>
      </c>
      <c r="G111" s="86" t="s">
        <v>609</v>
      </c>
      <c r="H111" s="86">
        <v>1</v>
      </c>
      <c r="I111" s="74">
        <v>812</v>
      </c>
      <c r="J111" t="s">
        <v>646</v>
      </c>
      <c r="K111" s="165" t="s">
        <v>647</v>
      </c>
      <c r="L111" s="165"/>
      <c r="M111" s="166">
        <v>45138</v>
      </c>
      <c r="N111" s="166">
        <v>45138</v>
      </c>
      <c r="O111" s="86" t="s">
        <v>314</v>
      </c>
      <c r="P111" s="166" t="s">
        <v>315</v>
      </c>
    </row>
    <row r="112" spans="1:16" ht="25" x14ac:dyDescent="0.25">
      <c r="A112" s="164" t="str">
        <f ca="1">HYPERLINK(MID(CELL("filename",A1),FIND("[",CELL("filename",A1)),FIND("]",CELL("filename",A1)) - FIND("[",CELL("filename",A1)) + 1) &amp; "'x-813'!TABLE_CLIENT_1","x-813 1")</f>
        <v>x-813 1</v>
      </c>
      <c r="B112" s="86" t="s">
        <v>72</v>
      </c>
      <c r="C112" s="86" t="s">
        <v>73</v>
      </c>
      <c r="D112" s="86" t="s">
        <v>405</v>
      </c>
      <c r="E112" s="86" t="s">
        <v>648</v>
      </c>
      <c r="F112" s="86" t="s">
        <v>355</v>
      </c>
      <c r="G112" s="86" t="s">
        <v>609</v>
      </c>
      <c r="H112" s="86">
        <v>0</v>
      </c>
      <c r="I112" s="74">
        <v>813</v>
      </c>
      <c r="J112" t="s">
        <v>649</v>
      </c>
      <c r="K112" s="165" t="s">
        <v>611</v>
      </c>
      <c r="L112" s="165"/>
      <c r="M112" s="166">
        <v>45138</v>
      </c>
      <c r="N112" s="166">
        <v>45138</v>
      </c>
      <c r="O112" s="86" t="s">
        <v>314</v>
      </c>
      <c r="P112" s="166" t="s">
        <v>315</v>
      </c>
    </row>
    <row r="113" spans="1:16" ht="25" x14ac:dyDescent="0.25">
      <c r="A113" s="164" t="str">
        <f ca="1">HYPERLINK(MID(CELL("filename",A1),FIND("[",CELL("filename",A1)),FIND("]",CELL("filename",A1)) - FIND("[",CELL("filename",A1)) + 1) &amp; "'x-814'!TABLE_CLIENT_1","x-814 1")</f>
        <v>x-814 1</v>
      </c>
      <c r="B113" s="86" t="s">
        <v>72</v>
      </c>
      <c r="C113" s="86" t="s">
        <v>74</v>
      </c>
      <c r="D113" s="86" t="s">
        <v>650</v>
      </c>
      <c r="E113" s="86" t="s">
        <v>651</v>
      </c>
      <c r="F113" s="86" t="s">
        <v>355</v>
      </c>
      <c r="G113" s="86" t="s">
        <v>371</v>
      </c>
      <c r="H113" s="86">
        <v>1</v>
      </c>
      <c r="I113" s="74">
        <v>814</v>
      </c>
      <c r="J113" t="s">
        <v>652</v>
      </c>
      <c r="K113" s="165" t="s">
        <v>653</v>
      </c>
      <c r="L113" s="165"/>
      <c r="M113" s="166">
        <v>45138</v>
      </c>
      <c r="N113" s="166">
        <v>45138</v>
      </c>
      <c r="O113" s="86" t="s">
        <v>314</v>
      </c>
      <c r="P113" s="166" t="s">
        <v>315</v>
      </c>
    </row>
    <row r="114" spans="1:16" ht="25" x14ac:dyDescent="0.25">
      <c r="A114" s="164" t="str">
        <f ca="1">HYPERLINK(MID(CELL("filename",A1),FIND("[",CELL("filename",A1)),FIND("]",CELL("filename",A1)) - FIND("[",CELL("filename",A1)) + 1) &amp; "'x-815'!TABLE_CLIENT_1","x-815 1")</f>
        <v>x-815 1</v>
      </c>
      <c r="B114" s="86" t="s">
        <v>72</v>
      </c>
      <c r="C114" s="86" t="s">
        <v>74</v>
      </c>
      <c r="D114" s="86" t="s">
        <v>650</v>
      </c>
      <c r="E114" s="86" t="s">
        <v>654</v>
      </c>
      <c r="F114" s="86" t="s">
        <v>355</v>
      </c>
      <c r="G114" s="86" t="s">
        <v>371</v>
      </c>
      <c r="H114" s="86">
        <v>1</v>
      </c>
      <c r="I114" s="74">
        <v>815</v>
      </c>
      <c r="J114" t="s">
        <v>655</v>
      </c>
      <c r="K114" s="165" t="s">
        <v>656</v>
      </c>
      <c r="L114" s="165"/>
      <c r="M114" s="166">
        <v>45138</v>
      </c>
      <c r="N114" s="166">
        <v>45138</v>
      </c>
      <c r="O114" s="86" t="s">
        <v>314</v>
      </c>
      <c r="P114" s="166" t="s">
        <v>315</v>
      </c>
    </row>
    <row r="115" spans="1:16" ht="25" x14ac:dyDescent="0.25">
      <c r="A115" s="164" t="str">
        <f ca="1">HYPERLINK(MID(CELL("filename",A1),FIND("[",CELL("filename",A1)),FIND("]",CELL("filename",A1)) - FIND("[",CELL("filename",A1)) + 1) &amp; "'x-817'!TABLE_CLIENT_1","x-817 1")</f>
        <v>x-817 1</v>
      </c>
      <c r="B115" s="86" t="s">
        <v>72</v>
      </c>
      <c r="C115" s="86" t="s">
        <v>74</v>
      </c>
      <c r="D115" s="86" t="s">
        <v>657</v>
      </c>
      <c r="E115" s="86" t="s">
        <v>658</v>
      </c>
      <c r="F115" s="86" t="s">
        <v>355</v>
      </c>
      <c r="G115" s="86" t="s">
        <v>659</v>
      </c>
      <c r="H115" s="86">
        <v>1</v>
      </c>
      <c r="I115" s="74">
        <v>817</v>
      </c>
      <c r="J115" t="s">
        <v>660</v>
      </c>
      <c r="K115" s="165" t="s">
        <v>661</v>
      </c>
      <c r="L115" s="165"/>
      <c r="M115" s="166">
        <v>45138</v>
      </c>
      <c r="N115" s="166">
        <v>45138</v>
      </c>
      <c r="O115" s="86" t="s">
        <v>314</v>
      </c>
      <c r="P115" s="166" t="s">
        <v>315</v>
      </c>
    </row>
    <row r="116" spans="1:16" ht="25" x14ac:dyDescent="0.25">
      <c r="A116" s="164" t="str">
        <f ca="1">HYPERLINK(MID(CELL("filename",A1),FIND("[",CELL("filename",A1)),FIND("]",CELL("filename",A1)) - FIND("[",CELL("filename",A1)) + 1) &amp; "'x-818'!TABLE_CLIENT_1","x-818 1")</f>
        <v>x-818 1</v>
      </c>
      <c r="B116" s="86" t="s">
        <v>72</v>
      </c>
      <c r="C116" s="86" t="s">
        <v>74</v>
      </c>
      <c r="D116" s="86" t="s">
        <v>657</v>
      </c>
      <c r="E116" s="86" t="s">
        <v>662</v>
      </c>
      <c r="F116" s="86" t="s">
        <v>355</v>
      </c>
      <c r="G116" s="86" t="s">
        <v>659</v>
      </c>
      <c r="H116" s="86">
        <v>2</v>
      </c>
      <c r="I116" s="74">
        <v>818</v>
      </c>
      <c r="J116" t="s">
        <v>663</v>
      </c>
      <c r="K116" s="165" t="s">
        <v>664</v>
      </c>
      <c r="L116" s="165"/>
      <c r="M116" s="166">
        <v>45138</v>
      </c>
      <c r="N116" s="166">
        <v>45138</v>
      </c>
      <c r="O116" s="86" t="s">
        <v>314</v>
      </c>
      <c r="P116" s="166" t="s">
        <v>315</v>
      </c>
    </row>
    <row r="117" spans="1:16" ht="37.5" x14ac:dyDescent="0.25">
      <c r="A117" s="164" t="str">
        <f ca="1">HYPERLINK(MID(CELL("filename",A1),FIND("[",CELL("filename",A1)),FIND("]",CELL("filename",A1)) - FIND("[",CELL("filename",A1)) + 1) &amp; "'x-819'!TABLE_CLIENT_1","x-819 1")</f>
        <v>x-819 1</v>
      </c>
      <c r="B117" s="86" t="s">
        <v>72</v>
      </c>
      <c r="C117" s="86" t="s">
        <v>74</v>
      </c>
      <c r="D117" s="86" t="s">
        <v>657</v>
      </c>
      <c r="E117" s="86" t="s">
        <v>665</v>
      </c>
      <c r="F117" s="86" t="s">
        <v>355</v>
      </c>
      <c r="G117" s="86" t="s">
        <v>659</v>
      </c>
      <c r="H117" s="86">
        <v>1</v>
      </c>
      <c r="I117" s="74">
        <v>819</v>
      </c>
      <c r="J117" t="s">
        <v>666</v>
      </c>
      <c r="K117" s="165" t="s">
        <v>667</v>
      </c>
      <c r="L117" s="165"/>
      <c r="M117" s="166">
        <v>45138</v>
      </c>
      <c r="N117" s="166">
        <v>45138</v>
      </c>
      <c r="O117" s="86" t="s">
        <v>314</v>
      </c>
      <c r="P117" s="166" t="s">
        <v>315</v>
      </c>
    </row>
    <row r="118" spans="1:16" ht="37.5" x14ac:dyDescent="0.25">
      <c r="A118" s="164" t="str">
        <f ca="1">HYPERLINK(MID(CELL("filename",A1),FIND("[",CELL("filename",A1)),FIND("]",CELL("filename",A1)) - FIND("[",CELL("filename",A1)) + 1) &amp; "'x-820'!TABLE_CLIENT_1","x-820 1")</f>
        <v>x-820 1</v>
      </c>
      <c r="B118" s="86" t="s">
        <v>72</v>
      </c>
      <c r="C118" s="86" t="s">
        <v>74</v>
      </c>
      <c r="D118" s="86" t="s">
        <v>657</v>
      </c>
      <c r="E118" s="86" t="s">
        <v>668</v>
      </c>
      <c r="F118" s="86" t="s">
        <v>355</v>
      </c>
      <c r="G118" s="86" t="s">
        <v>659</v>
      </c>
      <c r="H118" s="86">
        <v>1</v>
      </c>
      <c r="I118" s="74">
        <v>820</v>
      </c>
      <c r="J118" t="s">
        <v>669</v>
      </c>
      <c r="K118" s="165" t="s">
        <v>670</v>
      </c>
      <c r="L118" s="165"/>
      <c r="M118" s="166">
        <v>45138</v>
      </c>
      <c r="N118" s="166">
        <v>45138</v>
      </c>
      <c r="O118" s="86" t="s">
        <v>314</v>
      </c>
      <c r="P118" s="166" t="s">
        <v>315</v>
      </c>
    </row>
    <row r="119" spans="1:16" ht="25" x14ac:dyDescent="0.25">
      <c r="A119" s="164" t="str">
        <f ca="1">HYPERLINK(MID(CELL("filename",A1),FIND("[",CELL("filename",A1)),FIND("]",CELL("filename",A1)) - FIND("[",CELL("filename",A1)) + 1) &amp; "'x-821'!TABLE_CLIENT_1","x-821 1")</f>
        <v>x-821 1</v>
      </c>
      <c r="B119" s="86" t="s">
        <v>72</v>
      </c>
      <c r="C119" s="86" t="s">
        <v>74</v>
      </c>
      <c r="D119" s="86" t="s">
        <v>657</v>
      </c>
      <c r="E119" s="86" t="s">
        <v>671</v>
      </c>
      <c r="F119" s="86" t="s">
        <v>355</v>
      </c>
      <c r="G119" s="86" t="s">
        <v>659</v>
      </c>
      <c r="H119" s="86">
        <v>1</v>
      </c>
      <c r="I119" s="74">
        <v>821</v>
      </c>
      <c r="J119" t="s">
        <v>672</v>
      </c>
      <c r="K119" s="165" t="s">
        <v>673</v>
      </c>
      <c r="L119" s="165"/>
      <c r="M119" s="166">
        <v>45138</v>
      </c>
      <c r="N119" s="166">
        <v>45138</v>
      </c>
      <c r="O119" s="86" t="s">
        <v>314</v>
      </c>
      <c r="P119" s="166" t="s">
        <v>315</v>
      </c>
    </row>
    <row r="120" spans="1:16" ht="25" x14ac:dyDescent="0.25">
      <c r="A120" s="164" t="str">
        <f ca="1">HYPERLINK(MID(CELL("filename",A1),FIND("[",CELL("filename",A1)),FIND("]",CELL("filename",A1)) - FIND("[",CELL("filename",A1)) + 1) &amp; "'x-822'!TABLE_CLIENT_1","x-822 1")</f>
        <v>x-822 1</v>
      </c>
      <c r="B120" s="86" t="s">
        <v>72</v>
      </c>
      <c r="C120" s="86" t="s">
        <v>74</v>
      </c>
      <c r="D120" s="86" t="s">
        <v>657</v>
      </c>
      <c r="E120" s="86" t="s">
        <v>674</v>
      </c>
      <c r="F120" s="86" t="s">
        <v>355</v>
      </c>
      <c r="G120" s="86" t="s">
        <v>659</v>
      </c>
      <c r="H120" s="86">
        <v>2</v>
      </c>
      <c r="I120" s="74">
        <v>822</v>
      </c>
      <c r="J120" t="s">
        <v>675</v>
      </c>
      <c r="K120" s="165" t="s">
        <v>676</v>
      </c>
      <c r="L120" s="165"/>
      <c r="M120" s="166">
        <v>45138</v>
      </c>
      <c r="N120" s="166">
        <v>45138</v>
      </c>
      <c r="O120" s="86" t="s">
        <v>314</v>
      </c>
      <c r="P120" s="166" t="s">
        <v>315</v>
      </c>
    </row>
    <row r="121" spans="1:16" x14ac:dyDescent="0.25">
      <c r="A121" s="164" t="str">
        <f ca="1">HYPERLINK(MID(CELL("filename",A1),FIND("[",CELL("filename",A1)),FIND("]",CELL("filename",A1)) - FIND("[",CELL("filename",A1)) + 1) &amp; "'x-823'!TABLE_CLIENT_1","x-823 1")</f>
        <v>x-823 1</v>
      </c>
      <c r="B121" s="86" t="s">
        <v>72</v>
      </c>
      <c r="C121" s="86" t="s">
        <v>73</v>
      </c>
      <c r="D121" s="86" t="s">
        <v>657</v>
      </c>
      <c r="E121" s="86" t="s">
        <v>677</v>
      </c>
      <c r="F121" s="86" t="s">
        <v>355</v>
      </c>
      <c r="G121" s="86" t="s">
        <v>470</v>
      </c>
      <c r="H121" s="86">
        <v>0</v>
      </c>
      <c r="I121" s="74">
        <v>823</v>
      </c>
      <c r="J121" t="s">
        <v>678</v>
      </c>
      <c r="K121" s="165" t="s">
        <v>661</v>
      </c>
      <c r="L121" s="165"/>
      <c r="M121" s="166">
        <v>45138</v>
      </c>
      <c r="N121" s="166">
        <v>45138</v>
      </c>
      <c r="O121" s="86" t="s">
        <v>314</v>
      </c>
      <c r="P121" s="166" t="s">
        <v>315</v>
      </c>
    </row>
    <row r="122" spans="1:16" ht="25" x14ac:dyDescent="0.25">
      <c r="A122" s="164" t="str">
        <f ca="1">HYPERLINK(MID(CELL("filename",A1),FIND("[",CELL("filename",A1)),FIND("]",CELL("filename",A1)) - FIND("[",CELL("filename",A1)) + 1) &amp; "'x-824'!TABLE_CLIENT_1","x-824 1")</f>
        <v>x-824 1</v>
      </c>
      <c r="B122" s="86" t="s">
        <v>72</v>
      </c>
      <c r="C122" s="86" t="s">
        <v>73</v>
      </c>
      <c r="D122" s="86" t="s">
        <v>679</v>
      </c>
      <c r="E122" s="86" t="s">
        <v>680</v>
      </c>
      <c r="F122" s="86" t="s">
        <v>355</v>
      </c>
      <c r="G122" s="86" t="s">
        <v>681</v>
      </c>
      <c r="H122" s="86">
        <v>0</v>
      </c>
      <c r="I122" s="74">
        <v>824</v>
      </c>
      <c r="J122" t="s">
        <v>682</v>
      </c>
      <c r="K122" s="165"/>
      <c r="L122" s="165"/>
      <c r="M122" s="166">
        <v>45202</v>
      </c>
      <c r="N122" s="166">
        <v>45202</v>
      </c>
      <c r="O122" s="86" t="s">
        <v>314</v>
      </c>
      <c r="P122" s="166" t="s">
        <v>315</v>
      </c>
    </row>
    <row r="123" spans="1:16" ht="25" x14ac:dyDescent="0.25">
      <c r="A123" s="164" t="str">
        <f ca="1">HYPERLINK(MID(CELL("filename",A1),FIND("[",CELL("filename",A1)),FIND("]",CELL("filename",A1)) - FIND("[",CELL("filename",A1)) + 1) &amp; "'x-825'!TABLE_CLIENT_1","x-825 1")</f>
        <v>x-825 1</v>
      </c>
      <c r="B123" s="86" t="s">
        <v>72</v>
      </c>
      <c r="C123" s="86" t="s">
        <v>74</v>
      </c>
      <c r="D123" s="86" t="s">
        <v>679</v>
      </c>
      <c r="E123" s="86" t="s">
        <v>680</v>
      </c>
      <c r="F123" s="86" t="s">
        <v>355</v>
      </c>
      <c r="G123" s="86" t="s">
        <v>681</v>
      </c>
      <c r="H123" s="86">
        <v>1</v>
      </c>
      <c r="I123" s="74">
        <v>825</v>
      </c>
      <c r="J123" t="s">
        <v>683</v>
      </c>
      <c r="K123" s="165" t="s">
        <v>684</v>
      </c>
      <c r="L123" s="165"/>
      <c r="M123" s="166">
        <v>45202</v>
      </c>
      <c r="N123" s="166">
        <v>45202</v>
      </c>
      <c r="O123" s="86" t="s">
        <v>314</v>
      </c>
      <c r="P123" s="166" t="s">
        <v>315</v>
      </c>
    </row>
    <row r="124" spans="1:16" ht="25" x14ac:dyDescent="0.25">
      <c r="A124" s="164" t="str">
        <f ca="1">HYPERLINK(MID(CELL("filename",A1),FIND("[",CELL("filename",A1)),FIND("]",CELL("filename",A1)) - FIND("[",CELL("filename",A1)) + 1) &amp; "'x-826'!TABLE_CLIENT_1","x-826 1")</f>
        <v>x-826 1</v>
      </c>
      <c r="B124" s="86" t="s">
        <v>72</v>
      </c>
      <c r="C124" s="86" t="s">
        <v>74</v>
      </c>
      <c r="D124" s="86" t="s">
        <v>679</v>
      </c>
      <c r="E124" s="86" t="s">
        <v>680</v>
      </c>
      <c r="F124" s="86" t="s">
        <v>355</v>
      </c>
      <c r="G124" s="86" t="s">
        <v>681</v>
      </c>
      <c r="H124" s="86">
        <v>1</v>
      </c>
      <c r="I124" s="74">
        <v>826</v>
      </c>
      <c r="J124" t="s">
        <v>685</v>
      </c>
      <c r="K124" s="165" t="s">
        <v>686</v>
      </c>
      <c r="L124" s="165"/>
      <c r="M124" s="166">
        <v>45202</v>
      </c>
      <c r="N124" s="166">
        <v>45202</v>
      </c>
      <c r="O124" s="86" t="s">
        <v>314</v>
      </c>
      <c r="P124" s="166" t="s">
        <v>315</v>
      </c>
    </row>
    <row r="125" spans="1:16" ht="37.5" x14ac:dyDescent="0.25">
      <c r="A125" s="164" t="str">
        <f ca="1">HYPERLINK(MID(CELL("filename",A1),FIND("[",CELL("filename",A1)),FIND("]",CELL("filename",A1)) - FIND("[",CELL("filename",A1)) + 1) &amp; "'x-827'!TABLE_CLIENT_1","x-827 1")</f>
        <v>x-827 1</v>
      </c>
      <c r="B125" s="86" t="s">
        <v>72</v>
      </c>
      <c r="C125" s="86" t="s">
        <v>687</v>
      </c>
      <c r="D125" s="86" t="s">
        <v>657</v>
      </c>
      <c r="E125" s="86" t="s">
        <v>688</v>
      </c>
      <c r="F125" s="86" t="s">
        <v>355</v>
      </c>
      <c r="G125" s="86" t="s">
        <v>470</v>
      </c>
      <c r="H125" s="86">
        <v>1</v>
      </c>
      <c r="I125" s="74">
        <v>827</v>
      </c>
      <c r="J125" t="s">
        <v>689</v>
      </c>
      <c r="K125" s="165" t="s">
        <v>690</v>
      </c>
      <c r="L125" s="165"/>
      <c r="M125" s="166">
        <v>45135</v>
      </c>
      <c r="N125" s="166">
        <v>45170</v>
      </c>
      <c r="O125" s="86" t="s">
        <v>314</v>
      </c>
      <c r="P125" s="166" t="s">
        <v>315</v>
      </c>
    </row>
    <row r="126" spans="1:16" x14ac:dyDescent="0.25">
      <c r="M126"/>
      <c r="N126"/>
    </row>
    <row r="127" spans="1:16" x14ac:dyDescent="0.25">
      <c r="M127"/>
      <c r="N127"/>
    </row>
    <row r="128" spans="1:16" x14ac:dyDescent="0.25">
      <c r="M128"/>
      <c r="N128"/>
    </row>
    <row r="129" spans="13:14" x14ac:dyDescent="0.25">
      <c r="M129"/>
      <c r="N129"/>
    </row>
    <row r="130" spans="13:14" x14ac:dyDescent="0.25">
      <c r="M130"/>
      <c r="N130"/>
    </row>
    <row r="131" spans="13:14" x14ac:dyDescent="0.25">
      <c r="M131"/>
      <c r="N131"/>
    </row>
    <row r="132" spans="13:14" x14ac:dyDescent="0.25">
      <c r="M132"/>
      <c r="N132"/>
    </row>
    <row r="133" spans="13:14" x14ac:dyDescent="0.25">
      <c r="M133"/>
      <c r="N133"/>
    </row>
    <row r="134" spans="13:14" x14ac:dyDescent="0.25">
      <c r="M134"/>
      <c r="N134"/>
    </row>
    <row r="135" spans="13:14" x14ac:dyDescent="0.25">
      <c r="M135"/>
      <c r="N135"/>
    </row>
    <row r="136" spans="13:14" x14ac:dyDescent="0.25">
      <c r="M136"/>
      <c r="N136"/>
    </row>
    <row r="137" spans="13:14" x14ac:dyDescent="0.25">
      <c r="M137"/>
      <c r="N137"/>
    </row>
    <row r="138" spans="13:14" x14ac:dyDescent="0.25">
      <c r="M138"/>
      <c r="N138"/>
    </row>
    <row r="139" spans="13:14" x14ac:dyDescent="0.25">
      <c r="M139"/>
      <c r="N139"/>
    </row>
    <row r="140" spans="13:14" x14ac:dyDescent="0.25">
      <c r="M140"/>
      <c r="N140"/>
    </row>
    <row r="141" spans="13:14" x14ac:dyDescent="0.25">
      <c r="M141"/>
      <c r="N141"/>
    </row>
    <row r="142" spans="13:14" x14ac:dyDescent="0.25">
      <c r="M142"/>
      <c r="N142"/>
    </row>
    <row r="143" spans="13:14" x14ac:dyDescent="0.25">
      <c r="M143"/>
      <c r="N143"/>
    </row>
    <row r="144" spans="13:14" x14ac:dyDescent="0.25">
      <c r="M144"/>
      <c r="N144"/>
    </row>
    <row r="145" spans="13:14" x14ac:dyDescent="0.25">
      <c r="M145"/>
      <c r="N145"/>
    </row>
    <row r="146" spans="13:14" x14ac:dyDescent="0.25">
      <c r="M146"/>
      <c r="N146"/>
    </row>
    <row r="147" spans="13:14" x14ac:dyDescent="0.25">
      <c r="M147"/>
      <c r="N147"/>
    </row>
    <row r="148" spans="13:14" x14ac:dyDescent="0.25">
      <c r="M148"/>
      <c r="N148"/>
    </row>
    <row r="149" spans="13:14" x14ac:dyDescent="0.25">
      <c r="M149"/>
      <c r="N149"/>
    </row>
    <row r="150" spans="13:14" x14ac:dyDescent="0.25">
      <c r="M150"/>
      <c r="N150"/>
    </row>
    <row r="151" spans="13:14" x14ac:dyDescent="0.25">
      <c r="M151"/>
      <c r="N151"/>
    </row>
    <row r="152" spans="13:14" x14ac:dyDescent="0.25">
      <c r="M152"/>
      <c r="N152"/>
    </row>
    <row r="153" spans="13:14" x14ac:dyDescent="0.25">
      <c r="M153"/>
      <c r="N153"/>
    </row>
    <row r="154" spans="13:14" x14ac:dyDescent="0.25">
      <c r="M154"/>
      <c r="N154"/>
    </row>
    <row r="155" spans="13:14" x14ac:dyDescent="0.25">
      <c r="M155"/>
      <c r="N155"/>
    </row>
    <row r="156" spans="13:14" x14ac:dyDescent="0.25">
      <c r="M156"/>
      <c r="N156"/>
    </row>
    <row r="157" spans="13:14" x14ac:dyDescent="0.25">
      <c r="M157"/>
      <c r="N157"/>
    </row>
    <row r="158" spans="13:14" x14ac:dyDescent="0.25">
      <c r="M158"/>
      <c r="N158"/>
    </row>
    <row r="159" spans="13:14" x14ac:dyDescent="0.25">
      <c r="M159"/>
      <c r="N159"/>
    </row>
    <row r="160" spans="13:14" x14ac:dyDescent="0.25">
      <c r="M160"/>
      <c r="N160"/>
    </row>
    <row r="161" spans="13:14" x14ac:dyDescent="0.25">
      <c r="M161"/>
      <c r="N161"/>
    </row>
    <row r="162" spans="13:14" x14ac:dyDescent="0.25">
      <c r="M162"/>
      <c r="N162"/>
    </row>
    <row r="163" spans="13:14" x14ac:dyDescent="0.25">
      <c r="M163"/>
      <c r="N163"/>
    </row>
    <row r="164" spans="13:14" x14ac:dyDescent="0.25">
      <c r="M164"/>
      <c r="N164"/>
    </row>
    <row r="165" spans="13:14" x14ac:dyDescent="0.25">
      <c r="M165"/>
      <c r="N165"/>
    </row>
    <row r="166" spans="13:14" x14ac:dyDescent="0.25">
      <c r="M166"/>
      <c r="N166"/>
    </row>
    <row r="167" spans="13:14" x14ac:dyDescent="0.25">
      <c r="M167"/>
      <c r="N167"/>
    </row>
    <row r="168" spans="13:14" x14ac:dyDescent="0.25">
      <c r="M168"/>
      <c r="N168"/>
    </row>
    <row r="169" spans="13:14" x14ac:dyDescent="0.25">
      <c r="M169"/>
      <c r="N169"/>
    </row>
    <row r="170" spans="13:14" x14ac:dyDescent="0.25">
      <c r="M170"/>
      <c r="N170"/>
    </row>
    <row r="171" spans="13:14" x14ac:dyDescent="0.25">
      <c r="M171"/>
      <c r="N171"/>
    </row>
    <row r="172" spans="13:14" x14ac:dyDescent="0.25">
      <c r="M172"/>
      <c r="N172"/>
    </row>
    <row r="173" spans="13:14" x14ac:dyDescent="0.25">
      <c r="M173"/>
      <c r="N173"/>
    </row>
    <row r="174" spans="13:14" x14ac:dyDescent="0.25">
      <c r="M174"/>
      <c r="N174"/>
    </row>
    <row r="175" spans="13:14" x14ac:dyDescent="0.25">
      <c r="M175"/>
      <c r="N175"/>
    </row>
    <row r="176" spans="13:14" x14ac:dyDescent="0.25">
      <c r="M176"/>
      <c r="N176"/>
    </row>
    <row r="177" spans="13:14" x14ac:dyDescent="0.25">
      <c r="M177"/>
      <c r="N177"/>
    </row>
    <row r="178" spans="13:14" x14ac:dyDescent="0.25">
      <c r="M178"/>
      <c r="N178"/>
    </row>
    <row r="179" spans="13:14" x14ac:dyDescent="0.25">
      <c r="M179"/>
      <c r="N179"/>
    </row>
    <row r="180" spans="13:14" x14ac:dyDescent="0.25">
      <c r="M180"/>
      <c r="N180"/>
    </row>
    <row r="181" spans="13:14" x14ac:dyDescent="0.25">
      <c r="M181"/>
      <c r="N181"/>
    </row>
    <row r="182" spans="13:14" x14ac:dyDescent="0.25">
      <c r="M182"/>
      <c r="N182"/>
    </row>
    <row r="183" spans="13:14" x14ac:dyDescent="0.25">
      <c r="M183"/>
      <c r="N183"/>
    </row>
    <row r="184" spans="13:14" x14ac:dyDescent="0.25">
      <c r="M184"/>
      <c r="N184"/>
    </row>
    <row r="185" spans="13:14" x14ac:dyDescent="0.25">
      <c r="M185"/>
      <c r="N185"/>
    </row>
    <row r="186" spans="13:14" x14ac:dyDescent="0.25">
      <c r="M186"/>
      <c r="N186"/>
    </row>
    <row r="187" spans="13:14" x14ac:dyDescent="0.25">
      <c r="M187"/>
      <c r="N187"/>
    </row>
    <row r="188" spans="13:14" x14ac:dyDescent="0.25">
      <c r="M188"/>
      <c r="N188"/>
    </row>
    <row r="189" spans="13:14" x14ac:dyDescent="0.25">
      <c r="M189"/>
      <c r="N189"/>
    </row>
    <row r="190" spans="13:14" x14ac:dyDescent="0.25">
      <c r="M190"/>
      <c r="N190"/>
    </row>
    <row r="191" spans="13:14" x14ac:dyDescent="0.25">
      <c r="M191"/>
      <c r="N191"/>
    </row>
    <row r="192" spans="13:14" x14ac:dyDescent="0.25">
      <c r="M192"/>
      <c r="N192"/>
    </row>
    <row r="193" spans="13:14" x14ac:dyDescent="0.25">
      <c r="M193"/>
      <c r="N193"/>
    </row>
    <row r="194" spans="13:14" x14ac:dyDescent="0.25">
      <c r="M194"/>
      <c r="N194"/>
    </row>
    <row r="195" spans="13:14" x14ac:dyDescent="0.25">
      <c r="M195"/>
      <c r="N195"/>
    </row>
    <row r="196" spans="13:14" x14ac:dyDescent="0.25">
      <c r="M196"/>
      <c r="N196"/>
    </row>
    <row r="197" spans="13:14" x14ac:dyDescent="0.25">
      <c r="M197"/>
      <c r="N197"/>
    </row>
    <row r="198" spans="13:14" x14ac:dyDescent="0.25">
      <c r="M198"/>
      <c r="N198"/>
    </row>
    <row r="199" spans="13:14" x14ac:dyDescent="0.25">
      <c r="M199"/>
      <c r="N199"/>
    </row>
    <row r="200" spans="13:14" x14ac:dyDescent="0.25">
      <c r="M200"/>
      <c r="N200"/>
    </row>
    <row r="201" spans="13:14" x14ac:dyDescent="0.25">
      <c r="M201"/>
      <c r="N201"/>
    </row>
    <row r="202" spans="13:14" x14ac:dyDescent="0.25">
      <c r="M202"/>
      <c r="N202"/>
    </row>
    <row r="203" spans="13:14" x14ac:dyDescent="0.25">
      <c r="M203"/>
      <c r="N203"/>
    </row>
    <row r="204" spans="13:14" x14ac:dyDescent="0.25">
      <c r="M204"/>
      <c r="N204"/>
    </row>
    <row r="205" spans="13:14" x14ac:dyDescent="0.25">
      <c r="M205"/>
      <c r="N205"/>
    </row>
    <row r="206" spans="13:14" x14ac:dyDescent="0.25">
      <c r="M206"/>
      <c r="N206"/>
    </row>
    <row r="207" spans="13:14" x14ac:dyDescent="0.25">
      <c r="M207"/>
      <c r="N207"/>
    </row>
    <row r="208" spans="13:14" x14ac:dyDescent="0.25">
      <c r="M208"/>
      <c r="N208"/>
    </row>
    <row r="209" spans="13:14" x14ac:dyDescent="0.25">
      <c r="M209"/>
      <c r="N209"/>
    </row>
    <row r="210" spans="13:14" x14ac:dyDescent="0.25">
      <c r="M210"/>
      <c r="N210"/>
    </row>
    <row r="211" spans="13:14" x14ac:dyDescent="0.25">
      <c r="M211"/>
      <c r="N211"/>
    </row>
    <row r="212" spans="13:14" x14ac:dyDescent="0.25">
      <c r="M212"/>
      <c r="N212"/>
    </row>
    <row r="213" spans="13:14" x14ac:dyDescent="0.25">
      <c r="M213"/>
      <c r="N213"/>
    </row>
    <row r="214" spans="13:14" x14ac:dyDescent="0.25">
      <c r="M214"/>
      <c r="N214"/>
    </row>
    <row r="215" spans="13:14" x14ac:dyDescent="0.25">
      <c r="M215"/>
      <c r="N215"/>
    </row>
    <row r="216" spans="13:14" x14ac:dyDescent="0.25">
      <c r="M216"/>
      <c r="N216"/>
    </row>
    <row r="217" spans="13:14" x14ac:dyDescent="0.25">
      <c r="M217"/>
      <c r="N217"/>
    </row>
    <row r="218" spans="13:14" x14ac:dyDescent="0.25">
      <c r="M218"/>
      <c r="N218"/>
    </row>
    <row r="219" spans="13:14" x14ac:dyDescent="0.25">
      <c r="M219"/>
      <c r="N219"/>
    </row>
    <row r="220" spans="13:14" x14ac:dyDescent="0.25">
      <c r="M220"/>
      <c r="N220"/>
    </row>
    <row r="221" spans="13:14" x14ac:dyDescent="0.25">
      <c r="M221"/>
      <c r="N221"/>
    </row>
    <row r="222" spans="13:14" x14ac:dyDescent="0.25">
      <c r="M222"/>
      <c r="N222"/>
    </row>
    <row r="223" spans="13:14" x14ac:dyDescent="0.25">
      <c r="M223"/>
      <c r="N223"/>
    </row>
    <row r="224" spans="13:14" x14ac:dyDescent="0.25">
      <c r="M224"/>
      <c r="N224"/>
    </row>
    <row r="225" spans="13:14" x14ac:dyDescent="0.25">
      <c r="M225"/>
      <c r="N225"/>
    </row>
    <row r="226" spans="13:14" x14ac:dyDescent="0.25">
      <c r="M226"/>
      <c r="N226"/>
    </row>
    <row r="227" spans="13:14" x14ac:dyDescent="0.25">
      <c r="M227"/>
      <c r="N227"/>
    </row>
    <row r="228" spans="13:14" x14ac:dyDescent="0.25">
      <c r="M228"/>
      <c r="N228"/>
    </row>
    <row r="229" spans="13:14" x14ac:dyDescent="0.25">
      <c r="M229"/>
      <c r="N229"/>
    </row>
    <row r="230" spans="13:14" x14ac:dyDescent="0.25">
      <c r="M230"/>
      <c r="N230"/>
    </row>
    <row r="231" spans="13:14" x14ac:dyDescent="0.25">
      <c r="M231"/>
      <c r="N231"/>
    </row>
    <row r="232" spans="13:14" x14ac:dyDescent="0.25">
      <c r="M232"/>
      <c r="N232"/>
    </row>
    <row r="233" spans="13:14" x14ac:dyDescent="0.25">
      <c r="M233"/>
      <c r="N233"/>
    </row>
    <row r="234" spans="13:14" x14ac:dyDescent="0.25">
      <c r="M234"/>
      <c r="N234"/>
    </row>
    <row r="235" spans="13:14" x14ac:dyDescent="0.25">
      <c r="M235"/>
      <c r="N235"/>
    </row>
    <row r="236" spans="13:14" x14ac:dyDescent="0.25">
      <c r="M236"/>
      <c r="N236"/>
    </row>
    <row r="237" spans="13:14" x14ac:dyDescent="0.25">
      <c r="M237"/>
      <c r="N237"/>
    </row>
    <row r="238" spans="13:14" x14ac:dyDescent="0.25">
      <c r="M238"/>
      <c r="N238"/>
    </row>
    <row r="239" spans="13:14" x14ac:dyDescent="0.25">
      <c r="M239"/>
      <c r="N239"/>
    </row>
    <row r="240" spans="13:14" x14ac:dyDescent="0.25">
      <c r="M240"/>
      <c r="N240"/>
    </row>
    <row r="241" spans="13:14" x14ac:dyDescent="0.25">
      <c r="M241"/>
      <c r="N241"/>
    </row>
    <row r="242" spans="13:14" x14ac:dyDescent="0.25">
      <c r="M242"/>
      <c r="N242"/>
    </row>
    <row r="243" spans="13:14" x14ac:dyDescent="0.25">
      <c r="M243"/>
      <c r="N243"/>
    </row>
    <row r="244" spans="13:14" x14ac:dyDescent="0.25">
      <c r="M244"/>
      <c r="N244"/>
    </row>
    <row r="245" spans="13:14" x14ac:dyDescent="0.25">
      <c r="M245"/>
      <c r="N245"/>
    </row>
    <row r="246" spans="13:14" x14ac:dyDescent="0.25">
      <c r="M246"/>
      <c r="N246"/>
    </row>
    <row r="247" spans="13:14" x14ac:dyDescent="0.25">
      <c r="M247"/>
      <c r="N247"/>
    </row>
    <row r="248" spans="13:14" x14ac:dyDescent="0.25">
      <c r="M248"/>
      <c r="N248"/>
    </row>
    <row r="249" spans="13:14" x14ac:dyDescent="0.25">
      <c r="M249"/>
      <c r="N249"/>
    </row>
    <row r="250" spans="13:14" x14ac:dyDescent="0.25">
      <c r="M250"/>
      <c r="N250"/>
    </row>
    <row r="251" spans="13:14" x14ac:dyDescent="0.25">
      <c r="M251"/>
      <c r="N251"/>
    </row>
    <row r="252" spans="13:14" x14ac:dyDescent="0.25">
      <c r="M252"/>
      <c r="N252"/>
    </row>
    <row r="253" spans="13:14" x14ac:dyDescent="0.25">
      <c r="M253"/>
      <c r="N253"/>
    </row>
    <row r="254" spans="13:14" x14ac:dyDescent="0.25">
      <c r="M254"/>
      <c r="N254"/>
    </row>
    <row r="255" spans="13:14" x14ac:dyDescent="0.25">
      <c r="M255"/>
      <c r="N255"/>
    </row>
    <row r="256" spans="13:14" x14ac:dyDescent="0.25">
      <c r="M256"/>
      <c r="N256"/>
    </row>
    <row r="257" spans="13:14" x14ac:dyDescent="0.25">
      <c r="M257"/>
      <c r="N257"/>
    </row>
    <row r="258" spans="13:14" x14ac:dyDescent="0.25">
      <c r="M258"/>
      <c r="N258"/>
    </row>
    <row r="259" spans="13:14" x14ac:dyDescent="0.25">
      <c r="M259"/>
      <c r="N259"/>
    </row>
    <row r="260" spans="13:14" x14ac:dyDescent="0.25">
      <c r="M260"/>
      <c r="N260"/>
    </row>
    <row r="261" spans="13:14" x14ac:dyDescent="0.25">
      <c r="M261"/>
      <c r="N261"/>
    </row>
    <row r="262" spans="13:14" x14ac:dyDescent="0.25">
      <c r="M262"/>
      <c r="N262"/>
    </row>
    <row r="263" spans="13:14" x14ac:dyDescent="0.25">
      <c r="M263"/>
      <c r="N263"/>
    </row>
    <row r="264" spans="13:14" x14ac:dyDescent="0.25">
      <c r="M264"/>
      <c r="N264"/>
    </row>
    <row r="265" spans="13:14" x14ac:dyDescent="0.25">
      <c r="M265"/>
      <c r="N265"/>
    </row>
    <row r="266" spans="13:14" x14ac:dyDescent="0.25">
      <c r="M266"/>
      <c r="N266"/>
    </row>
    <row r="267" spans="13:14" x14ac:dyDescent="0.25">
      <c r="M267"/>
      <c r="N267"/>
    </row>
    <row r="268" spans="13:14" x14ac:dyDescent="0.25">
      <c r="M268"/>
      <c r="N268"/>
    </row>
    <row r="269" spans="13:14" x14ac:dyDescent="0.25">
      <c r="M269"/>
      <c r="N269"/>
    </row>
    <row r="270" spans="13:14" x14ac:dyDescent="0.25">
      <c r="M270"/>
      <c r="N270"/>
    </row>
    <row r="271" spans="13:14" x14ac:dyDescent="0.25">
      <c r="M271"/>
      <c r="N271"/>
    </row>
    <row r="272" spans="13:14" x14ac:dyDescent="0.25">
      <c r="M272"/>
      <c r="N272"/>
    </row>
    <row r="273" spans="13:14" x14ac:dyDescent="0.25">
      <c r="M273"/>
      <c r="N273"/>
    </row>
    <row r="274" spans="13:14" x14ac:dyDescent="0.25">
      <c r="M274"/>
      <c r="N274"/>
    </row>
    <row r="275" spans="13:14" x14ac:dyDescent="0.25">
      <c r="M275"/>
      <c r="N275"/>
    </row>
    <row r="276" spans="13:14" x14ac:dyDescent="0.25">
      <c r="M276"/>
      <c r="N276"/>
    </row>
    <row r="277" spans="13:14" x14ac:dyDescent="0.25">
      <c r="M277"/>
      <c r="N277"/>
    </row>
    <row r="278" spans="13:14" x14ac:dyDescent="0.25">
      <c r="M278"/>
      <c r="N278"/>
    </row>
    <row r="279" spans="13:14" x14ac:dyDescent="0.25">
      <c r="M279"/>
      <c r="N279"/>
    </row>
    <row r="280" spans="13:14" x14ac:dyDescent="0.25">
      <c r="M280"/>
      <c r="N280"/>
    </row>
    <row r="281" spans="13:14" x14ac:dyDescent="0.25">
      <c r="M281"/>
      <c r="N281"/>
    </row>
    <row r="282" spans="13:14" x14ac:dyDescent="0.25">
      <c r="M282"/>
      <c r="N282"/>
    </row>
    <row r="283" spans="13:14" x14ac:dyDescent="0.25">
      <c r="M283"/>
      <c r="N283"/>
    </row>
    <row r="284" spans="13:14" x14ac:dyDescent="0.25">
      <c r="M284"/>
      <c r="N284"/>
    </row>
    <row r="285" spans="13:14" x14ac:dyDescent="0.25">
      <c r="M285"/>
      <c r="N285"/>
    </row>
    <row r="286" spans="13:14" x14ac:dyDescent="0.25">
      <c r="M286"/>
      <c r="N286"/>
    </row>
    <row r="287" spans="13:14" x14ac:dyDescent="0.25">
      <c r="M287"/>
      <c r="N287"/>
    </row>
    <row r="288" spans="13:14" x14ac:dyDescent="0.25">
      <c r="M288"/>
      <c r="N288"/>
    </row>
    <row r="289" spans="13:14" x14ac:dyDescent="0.25">
      <c r="M289"/>
      <c r="N289"/>
    </row>
    <row r="290" spans="13:14" x14ac:dyDescent="0.25">
      <c r="M290"/>
      <c r="N290"/>
    </row>
    <row r="291" spans="13:14" x14ac:dyDescent="0.25">
      <c r="M291"/>
      <c r="N291"/>
    </row>
    <row r="292" spans="13:14" x14ac:dyDescent="0.25">
      <c r="M292"/>
      <c r="N292"/>
    </row>
    <row r="293" spans="13:14" x14ac:dyDescent="0.25">
      <c r="M293"/>
      <c r="N293"/>
    </row>
    <row r="294" spans="13:14" x14ac:dyDescent="0.25">
      <c r="M294"/>
      <c r="N294"/>
    </row>
    <row r="295" spans="13:14" x14ac:dyDescent="0.25">
      <c r="M295"/>
      <c r="N295"/>
    </row>
    <row r="296" spans="13:14" x14ac:dyDescent="0.25">
      <c r="M296"/>
      <c r="N296"/>
    </row>
    <row r="297" spans="13:14" x14ac:dyDescent="0.25">
      <c r="M297"/>
      <c r="N297"/>
    </row>
    <row r="298" spans="13:14" x14ac:dyDescent="0.25">
      <c r="M298"/>
      <c r="N298"/>
    </row>
    <row r="299" spans="13:14" x14ac:dyDescent="0.25">
      <c r="M299"/>
      <c r="N299"/>
    </row>
    <row r="300" spans="13:14" x14ac:dyDescent="0.25">
      <c r="M300"/>
      <c r="N300"/>
    </row>
    <row r="301" spans="13:14" x14ac:dyDescent="0.25">
      <c r="M301"/>
      <c r="N301"/>
    </row>
    <row r="302" spans="13:14" x14ac:dyDescent="0.25">
      <c r="M302"/>
      <c r="N302"/>
    </row>
    <row r="303" spans="13:14" x14ac:dyDescent="0.25">
      <c r="M303"/>
      <c r="N303"/>
    </row>
    <row r="304" spans="13:14" x14ac:dyDescent="0.25">
      <c r="M304"/>
      <c r="N304"/>
    </row>
    <row r="305" spans="13:14" x14ac:dyDescent="0.25">
      <c r="M305"/>
      <c r="N305"/>
    </row>
    <row r="306" spans="13:14" x14ac:dyDescent="0.25">
      <c r="M306"/>
      <c r="N306"/>
    </row>
    <row r="307" spans="13:14" x14ac:dyDescent="0.25">
      <c r="M307"/>
      <c r="N307"/>
    </row>
    <row r="308" spans="13:14" x14ac:dyDescent="0.25">
      <c r="M308"/>
      <c r="N308"/>
    </row>
    <row r="309" spans="13:14" x14ac:dyDescent="0.25">
      <c r="M309"/>
      <c r="N309"/>
    </row>
    <row r="310" spans="13:14" x14ac:dyDescent="0.25">
      <c r="M310"/>
      <c r="N310"/>
    </row>
    <row r="311" spans="13:14" x14ac:dyDescent="0.25">
      <c r="M311"/>
      <c r="N311"/>
    </row>
    <row r="312" spans="13:14" x14ac:dyDescent="0.25">
      <c r="M312"/>
      <c r="N312"/>
    </row>
    <row r="313" spans="13:14" x14ac:dyDescent="0.25">
      <c r="M313"/>
      <c r="N313"/>
    </row>
    <row r="314" spans="13:14" x14ac:dyDescent="0.25">
      <c r="M314"/>
      <c r="N314"/>
    </row>
    <row r="315" spans="13:14" x14ac:dyDescent="0.25">
      <c r="M315"/>
      <c r="N315"/>
    </row>
    <row r="316" spans="13:14" x14ac:dyDescent="0.25">
      <c r="M316"/>
      <c r="N316"/>
    </row>
    <row r="317" spans="13:14" x14ac:dyDescent="0.25">
      <c r="M317"/>
      <c r="N317"/>
    </row>
    <row r="318" spans="13:14" x14ac:dyDescent="0.25">
      <c r="M318"/>
      <c r="N318"/>
    </row>
    <row r="319" spans="13:14" x14ac:dyDescent="0.25">
      <c r="M319"/>
      <c r="N319"/>
    </row>
    <row r="320" spans="13:14" x14ac:dyDescent="0.25">
      <c r="M320"/>
      <c r="N320"/>
    </row>
    <row r="321" spans="13:14" x14ac:dyDescent="0.25">
      <c r="M321"/>
      <c r="N321"/>
    </row>
    <row r="322" spans="13:14" x14ac:dyDescent="0.25">
      <c r="M322"/>
      <c r="N322"/>
    </row>
    <row r="323" spans="13:14" x14ac:dyDescent="0.25">
      <c r="M323"/>
      <c r="N323"/>
    </row>
    <row r="324" spans="13:14" x14ac:dyDescent="0.25">
      <c r="M324"/>
      <c r="N324"/>
    </row>
    <row r="325" spans="13:14" x14ac:dyDescent="0.25">
      <c r="M325"/>
      <c r="N325"/>
    </row>
    <row r="326" spans="13:14" x14ac:dyDescent="0.25">
      <c r="M326"/>
      <c r="N326"/>
    </row>
    <row r="327" spans="13:14" x14ac:dyDescent="0.25">
      <c r="M327"/>
      <c r="N327"/>
    </row>
    <row r="328" spans="13:14" x14ac:dyDescent="0.25">
      <c r="M328"/>
      <c r="N328"/>
    </row>
    <row r="329" spans="13:14" x14ac:dyDescent="0.25">
      <c r="M329"/>
      <c r="N329"/>
    </row>
    <row r="330" spans="13:14" x14ac:dyDescent="0.25">
      <c r="M330"/>
      <c r="N330"/>
    </row>
    <row r="331" spans="13:14" x14ac:dyDescent="0.25">
      <c r="M331"/>
      <c r="N331"/>
    </row>
    <row r="332" spans="13:14" x14ac:dyDescent="0.25">
      <c r="M332"/>
      <c r="N332"/>
    </row>
    <row r="333" spans="13:14" x14ac:dyDescent="0.25">
      <c r="M333"/>
      <c r="N333"/>
    </row>
    <row r="334" spans="13:14" x14ac:dyDescent="0.25">
      <c r="M334"/>
      <c r="N334"/>
    </row>
    <row r="335" spans="13:14" x14ac:dyDescent="0.25">
      <c r="M335"/>
      <c r="N335"/>
    </row>
    <row r="336" spans="13:14" x14ac:dyDescent="0.25">
      <c r="M336"/>
      <c r="N336"/>
    </row>
    <row r="337" spans="13:14" x14ac:dyDescent="0.25">
      <c r="M337"/>
      <c r="N337"/>
    </row>
    <row r="338" spans="13:14" x14ac:dyDescent="0.25">
      <c r="M338"/>
      <c r="N338"/>
    </row>
    <row r="339" spans="13:14" x14ac:dyDescent="0.25">
      <c r="M339"/>
      <c r="N339"/>
    </row>
    <row r="340" spans="13:14" x14ac:dyDescent="0.25">
      <c r="M340"/>
      <c r="N340"/>
    </row>
    <row r="341" spans="13:14" x14ac:dyDescent="0.25">
      <c r="M341"/>
      <c r="N341"/>
    </row>
    <row r="342" spans="13:14" x14ac:dyDescent="0.25">
      <c r="M342"/>
      <c r="N342"/>
    </row>
    <row r="343" spans="13:14" x14ac:dyDescent="0.25">
      <c r="M343"/>
      <c r="N343"/>
    </row>
    <row r="344" spans="13:14" x14ac:dyDescent="0.25">
      <c r="M344"/>
      <c r="N344"/>
    </row>
    <row r="345" spans="13:14" x14ac:dyDescent="0.25">
      <c r="M345"/>
      <c r="N345"/>
    </row>
    <row r="346" spans="13:14" x14ac:dyDescent="0.25">
      <c r="M346"/>
      <c r="N346"/>
    </row>
    <row r="347" spans="13:14" x14ac:dyDescent="0.25">
      <c r="M347"/>
      <c r="N347"/>
    </row>
    <row r="348" spans="13:14" x14ac:dyDescent="0.25">
      <c r="M348"/>
      <c r="N348"/>
    </row>
    <row r="349" spans="13:14" x14ac:dyDescent="0.25">
      <c r="M349"/>
      <c r="N349"/>
    </row>
    <row r="350" spans="13:14" x14ac:dyDescent="0.25">
      <c r="M350"/>
      <c r="N350"/>
    </row>
    <row r="351" spans="13:14" x14ac:dyDescent="0.25">
      <c r="M351"/>
      <c r="N351"/>
    </row>
    <row r="352" spans="13:14" x14ac:dyDescent="0.25">
      <c r="M352"/>
      <c r="N352"/>
    </row>
    <row r="353" spans="13:14" x14ac:dyDescent="0.25">
      <c r="M353"/>
      <c r="N353"/>
    </row>
    <row r="354" spans="13:14" x14ac:dyDescent="0.25">
      <c r="M354"/>
      <c r="N354"/>
    </row>
    <row r="355" spans="13:14" x14ac:dyDescent="0.25">
      <c r="M355"/>
      <c r="N355"/>
    </row>
    <row r="356" spans="13:14" x14ac:dyDescent="0.25">
      <c r="M356"/>
      <c r="N356"/>
    </row>
    <row r="357" spans="13:14" x14ac:dyDescent="0.25">
      <c r="M357"/>
      <c r="N357"/>
    </row>
    <row r="358" spans="13:14" x14ac:dyDescent="0.25">
      <c r="M358"/>
      <c r="N358"/>
    </row>
    <row r="359" spans="13:14" x14ac:dyDescent="0.25">
      <c r="M359"/>
      <c r="N359"/>
    </row>
    <row r="360" spans="13:14" x14ac:dyDescent="0.25">
      <c r="M360"/>
      <c r="N360"/>
    </row>
    <row r="361" spans="13:14" x14ac:dyDescent="0.25">
      <c r="M361"/>
      <c r="N361"/>
    </row>
    <row r="362" spans="13:14" x14ac:dyDescent="0.25">
      <c r="M362"/>
      <c r="N362"/>
    </row>
    <row r="363" spans="13:14" x14ac:dyDescent="0.25">
      <c r="M363"/>
      <c r="N363"/>
    </row>
    <row r="364" spans="13:14" x14ac:dyDescent="0.25">
      <c r="M364"/>
      <c r="N364"/>
    </row>
    <row r="365" spans="13:14" x14ac:dyDescent="0.25">
      <c r="M365"/>
      <c r="N365"/>
    </row>
    <row r="366" spans="13:14" x14ac:dyDescent="0.25">
      <c r="M366"/>
      <c r="N366"/>
    </row>
    <row r="367" spans="13:14" x14ac:dyDescent="0.25">
      <c r="M367"/>
      <c r="N367"/>
    </row>
    <row r="368" spans="13:14" x14ac:dyDescent="0.25">
      <c r="M368"/>
      <c r="N368"/>
    </row>
    <row r="369" spans="13:14" x14ac:dyDescent="0.25">
      <c r="M369"/>
      <c r="N369"/>
    </row>
    <row r="370" spans="13:14" x14ac:dyDescent="0.25">
      <c r="M370"/>
      <c r="N370"/>
    </row>
    <row r="371" spans="13:14" x14ac:dyDescent="0.25">
      <c r="M371"/>
      <c r="N371"/>
    </row>
    <row r="372" spans="13:14" x14ac:dyDescent="0.25">
      <c r="M372"/>
      <c r="N372"/>
    </row>
    <row r="373" spans="13:14" x14ac:dyDescent="0.25">
      <c r="M373"/>
      <c r="N373"/>
    </row>
    <row r="374" spans="13:14" x14ac:dyDescent="0.25">
      <c r="M374"/>
      <c r="N374"/>
    </row>
    <row r="375" spans="13:14" x14ac:dyDescent="0.25">
      <c r="M375"/>
      <c r="N375"/>
    </row>
    <row r="376" spans="13:14" x14ac:dyDescent="0.25">
      <c r="M376"/>
      <c r="N376"/>
    </row>
    <row r="377" spans="13:14" x14ac:dyDescent="0.25">
      <c r="M377"/>
      <c r="N377"/>
    </row>
    <row r="378" spans="13:14" x14ac:dyDescent="0.25">
      <c r="M378"/>
      <c r="N378"/>
    </row>
    <row r="379" spans="13:14" x14ac:dyDescent="0.25">
      <c r="M379"/>
      <c r="N379"/>
    </row>
    <row r="380" spans="13:14" x14ac:dyDescent="0.25">
      <c r="M380"/>
      <c r="N380"/>
    </row>
    <row r="381" spans="13:14" x14ac:dyDescent="0.25">
      <c r="M381"/>
      <c r="N381"/>
    </row>
    <row r="382" spans="13:14" x14ac:dyDescent="0.25">
      <c r="M382"/>
      <c r="N382"/>
    </row>
    <row r="383" spans="13:14" x14ac:dyDescent="0.25">
      <c r="M383"/>
      <c r="N383"/>
    </row>
    <row r="384" spans="13:14" x14ac:dyDescent="0.25">
      <c r="M384"/>
      <c r="N384"/>
    </row>
    <row r="385" spans="13:14" x14ac:dyDescent="0.25">
      <c r="M385"/>
      <c r="N385"/>
    </row>
    <row r="386" spans="13:14" x14ac:dyDescent="0.25">
      <c r="M386"/>
      <c r="N386"/>
    </row>
    <row r="387" spans="13:14" x14ac:dyDescent="0.25">
      <c r="M387"/>
      <c r="N387"/>
    </row>
    <row r="388" spans="13:14" x14ac:dyDescent="0.25">
      <c r="M388"/>
      <c r="N388"/>
    </row>
    <row r="389" spans="13:14" x14ac:dyDescent="0.25">
      <c r="M389"/>
      <c r="N389"/>
    </row>
    <row r="390" spans="13:14" x14ac:dyDescent="0.25">
      <c r="M390"/>
      <c r="N390"/>
    </row>
    <row r="391" spans="13:14" x14ac:dyDescent="0.25">
      <c r="M391"/>
      <c r="N391"/>
    </row>
    <row r="392" spans="13:14" x14ac:dyDescent="0.25">
      <c r="M392"/>
      <c r="N392"/>
    </row>
    <row r="393" spans="13:14" x14ac:dyDescent="0.25">
      <c r="M393"/>
      <c r="N393"/>
    </row>
    <row r="394" spans="13:14" x14ac:dyDescent="0.25">
      <c r="M394"/>
      <c r="N394"/>
    </row>
    <row r="395" spans="13:14" x14ac:dyDescent="0.25">
      <c r="M395"/>
      <c r="N395"/>
    </row>
    <row r="396" spans="13:14" x14ac:dyDescent="0.25">
      <c r="M396"/>
      <c r="N396"/>
    </row>
    <row r="397" spans="13:14" x14ac:dyDescent="0.25">
      <c r="M397"/>
      <c r="N397"/>
    </row>
    <row r="398" spans="13:14" x14ac:dyDescent="0.25">
      <c r="M398"/>
      <c r="N398"/>
    </row>
    <row r="399" spans="13:14" x14ac:dyDescent="0.25">
      <c r="M399"/>
      <c r="N399"/>
    </row>
    <row r="400" spans="13:14" x14ac:dyDescent="0.25">
      <c r="M400"/>
      <c r="N400"/>
    </row>
    <row r="401" spans="13:14" x14ac:dyDescent="0.25">
      <c r="M401"/>
      <c r="N401"/>
    </row>
    <row r="402" spans="13:14" x14ac:dyDescent="0.25">
      <c r="M402"/>
      <c r="N402"/>
    </row>
    <row r="403" spans="13:14" x14ac:dyDescent="0.25">
      <c r="M403"/>
      <c r="N403"/>
    </row>
    <row r="404" spans="13:14" x14ac:dyDescent="0.25">
      <c r="M404"/>
      <c r="N404"/>
    </row>
    <row r="405" spans="13:14" x14ac:dyDescent="0.25">
      <c r="M405"/>
      <c r="N405"/>
    </row>
    <row r="406" spans="13:14" x14ac:dyDescent="0.25">
      <c r="M406"/>
      <c r="N406"/>
    </row>
    <row r="407" spans="13:14" x14ac:dyDescent="0.25">
      <c r="M407"/>
      <c r="N407"/>
    </row>
    <row r="408" spans="13:14" x14ac:dyDescent="0.25">
      <c r="M408"/>
      <c r="N408"/>
    </row>
    <row r="409" spans="13:14" x14ac:dyDescent="0.25">
      <c r="M409"/>
      <c r="N409"/>
    </row>
    <row r="410" spans="13:14" x14ac:dyDescent="0.25">
      <c r="M410"/>
      <c r="N410"/>
    </row>
    <row r="411" spans="13:14" x14ac:dyDescent="0.25">
      <c r="M411"/>
      <c r="N411"/>
    </row>
    <row r="412" spans="13:14" x14ac:dyDescent="0.25">
      <c r="M412"/>
      <c r="N412"/>
    </row>
    <row r="413" spans="13:14" x14ac:dyDescent="0.25">
      <c r="M413"/>
      <c r="N413"/>
    </row>
    <row r="414" spans="13:14" x14ac:dyDescent="0.25">
      <c r="M414"/>
      <c r="N414"/>
    </row>
    <row r="415" spans="13:14" x14ac:dyDescent="0.25">
      <c r="M415"/>
      <c r="N415"/>
    </row>
    <row r="416" spans="13:14" x14ac:dyDescent="0.25">
      <c r="M416"/>
      <c r="N416"/>
    </row>
    <row r="417" spans="13:14" x14ac:dyDescent="0.25">
      <c r="M417"/>
      <c r="N417"/>
    </row>
    <row r="418" spans="13:14" x14ac:dyDescent="0.25">
      <c r="M418"/>
      <c r="N418"/>
    </row>
    <row r="419" spans="13:14" x14ac:dyDescent="0.25">
      <c r="M419"/>
      <c r="N419"/>
    </row>
    <row r="420" spans="13:14" x14ac:dyDescent="0.25">
      <c r="M420"/>
      <c r="N420"/>
    </row>
    <row r="421" spans="13:14" x14ac:dyDescent="0.25">
      <c r="M421"/>
      <c r="N421"/>
    </row>
    <row r="422" spans="13:14" x14ac:dyDescent="0.25">
      <c r="M422"/>
      <c r="N422"/>
    </row>
    <row r="423" spans="13:14" x14ac:dyDescent="0.25">
      <c r="M423"/>
      <c r="N423"/>
    </row>
    <row r="424" spans="13:14" x14ac:dyDescent="0.25">
      <c r="M424"/>
      <c r="N424"/>
    </row>
    <row r="425" spans="13:14" x14ac:dyDescent="0.25">
      <c r="M425"/>
      <c r="N425"/>
    </row>
    <row r="426" spans="13:14" x14ac:dyDescent="0.25">
      <c r="M426"/>
      <c r="N426"/>
    </row>
    <row r="427" spans="13:14" x14ac:dyDescent="0.25">
      <c r="M427"/>
      <c r="N427"/>
    </row>
    <row r="428" spans="13:14" x14ac:dyDescent="0.25">
      <c r="M428"/>
      <c r="N428"/>
    </row>
    <row r="429" spans="13:14" x14ac:dyDescent="0.25">
      <c r="M429"/>
      <c r="N429"/>
    </row>
    <row r="430" spans="13:14" x14ac:dyDescent="0.25">
      <c r="M430"/>
      <c r="N430"/>
    </row>
    <row r="431" spans="13:14" x14ac:dyDescent="0.25">
      <c r="M431"/>
      <c r="N431"/>
    </row>
    <row r="432" spans="13:14" x14ac:dyDescent="0.25">
      <c r="M432"/>
      <c r="N432"/>
    </row>
    <row r="433" spans="13:14" x14ac:dyDescent="0.25">
      <c r="M433"/>
      <c r="N433"/>
    </row>
    <row r="434" spans="13:14" x14ac:dyDescent="0.25">
      <c r="M434"/>
      <c r="N434"/>
    </row>
    <row r="435" spans="13:14" x14ac:dyDescent="0.25">
      <c r="M435"/>
      <c r="N435"/>
    </row>
    <row r="436" spans="13:14" x14ac:dyDescent="0.25">
      <c r="M436"/>
      <c r="N436"/>
    </row>
    <row r="437" spans="13:14" x14ac:dyDescent="0.25">
      <c r="M437"/>
      <c r="N437"/>
    </row>
    <row r="438" spans="13:14" x14ac:dyDescent="0.25">
      <c r="M438"/>
      <c r="N438"/>
    </row>
    <row r="439" spans="13:14" x14ac:dyDescent="0.25">
      <c r="M439"/>
      <c r="N439"/>
    </row>
    <row r="440" spans="13:14" x14ac:dyDescent="0.25">
      <c r="M440"/>
      <c r="N440"/>
    </row>
    <row r="441" spans="13:14" x14ac:dyDescent="0.25">
      <c r="M441"/>
      <c r="N441"/>
    </row>
    <row r="442" spans="13:14" x14ac:dyDescent="0.25">
      <c r="M442"/>
      <c r="N442"/>
    </row>
    <row r="443" spans="13:14" x14ac:dyDescent="0.25">
      <c r="M443"/>
      <c r="N443"/>
    </row>
    <row r="444" spans="13:14" x14ac:dyDescent="0.25">
      <c r="M444"/>
      <c r="N444"/>
    </row>
    <row r="445" spans="13:14" x14ac:dyDescent="0.25">
      <c r="M445"/>
      <c r="N445"/>
    </row>
    <row r="446" spans="13:14" x14ac:dyDescent="0.25">
      <c r="M446"/>
      <c r="N446"/>
    </row>
    <row r="447" spans="13:14" x14ac:dyDescent="0.25">
      <c r="M447"/>
      <c r="N447"/>
    </row>
    <row r="448" spans="13:14" x14ac:dyDescent="0.25">
      <c r="M448"/>
      <c r="N448"/>
    </row>
    <row r="449" spans="13:14" x14ac:dyDescent="0.25">
      <c r="M449"/>
      <c r="N449"/>
    </row>
    <row r="450" spans="13:14" x14ac:dyDescent="0.25">
      <c r="M450"/>
      <c r="N450"/>
    </row>
    <row r="451" spans="13:14" x14ac:dyDescent="0.25">
      <c r="M451"/>
      <c r="N451"/>
    </row>
    <row r="452" spans="13:14" x14ac:dyDescent="0.25">
      <c r="M452"/>
      <c r="N452"/>
    </row>
    <row r="453" spans="13:14" x14ac:dyDescent="0.25">
      <c r="M453"/>
      <c r="N453"/>
    </row>
    <row r="454" spans="13:14" x14ac:dyDescent="0.25">
      <c r="M454"/>
      <c r="N454"/>
    </row>
    <row r="455" spans="13:14" x14ac:dyDescent="0.25">
      <c r="M455"/>
      <c r="N455"/>
    </row>
    <row r="456" spans="13:14" x14ac:dyDescent="0.25">
      <c r="M456"/>
      <c r="N456"/>
    </row>
    <row r="457" spans="13:14" x14ac:dyDescent="0.25">
      <c r="M457"/>
      <c r="N457"/>
    </row>
    <row r="458" spans="13:14" x14ac:dyDescent="0.25">
      <c r="M458"/>
      <c r="N458"/>
    </row>
    <row r="459" spans="13:14" x14ac:dyDescent="0.25">
      <c r="M459"/>
      <c r="N459"/>
    </row>
    <row r="460" spans="13:14" x14ac:dyDescent="0.25">
      <c r="M460"/>
      <c r="N460"/>
    </row>
    <row r="461" spans="13:14" x14ac:dyDescent="0.25">
      <c r="M461"/>
      <c r="N461"/>
    </row>
    <row r="462" spans="13:14" x14ac:dyDescent="0.25">
      <c r="M462"/>
      <c r="N462"/>
    </row>
    <row r="463" spans="13:14" x14ac:dyDescent="0.25">
      <c r="M463"/>
      <c r="N463"/>
    </row>
    <row r="464" spans="13:14" x14ac:dyDescent="0.25">
      <c r="M464"/>
      <c r="N464"/>
    </row>
    <row r="465" spans="13:14" x14ac:dyDescent="0.25">
      <c r="M465"/>
      <c r="N465"/>
    </row>
    <row r="466" spans="13:14" x14ac:dyDescent="0.25">
      <c r="M466"/>
      <c r="N466"/>
    </row>
    <row r="467" spans="13:14" x14ac:dyDescent="0.25">
      <c r="M467"/>
      <c r="N467"/>
    </row>
    <row r="468" spans="13:14" x14ac:dyDescent="0.25">
      <c r="M468"/>
      <c r="N468"/>
    </row>
    <row r="469" spans="13:14" x14ac:dyDescent="0.25">
      <c r="M469"/>
      <c r="N469"/>
    </row>
    <row r="470" spans="13:14" x14ac:dyDescent="0.25">
      <c r="M470"/>
      <c r="N470"/>
    </row>
    <row r="471" spans="13:14" x14ac:dyDescent="0.25">
      <c r="M471"/>
      <c r="N471"/>
    </row>
    <row r="472" spans="13:14" x14ac:dyDescent="0.25">
      <c r="M472"/>
      <c r="N472"/>
    </row>
    <row r="473" spans="13:14" x14ac:dyDescent="0.25">
      <c r="M473"/>
      <c r="N473"/>
    </row>
    <row r="474" spans="13:14" x14ac:dyDescent="0.25">
      <c r="M474"/>
      <c r="N474"/>
    </row>
    <row r="475" spans="13:14" x14ac:dyDescent="0.25">
      <c r="M475"/>
      <c r="N475"/>
    </row>
    <row r="476" spans="13:14" x14ac:dyDescent="0.25">
      <c r="M476"/>
      <c r="N476"/>
    </row>
    <row r="477" spans="13:14" x14ac:dyDescent="0.25">
      <c r="M477"/>
      <c r="N477"/>
    </row>
    <row r="478" spans="13:14" x14ac:dyDescent="0.25">
      <c r="M478"/>
      <c r="N478"/>
    </row>
    <row r="479" spans="13:14" x14ac:dyDescent="0.25">
      <c r="M479"/>
      <c r="N479"/>
    </row>
    <row r="480" spans="13:14" x14ac:dyDescent="0.25">
      <c r="M480"/>
      <c r="N480"/>
    </row>
    <row r="481" spans="13:14" x14ac:dyDescent="0.25">
      <c r="M481"/>
      <c r="N481"/>
    </row>
    <row r="482" spans="13:14" x14ac:dyDescent="0.25">
      <c r="M482"/>
      <c r="N482"/>
    </row>
    <row r="483" spans="13:14" x14ac:dyDescent="0.25">
      <c r="M483"/>
      <c r="N483"/>
    </row>
    <row r="484" spans="13:14" x14ac:dyDescent="0.25">
      <c r="M484"/>
      <c r="N484"/>
    </row>
    <row r="485" spans="13:14" x14ac:dyDescent="0.25">
      <c r="M485"/>
      <c r="N485"/>
    </row>
    <row r="486" spans="13:14" x14ac:dyDescent="0.25">
      <c r="M486"/>
      <c r="N486"/>
    </row>
    <row r="487" spans="13:14" x14ac:dyDescent="0.25">
      <c r="M487"/>
      <c r="N487"/>
    </row>
    <row r="488" spans="13:14" x14ac:dyDescent="0.25">
      <c r="M488"/>
      <c r="N488"/>
    </row>
    <row r="489" spans="13:14" x14ac:dyDescent="0.25">
      <c r="M489"/>
      <c r="N489"/>
    </row>
    <row r="490" spans="13:14" x14ac:dyDescent="0.25">
      <c r="M490"/>
      <c r="N490"/>
    </row>
    <row r="491" spans="13:14" x14ac:dyDescent="0.25">
      <c r="M491"/>
      <c r="N491"/>
    </row>
    <row r="492" spans="13:14" x14ac:dyDescent="0.25">
      <c r="M492"/>
      <c r="N492"/>
    </row>
    <row r="493" spans="13:14" x14ac:dyDescent="0.25">
      <c r="M493"/>
      <c r="N493"/>
    </row>
    <row r="494" spans="13:14" x14ac:dyDescent="0.25">
      <c r="M494"/>
      <c r="N494"/>
    </row>
    <row r="495" spans="13:14" x14ac:dyDescent="0.25">
      <c r="M495"/>
      <c r="N495"/>
    </row>
    <row r="496" spans="13:14" x14ac:dyDescent="0.25">
      <c r="M496"/>
      <c r="N496"/>
    </row>
    <row r="497" spans="13:14" x14ac:dyDescent="0.25">
      <c r="M497"/>
      <c r="N497"/>
    </row>
    <row r="498" spans="13:14" x14ac:dyDescent="0.25">
      <c r="M498"/>
      <c r="N498"/>
    </row>
    <row r="499" spans="13:14" x14ac:dyDescent="0.25">
      <c r="M499"/>
      <c r="N499"/>
    </row>
    <row r="500" spans="13:14" x14ac:dyDescent="0.25">
      <c r="M500"/>
      <c r="N500"/>
    </row>
    <row r="501" spans="13:14" x14ac:dyDescent="0.25">
      <c r="M501"/>
      <c r="N501"/>
    </row>
    <row r="502" spans="13:14" x14ac:dyDescent="0.25">
      <c r="M502"/>
      <c r="N502"/>
    </row>
    <row r="503" spans="13:14" x14ac:dyDescent="0.25">
      <c r="M503"/>
      <c r="N503"/>
    </row>
    <row r="504" spans="13:14" x14ac:dyDescent="0.25">
      <c r="M504"/>
      <c r="N504"/>
    </row>
    <row r="505" spans="13:14" x14ac:dyDescent="0.25">
      <c r="M505"/>
      <c r="N505"/>
    </row>
    <row r="506" spans="13:14" x14ac:dyDescent="0.25">
      <c r="M506"/>
      <c r="N506"/>
    </row>
    <row r="507" spans="13:14" x14ac:dyDescent="0.25">
      <c r="M507"/>
      <c r="N507"/>
    </row>
    <row r="508" spans="13:14" x14ac:dyDescent="0.25">
      <c r="M508"/>
      <c r="N508"/>
    </row>
    <row r="509" spans="13:14" x14ac:dyDescent="0.25">
      <c r="M509"/>
      <c r="N509"/>
    </row>
    <row r="510" spans="13:14" x14ac:dyDescent="0.25">
      <c r="M510"/>
      <c r="N510"/>
    </row>
    <row r="511" spans="13:14" x14ac:dyDescent="0.25">
      <c r="M511"/>
      <c r="N511"/>
    </row>
    <row r="512" spans="13:14" x14ac:dyDescent="0.25">
      <c r="M512"/>
      <c r="N512"/>
    </row>
    <row r="513" spans="13:14" x14ac:dyDescent="0.25">
      <c r="M513"/>
      <c r="N513"/>
    </row>
    <row r="514" spans="13:14" x14ac:dyDescent="0.25">
      <c r="M514"/>
      <c r="N514"/>
    </row>
    <row r="515" spans="13:14" x14ac:dyDescent="0.25">
      <c r="M515"/>
      <c r="N515"/>
    </row>
    <row r="516" spans="13:14" x14ac:dyDescent="0.25">
      <c r="M516"/>
      <c r="N516"/>
    </row>
    <row r="517" spans="13:14" x14ac:dyDescent="0.25">
      <c r="M517"/>
      <c r="N517"/>
    </row>
    <row r="518" spans="13:14" x14ac:dyDescent="0.25">
      <c r="M518"/>
      <c r="N518"/>
    </row>
    <row r="519" spans="13:14" x14ac:dyDescent="0.25">
      <c r="M519"/>
      <c r="N519"/>
    </row>
    <row r="520" spans="13:14" x14ac:dyDescent="0.25">
      <c r="M520"/>
      <c r="N520"/>
    </row>
    <row r="521" spans="13:14" x14ac:dyDescent="0.25">
      <c r="M521"/>
      <c r="N521"/>
    </row>
    <row r="522" spans="13:14" x14ac:dyDescent="0.25">
      <c r="M522"/>
      <c r="N522"/>
    </row>
    <row r="523" spans="13:14" x14ac:dyDescent="0.25">
      <c r="M523"/>
      <c r="N523"/>
    </row>
    <row r="524" spans="13:14" x14ac:dyDescent="0.25">
      <c r="M524"/>
      <c r="N524"/>
    </row>
    <row r="525" spans="13:14" x14ac:dyDescent="0.25">
      <c r="M525"/>
      <c r="N525"/>
    </row>
    <row r="526" spans="13:14" x14ac:dyDescent="0.25">
      <c r="M526"/>
      <c r="N526"/>
    </row>
    <row r="527" spans="13:14" x14ac:dyDescent="0.25">
      <c r="M527"/>
      <c r="N527"/>
    </row>
    <row r="528" spans="13:14" x14ac:dyDescent="0.25">
      <c r="M528"/>
      <c r="N528"/>
    </row>
    <row r="529" spans="13:14" x14ac:dyDescent="0.25">
      <c r="M529"/>
      <c r="N529"/>
    </row>
    <row r="530" spans="13:14" x14ac:dyDescent="0.25">
      <c r="M530"/>
      <c r="N530"/>
    </row>
    <row r="531" spans="13:14" x14ac:dyDescent="0.25">
      <c r="M531"/>
      <c r="N531"/>
    </row>
    <row r="532" spans="13:14" x14ac:dyDescent="0.25">
      <c r="M532"/>
      <c r="N532"/>
    </row>
    <row r="533" spans="13:14" x14ac:dyDescent="0.25">
      <c r="M533"/>
      <c r="N533"/>
    </row>
    <row r="534" spans="13:14" x14ac:dyDescent="0.25">
      <c r="M534"/>
      <c r="N534"/>
    </row>
    <row r="535" spans="13:14" x14ac:dyDescent="0.25">
      <c r="M535"/>
      <c r="N535"/>
    </row>
    <row r="536" spans="13:14" x14ac:dyDescent="0.25">
      <c r="M536"/>
      <c r="N536"/>
    </row>
    <row r="537" spans="13:14" x14ac:dyDescent="0.25">
      <c r="M537"/>
      <c r="N537"/>
    </row>
    <row r="538" spans="13:14" x14ac:dyDescent="0.25">
      <c r="M538"/>
      <c r="N538"/>
    </row>
    <row r="539" spans="13:14" x14ac:dyDescent="0.25">
      <c r="M539"/>
      <c r="N539"/>
    </row>
    <row r="540" spans="13:14" x14ac:dyDescent="0.25">
      <c r="M540"/>
      <c r="N540"/>
    </row>
    <row r="541" spans="13:14" x14ac:dyDescent="0.25">
      <c r="M541"/>
      <c r="N541"/>
    </row>
    <row r="542" spans="13:14" x14ac:dyDescent="0.25">
      <c r="M542"/>
      <c r="N542"/>
    </row>
    <row r="543" spans="13:14" x14ac:dyDescent="0.25">
      <c r="M543"/>
      <c r="N543"/>
    </row>
    <row r="544" spans="13:14" x14ac:dyDescent="0.25">
      <c r="M544"/>
      <c r="N544"/>
    </row>
    <row r="545" spans="13:14" x14ac:dyDescent="0.25">
      <c r="M545"/>
      <c r="N545"/>
    </row>
    <row r="546" spans="13:14" x14ac:dyDescent="0.25">
      <c r="M546"/>
      <c r="N546"/>
    </row>
    <row r="547" spans="13:14" x14ac:dyDescent="0.25">
      <c r="M547"/>
      <c r="N547"/>
    </row>
    <row r="548" spans="13:14" x14ac:dyDescent="0.25">
      <c r="M548"/>
      <c r="N548"/>
    </row>
    <row r="549" spans="13:14" x14ac:dyDescent="0.25">
      <c r="M549"/>
      <c r="N549"/>
    </row>
    <row r="550" spans="13:14" x14ac:dyDescent="0.25">
      <c r="M550"/>
      <c r="N550"/>
    </row>
    <row r="551" spans="13:14" x14ac:dyDescent="0.25">
      <c r="M551"/>
      <c r="N551"/>
    </row>
    <row r="552" spans="13:14" x14ac:dyDescent="0.25">
      <c r="M552"/>
      <c r="N552"/>
    </row>
    <row r="553" spans="13:14" x14ac:dyDescent="0.25">
      <c r="M553"/>
      <c r="N553"/>
    </row>
    <row r="554" spans="13:14" x14ac:dyDescent="0.25">
      <c r="M554"/>
      <c r="N554"/>
    </row>
    <row r="555" spans="13:14" x14ac:dyDescent="0.25">
      <c r="M555"/>
      <c r="N555"/>
    </row>
    <row r="556" spans="13:14" x14ac:dyDescent="0.25">
      <c r="M556"/>
      <c r="N556"/>
    </row>
    <row r="557" spans="13:14" x14ac:dyDescent="0.25">
      <c r="M557"/>
      <c r="N557"/>
    </row>
    <row r="558" spans="13:14" x14ac:dyDescent="0.25">
      <c r="M558"/>
      <c r="N558"/>
    </row>
    <row r="559" spans="13:14" x14ac:dyDescent="0.25">
      <c r="M559"/>
      <c r="N559"/>
    </row>
    <row r="560" spans="13:14" x14ac:dyDescent="0.25">
      <c r="M560"/>
      <c r="N560"/>
    </row>
    <row r="561" spans="13:14" x14ac:dyDescent="0.25">
      <c r="M561"/>
      <c r="N561"/>
    </row>
    <row r="562" spans="13:14" x14ac:dyDescent="0.25">
      <c r="M562"/>
      <c r="N562"/>
    </row>
    <row r="563" spans="13:14" x14ac:dyDescent="0.25">
      <c r="M563"/>
      <c r="N563"/>
    </row>
    <row r="564" spans="13:14" x14ac:dyDescent="0.25">
      <c r="M564"/>
      <c r="N564"/>
    </row>
    <row r="565" spans="13:14" x14ac:dyDescent="0.25">
      <c r="M565"/>
      <c r="N565"/>
    </row>
    <row r="566" spans="13:14" x14ac:dyDescent="0.25">
      <c r="M566"/>
      <c r="N566"/>
    </row>
    <row r="567" spans="13:14" x14ac:dyDescent="0.25">
      <c r="M567"/>
      <c r="N567"/>
    </row>
    <row r="568" spans="13:14" x14ac:dyDescent="0.25">
      <c r="M568"/>
      <c r="N568"/>
    </row>
    <row r="569" spans="13:14" x14ac:dyDescent="0.25">
      <c r="M569"/>
      <c r="N569"/>
    </row>
    <row r="570" spans="13:14" x14ac:dyDescent="0.25">
      <c r="M570"/>
      <c r="N570"/>
    </row>
    <row r="571" spans="13:14" x14ac:dyDescent="0.25">
      <c r="M571"/>
      <c r="N571"/>
    </row>
    <row r="572" spans="13:14" x14ac:dyDescent="0.25">
      <c r="M572"/>
      <c r="N572"/>
    </row>
    <row r="573" spans="13:14" x14ac:dyDescent="0.25">
      <c r="M573"/>
      <c r="N573"/>
    </row>
    <row r="574" spans="13:14" x14ac:dyDescent="0.25">
      <c r="M574"/>
      <c r="N574"/>
    </row>
    <row r="575" spans="13:14" x14ac:dyDescent="0.25">
      <c r="M575"/>
      <c r="N575"/>
    </row>
    <row r="576" spans="13:14" x14ac:dyDescent="0.25">
      <c r="M576"/>
      <c r="N576"/>
    </row>
    <row r="577" spans="13:14" x14ac:dyDescent="0.25">
      <c r="M577"/>
      <c r="N577"/>
    </row>
    <row r="578" spans="13:14" x14ac:dyDescent="0.25">
      <c r="M578"/>
      <c r="N578"/>
    </row>
    <row r="579" spans="13:14" x14ac:dyDescent="0.25">
      <c r="M579"/>
      <c r="N579"/>
    </row>
    <row r="580" spans="13:14" x14ac:dyDescent="0.25">
      <c r="M580"/>
      <c r="N580"/>
    </row>
    <row r="581" spans="13:14" x14ac:dyDescent="0.25">
      <c r="M581"/>
      <c r="N581"/>
    </row>
    <row r="582" spans="13:14" x14ac:dyDescent="0.25">
      <c r="M582"/>
      <c r="N582"/>
    </row>
    <row r="583" spans="13:14" x14ac:dyDescent="0.25">
      <c r="M583"/>
      <c r="N583"/>
    </row>
    <row r="584" spans="13:14" x14ac:dyDescent="0.25">
      <c r="M584"/>
      <c r="N584"/>
    </row>
    <row r="585" spans="13:14" x14ac:dyDescent="0.25">
      <c r="M585"/>
      <c r="N585"/>
    </row>
    <row r="586" spans="13:14" x14ac:dyDescent="0.25">
      <c r="M586"/>
      <c r="N586"/>
    </row>
    <row r="587" spans="13:14" x14ac:dyDescent="0.25">
      <c r="M587"/>
      <c r="N587"/>
    </row>
    <row r="588" spans="13:14" x14ac:dyDescent="0.25">
      <c r="M588"/>
      <c r="N588"/>
    </row>
    <row r="589" spans="13:14" x14ac:dyDescent="0.25">
      <c r="M589"/>
      <c r="N589"/>
    </row>
    <row r="590" spans="13:14" x14ac:dyDescent="0.25">
      <c r="M590"/>
      <c r="N590"/>
    </row>
    <row r="591" spans="13:14" x14ac:dyDescent="0.25">
      <c r="M591"/>
      <c r="N591"/>
    </row>
    <row r="592" spans="13:14" x14ac:dyDescent="0.25">
      <c r="M592"/>
      <c r="N592"/>
    </row>
    <row r="593" spans="13:14" x14ac:dyDescent="0.25">
      <c r="M593"/>
      <c r="N593"/>
    </row>
    <row r="594" spans="13:14" x14ac:dyDescent="0.25">
      <c r="M594"/>
      <c r="N594"/>
    </row>
    <row r="595" spans="13:14" x14ac:dyDescent="0.25">
      <c r="M595"/>
      <c r="N595"/>
    </row>
    <row r="596" spans="13:14" x14ac:dyDescent="0.25">
      <c r="M596"/>
      <c r="N596"/>
    </row>
    <row r="597" spans="13:14" x14ac:dyDescent="0.25">
      <c r="M597"/>
      <c r="N597"/>
    </row>
    <row r="598" spans="13:14" x14ac:dyDescent="0.25">
      <c r="M598"/>
      <c r="N598"/>
    </row>
    <row r="599" spans="13:14" x14ac:dyDescent="0.25">
      <c r="M599"/>
      <c r="N599"/>
    </row>
    <row r="600" spans="13:14" x14ac:dyDescent="0.25">
      <c r="M600"/>
      <c r="N600"/>
    </row>
    <row r="601" spans="13:14" x14ac:dyDescent="0.25">
      <c r="M601"/>
      <c r="N601"/>
    </row>
    <row r="602" spans="13:14" x14ac:dyDescent="0.25">
      <c r="M602"/>
      <c r="N602"/>
    </row>
    <row r="603" spans="13:14" x14ac:dyDescent="0.25">
      <c r="M603"/>
      <c r="N603"/>
    </row>
    <row r="604" spans="13:14" x14ac:dyDescent="0.25">
      <c r="M604"/>
      <c r="N604"/>
    </row>
    <row r="605" spans="13:14" x14ac:dyDescent="0.25">
      <c r="M605"/>
      <c r="N605"/>
    </row>
    <row r="606" spans="13:14" x14ac:dyDescent="0.25">
      <c r="M606"/>
      <c r="N606"/>
    </row>
    <row r="607" spans="13:14" x14ac:dyDescent="0.25">
      <c r="M607"/>
      <c r="N607"/>
    </row>
    <row r="608" spans="13:14" x14ac:dyDescent="0.25">
      <c r="M608"/>
      <c r="N608"/>
    </row>
    <row r="609" spans="13:14" x14ac:dyDescent="0.25">
      <c r="M609"/>
      <c r="N609"/>
    </row>
    <row r="610" spans="13:14" x14ac:dyDescent="0.25">
      <c r="M610"/>
      <c r="N610"/>
    </row>
    <row r="611" spans="13:14" x14ac:dyDescent="0.25">
      <c r="M611"/>
      <c r="N611"/>
    </row>
    <row r="612" spans="13:14" x14ac:dyDescent="0.25">
      <c r="M612"/>
      <c r="N612"/>
    </row>
    <row r="613" spans="13:14" x14ac:dyDescent="0.25">
      <c r="M613"/>
      <c r="N613"/>
    </row>
    <row r="614" spans="13:14" x14ac:dyDescent="0.25">
      <c r="M614"/>
      <c r="N614"/>
    </row>
    <row r="615" spans="13:14" x14ac:dyDescent="0.25">
      <c r="M615"/>
      <c r="N615"/>
    </row>
    <row r="616" spans="13:14" x14ac:dyDescent="0.25">
      <c r="M616"/>
      <c r="N616"/>
    </row>
    <row r="617" spans="13:14" x14ac:dyDescent="0.25">
      <c r="M617"/>
      <c r="N617"/>
    </row>
    <row r="618" spans="13:14" x14ac:dyDescent="0.25">
      <c r="M618"/>
      <c r="N618"/>
    </row>
    <row r="619" spans="13:14" x14ac:dyDescent="0.25">
      <c r="M619"/>
      <c r="N619"/>
    </row>
    <row r="620" spans="13:14" x14ac:dyDescent="0.25">
      <c r="M620"/>
      <c r="N620"/>
    </row>
    <row r="621" spans="13:14" x14ac:dyDescent="0.25">
      <c r="M621"/>
      <c r="N621"/>
    </row>
    <row r="622" spans="13:14" x14ac:dyDescent="0.25">
      <c r="M622"/>
      <c r="N622"/>
    </row>
    <row r="623" spans="13:14" x14ac:dyDescent="0.25">
      <c r="M623"/>
      <c r="N623"/>
    </row>
    <row r="624" spans="13:14" x14ac:dyDescent="0.25">
      <c r="M624"/>
      <c r="N624"/>
    </row>
    <row r="625" spans="13:14" x14ac:dyDescent="0.25">
      <c r="M625"/>
      <c r="N625"/>
    </row>
    <row r="626" spans="13:14" x14ac:dyDescent="0.25">
      <c r="M626"/>
      <c r="N626"/>
    </row>
    <row r="627" spans="13:14" x14ac:dyDescent="0.25">
      <c r="M627"/>
      <c r="N627"/>
    </row>
    <row r="628" spans="13:14" x14ac:dyDescent="0.25">
      <c r="M628"/>
      <c r="N628"/>
    </row>
    <row r="629" spans="13:14" x14ac:dyDescent="0.25">
      <c r="M629"/>
      <c r="N629"/>
    </row>
    <row r="630" spans="13:14" x14ac:dyDescent="0.25">
      <c r="M630"/>
      <c r="N630"/>
    </row>
    <row r="631" spans="13:14" x14ac:dyDescent="0.25">
      <c r="M631"/>
      <c r="N631"/>
    </row>
    <row r="632" spans="13:14" x14ac:dyDescent="0.25">
      <c r="M632"/>
      <c r="N632"/>
    </row>
    <row r="633" spans="13:14" x14ac:dyDescent="0.25">
      <c r="M633"/>
      <c r="N633"/>
    </row>
    <row r="634" spans="13:14" x14ac:dyDescent="0.25">
      <c r="M634"/>
      <c r="N634"/>
    </row>
    <row r="635" spans="13:14" x14ac:dyDescent="0.25">
      <c r="M635"/>
      <c r="N635"/>
    </row>
    <row r="636" spans="13:14" x14ac:dyDescent="0.25">
      <c r="M636"/>
      <c r="N636"/>
    </row>
    <row r="637" spans="13:14" x14ac:dyDescent="0.25">
      <c r="M637"/>
      <c r="N637"/>
    </row>
    <row r="638" spans="13:14" x14ac:dyDescent="0.25">
      <c r="M638"/>
      <c r="N638"/>
    </row>
    <row r="639" spans="13:14" x14ac:dyDescent="0.25">
      <c r="M639"/>
      <c r="N639"/>
    </row>
    <row r="640" spans="13:14" x14ac:dyDescent="0.25">
      <c r="M640"/>
      <c r="N640"/>
    </row>
    <row r="641" spans="13:14" x14ac:dyDescent="0.25">
      <c r="M641"/>
      <c r="N641"/>
    </row>
    <row r="642" spans="13:14" x14ac:dyDescent="0.25">
      <c r="M642"/>
      <c r="N642"/>
    </row>
    <row r="643" spans="13:14" x14ac:dyDescent="0.25">
      <c r="M643"/>
      <c r="N643"/>
    </row>
    <row r="644" spans="13:14" x14ac:dyDescent="0.25">
      <c r="M644"/>
      <c r="N644"/>
    </row>
    <row r="645" spans="13:14" x14ac:dyDescent="0.25">
      <c r="M645"/>
      <c r="N645"/>
    </row>
    <row r="646" spans="13:14" x14ac:dyDescent="0.25">
      <c r="M646"/>
      <c r="N646"/>
    </row>
    <row r="647" spans="13:14" x14ac:dyDescent="0.25">
      <c r="M647"/>
      <c r="N647"/>
    </row>
    <row r="648" spans="13:14" x14ac:dyDescent="0.25">
      <c r="M648"/>
      <c r="N648"/>
    </row>
    <row r="649" spans="13:14" x14ac:dyDescent="0.25">
      <c r="M649"/>
      <c r="N649"/>
    </row>
    <row r="650" spans="13:14" x14ac:dyDescent="0.25">
      <c r="M650"/>
      <c r="N650"/>
    </row>
    <row r="651" spans="13:14" x14ac:dyDescent="0.25">
      <c r="M651"/>
      <c r="N651"/>
    </row>
    <row r="652" spans="13:14" x14ac:dyDescent="0.25">
      <c r="M652"/>
      <c r="N652"/>
    </row>
    <row r="653" spans="13:14" x14ac:dyDescent="0.25">
      <c r="M653"/>
      <c r="N653"/>
    </row>
    <row r="654" spans="13:14" x14ac:dyDescent="0.25">
      <c r="M654"/>
      <c r="N654"/>
    </row>
    <row r="655" spans="13:14" x14ac:dyDescent="0.25">
      <c r="M655"/>
      <c r="N655"/>
    </row>
    <row r="656" spans="13:14" x14ac:dyDescent="0.25">
      <c r="M656"/>
      <c r="N656"/>
    </row>
    <row r="657" spans="13:14" x14ac:dyDescent="0.25">
      <c r="M657"/>
      <c r="N657"/>
    </row>
    <row r="658" spans="13:14" x14ac:dyDescent="0.25">
      <c r="M658"/>
      <c r="N658"/>
    </row>
    <row r="659" spans="13:14" x14ac:dyDescent="0.25">
      <c r="M659"/>
      <c r="N659"/>
    </row>
    <row r="660" spans="13:14" x14ac:dyDescent="0.25">
      <c r="M660"/>
      <c r="N660"/>
    </row>
    <row r="661" spans="13:14" x14ac:dyDescent="0.25">
      <c r="M661"/>
      <c r="N661"/>
    </row>
    <row r="662" spans="13:14" x14ac:dyDescent="0.25">
      <c r="M662"/>
      <c r="N662"/>
    </row>
    <row r="663" spans="13:14" x14ac:dyDescent="0.25">
      <c r="M663"/>
      <c r="N663"/>
    </row>
    <row r="664" spans="13:14" x14ac:dyDescent="0.25">
      <c r="M664"/>
      <c r="N664"/>
    </row>
    <row r="665" spans="13:14" x14ac:dyDescent="0.25">
      <c r="M665"/>
      <c r="N665"/>
    </row>
    <row r="666" spans="13:14" x14ac:dyDescent="0.25">
      <c r="M666"/>
      <c r="N666"/>
    </row>
    <row r="667" spans="13:14" x14ac:dyDescent="0.25">
      <c r="M667"/>
      <c r="N667"/>
    </row>
    <row r="668" spans="13:14" x14ac:dyDescent="0.25">
      <c r="M668"/>
      <c r="N668"/>
    </row>
    <row r="669" spans="13:14" x14ac:dyDescent="0.25">
      <c r="M669"/>
      <c r="N669"/>
    </row>
    <row r="670" spans="13:14" x14ac:dyDescent="0.25">
      <c r="M670"/>
      <c r="N670"/>
    </row>
    <row r="671" spans="13:14" x14ac:dyDescent="0.25">
      <c r="M671"/>
      <c r="N671"/>
    </row>
    <row r="672" spans="13:14" x14ac:dyDescent="0.25">
      <c r="M672"/>
      <c r="N672"/>
    </row>
    <row r="673" spans="13:14" x14ac:dyDescent="0.25">
      <c r="M673"/>
      <c r="N673"/>
    </row>
    <row r="674" spans="13:14" x14ac:dyDescent="0.25">
      <c r="M674"/>
      <c r="N674"/>
    </row>
    <row r="675" spans="13:14" x14ac:dyDescent="0.25">
      <c r="M675"/>
      <c r="N675"/>
    </row>
    <row r="676" spans="13:14" x14ac:dyDescent="0.25">
      <c r="M676"/>
      <c r="N676"/>
    </row>
    <row r="677" spans="13:14" x14ac:dyDescent="0.25">
      <c r="M677"/>
      <c r="N677"/>
    </row>
    <row r="678" spans="13:14" x14ac:dyDescent="0.25">
      <c r="M678"/>
      <c r="N678"/>
    </row>
    <row r="679" spans="13:14" x14ac:dyDescent="0.25">
      <c r="M679"/>
      <c r="N679"/>
    </row>
    <row r="680" spans="13:14" x14ac:dyDescent="0.25">
      <c r="M680"/>
      <c r="N680"/>
    </row>
    <row r="681" spans="13:14" x14ac:dyDescent="0.25">
      <c r="M681"/>
      <c r="N681"/>
    </row>
    <row r="682" spans="13:14" x14ac:dyDescent="0.25">
      <c r="M682"/>
      <c r="N682"/>
    </row>
    <row r="683" spans="13:14" x14ac:dyDescent="0.25">
      <c r="M683"/>
      <c r="N683"/>
    </row>
    <row r="684" spans="13:14" x14ac:dyDescent="0.25">
      <c r="M684"/>
      <c r="N684"/>
    </row>
    <row r="685" spans="13:14" x14ac:dyDescent="0.25">
      <c r="M685"/>
      <c r="N685"/>
    </row>
    <row r="686" spans="13:14" x14ac:dyDescent="0.25">
      <c r="M686"/>
      <c r="N686"/>
    </row>
    <row r="687" spans="13:14" x14ac:dyDescent="0.25">
      <c r="M687"/>
      <c r="N687"/>
    </row>
    <row r="688" spans="13:14" x14ac:dyDescent="0.25">
      <c r="M688"/>
      <c r="N688"/>
    </row>
    <row r="689" spans="13:14" x14ac:dyDescent="0.25">
      <c r="M689"/>
      <c r="N689"/>
    </row>
    <row r="690" spans="13:14" x14ac:dyDescent="0.25">
      <c r="M690"/>
      <c r="N690"/>
    </row>
    <row r="691" spans="13:14" x14ac:dyDescent="0.25">
      <c r="M691"/>
      <c r="N691"/>
    </row>
    <row r="692" spans="13:14" x14ac:dyDescent="0.25">
      <c r="M692"/>
      <c r="N692"/>
    </row>
    <row r="693" spans="13:14" x14ac:dyDescent="0.25">
      <c r="M693"/>
      <c r="N693"/>
    </row>
    <row r="694" spans="13:14" x14ac:dyDescent="0.25">
      <c r="M694"/>
      <c r="N694"/>
    </row>
    <row r="695" spans="13:14" x14ac:dyDescent="0.25">
      <c r="M695"/>
      <c r="N695"/>
    </row>
    <row r="696" spans="13:14" x14ac:dyDescent="0.25">
      <c r="M696"/>
      <c r="N696"/>
    </row>
    <row r="697" spans="13:14" x14ac:dyDescent="0.25">
      <c r="M697"/>
      <c r="N697"/>
    </row>
    <row r="698" spans="13:14" x14ac:dyDescent="0.25">
      <c r="M698"/>
      <c r="N698"/>
    </row>
    <row r="699" spans="13:14" x14ac:dyDescent="0.25">
      <c r="M699"/>
      <c r="N699"/>
    </row>
    <row r="700" spans="13:14" x14ac:dyDescent="0.25">
      <c r="M700"/>
      <c r="N700"/>
    </row>
    <row r="701" spans="13:14" x14ac:dyDescent="0.25">
      <c r="M701"/>
      <c r="N701"/>
    </row>
    <row r="702" spans="13:14" x14ac:dyDescent="0.25">
      <c r="M702"/>
      <c r="N702"/>
    </row>
    <row r="703" spans="13:14" x14ac:dyDescent="0.25">
      <c r="M703"/>
      <c r="N703"/>
    </row>
    <row r="704" spans="13:14" x14ac:dyDescent="0.25">
      <c r="M704"/>
      <c r="N704"/>
    </row>
    <row r="705" spans="13:14" x14ac:dyDescent="0.25">
      <c r="M705"/>
      <c r="N705"/>
    </row>
    <row r="706" spans="13:14" x14ac:dyDescent="0.25">
      <c r="M706"/>
      <c r="N706"/>
    </row>
    <row r="707" spans="13:14" x14ac:dyDescent="0.25">
      <c r="M707"/>
      <c r="N707"/>
    </row>
    <row r="708" spans="13:14" x14ac:dyDescent="0.25">
      <c r="M708"/>
      <c r="N708"/>
    </row>
    <row r="709" spans="13:14" x14ac:dyDescent="0.25">
      <c r="M709"/>
      <c r="N709"/>
    </row>
    <row r="710" spans="13:14" x14ac:dyDescent="0.25">
      <c r="M710"/>
      <c r="N710"/>
    </row>
    <row r="711" spans="13:14" x14ac:dyDescent="0.25">
      <c r="M711"/>
      <c r="N711"/>
    </row>
    <row r="712" spans="13:14" x14ac:dyDescent="0.25">
      <c r="M712"/>
      <c r="N712"/>
    </row>
    <row r="713" spans="13:14" x14ac:dyDescent="0.25">
      <c r="M713"/>
      <c r="N713"/>
    </row>
    <row r="714" spans="13:14" x14ac:dyDescent="0.25">
      <c r="M714"/>
      <c r="N714"/>
    </row>
    <row r="715" spans="13:14" x14ac:dyDescent="0.25">
      <c r="M715"/>
      <c r="N715"/>
    </row>
    <row r="716" spans="13:14" x14ac:dyDescent="0.25">
      <c r="M716"/>
      <c r="N716"/>
    </row>
    <row r="717" spans="13:14" x14ac:dyDescent="0.25">
      <c r="M717"/>
      <c r="N717"/>
    </row>
    <row r="718" spans="13:14" x14ac:dyDescent="0.25">
      <c r="M718"/>
      <c r="N718"/>
    </row>
    <row r="719" spans="13:14" x14ac:dyDescent="0.25">
      <c r="M719"/>
      <c r="N719"/>
    </row>
    <row r="720" spans="13:14" x14ac:dyDescent="0.25">
      <c r="M720"/>
      <c r="N720"/>
    </row>
    <row r="721" spans="13:14" x14ac:dyDescent="0.25">
      <c r="M721"/>
      <c r="N721"/>
    </row>
    <row r="722" spans="13:14" x14ac:dyDescent="0.25">
      <c r="M722"/>
      <c r="N722"/>
    </row>
    <row r="723" spans="13:14" x14ac:dyDescent="0.25">
      <c r="M723"/>
      <c r="N723"/>
    </row>
    <row r="724" spans="13:14" x14ac:dyDescent="0.25">
      <c r="M724"/>
      <c r="N724"/>
    </row>
    <row r="725" spans="13:14" x14ac:dyDescent="0.25">
      <c r="M725"/>
      <c r="N725"/>
    </row>
    <row r="726" spans="13:14" x14ac:dyDescent="0.25">
      <c r="M726"/>
      <c r="N726"/>
    </row>
    <row r="727" spans="13:14" x14ac:dyDescent="0.25">
      <c r="M727"/>
      <c r="N727"/>
    </row>
    <row r="728" spans="13:14" x14ac:dyDescent="0.25">
      <c r="M728"/>
      <c r="N728"/>
    </row>
    <row r="729" spans="13:14" x14ac:dyDescent="0.25">
      <c r="M729"/>
      <c r="N729"/>
    </row>
    <row r="730" spans="13:14" x14ac:dyDescent="0.25">
      <c r="M730"/>
      <c r="N730"/>
    </row>
    <row r="731" spans="13:14" x14ac:dyDescent="0.25">
      <c r="M731"/>
      <c r="N731"/>
    </row>
    <row r="732" spans="13:14" x14ac:dyDescent="0.25">
      <c r="M732"/>
      <c r="N732"/>
    </row>
    <row r="733" spans="13:14" x14ac:dyDescent="0.25">
      <c r="M733"/>
      <c r="N733"/>
    </row>
    <row r="734" spans="13:14" x14ac:dyDescent="0.25">
      <c r="M734"/>
      <c r="N734"/>
    </row>
    <row r="735" spans="13:14" x14ac:dyDescent="0.25">
      <c r="M735"/>
      <c r="N735"/>
    </row>
    <row r="736" spans="13:14" x14ac:dyDescent="0.25">
      <c r="M736"/>
      <c r="N736"/>
    </row>
    <row r="737" spans="13:14" x14ac:dyDescent="0.25">
      <c r="M737"/>
      <c r="N737"/>
    </row>
    <row r="738" spans="13:14" x14ac:dyDescent="0.25">
      <c r="M738"/>
      <c r="N738"/>
    </row>
    <row r="739" spans="13:14" x14ac:dyDescent="0.25">
      <c r="M739"/>
      <c r="N739"/>
    </row>
    <row r="740" spans="13:14" x14ac:dyDescent="0.25">
      <c r="M740"/>
      <c r="N740"/>
    </row>
    <row r="741" spans="13:14" x14ac:dyDescent="0.25">
      <c r="M741"/>
      <c r="N741"/>
    </row>
    <row r="742" spans="13:14" x14ac:dyDescent="0.25">
      <c r="M742"/>
      <c r="N742"/>
    </row>
    <row r="743" spans="13:14" x14ac:dyDescent="0.25">
      <c r="M743"/>
      <c r="N743"/>
    </row>
    <row r="744" spans="13:14" x14ac:dyDescent="0.25">
      <c r="M744"/>
      <c r="N744"/>
    </row>
    <row r="745" spans="13:14" x14ac:dyDescent="0.25">
      <c r="M745"/>
      <c r="N745"/>
    </row>
    <row r="746" spans="13:14" x14ac:dyDescent="0.25">
      <c r="M746"/>
      <c r="N746"/>
    </row>
    <row r="747" spans="13:14" x14ac:dyDescent="0.25">
      <c r="M747"/>
      <c r="N747"/>
    </row>
    <row r="748" spans="13:14" x14ac:dyDescent="0.25">
      <c r="M748"/>
      <c r="N748"/>
    </row>
    <row r="749" spans="13:14" x14ac:dyDescent="0.25">
      <c r="M749"/>
      <c r="N749"/>
    </row>
    <row r="750" spans="13:14" x14ac:dyDescent="0.25">
      <c r="M750"/>
      <c r="N750"/>
    </row>
    <row r="751" spans="13:14" x14ac:dyDescent="0.25">
      <c r="M751"/>
      <c r="N751"/>
    </row>
    <row r="752" spans="13:14" x14ac:dyDescent="0.25">
      <c r="M752"/>
      <c r="N752"/>
    </row>
    <row r="753" spans="13:14" x14ac:dyDescent="0.25">
      <c r="M753"/>
      <c r="N753"/>
    </row>
    <row r="754" spans="13:14" x14ac:dyDescent="0.25">
      <c r="M754"/>
      <c r="N754"/>
    </row>
    <row r="755" spans="13:14" x14ac:dyDescent="0.25">
      <c r="M755"/>
      <c r="N755"/>
    </row>
    <row r="756" spans="13:14" x14ac:dyDescent="0.25">
      <c r="M756"/>
      <c r="N756"/>
    </row>
    <row r="757" spans="13:14" x14ac:dyDescent="0.25">
      <c r="M757"/>
      <c r="N757"/>
    </row>
    <row r="758" spans="13:14" x14ac:dyDescent="0.25">
      <c r="M758"/>
      <c r="N758"/>
    </row>
    <row r="759" spans="13:14" x14ac:dyDescent="0.25">
      <c r="M759"/>
      <c r="N759"/>
    </row>
    <row r="760" spans="13:14" x14ac:dyDescent="0.25">
      <c r="M760"/>
      <c r="N760"/>
    </row>
    <row r="761" spans="13:14" x14ac:dyDescent="0.25">
      <c r="M761"/>
      <c r="N761"/>
    </row>
    <row r="762" spans="13:14" x14ac:dyDescent="0.25">
      <c r="M762"/>
      <c r="N762"/>
    </row>
    <row r="763" spans="13:14" x14ac:dyDescent="0.25">
      <c r="M763"/>
      <c r="N763"/>
    </row>
    <row r="764" spans="13:14" x14ac:dyDescent="0.25">
      <c r="M764"/>
      <c r="N764"/>
    </row>
    <row r="765" spans="13:14" x14ac:dyDescent="0.25">
      <c r="M765"/>
      <c r="N765"/>
    </row>
    <row r="766" spans="13:14" x14ac:dyDescent="0.25">
      <c r="M766"/>
      <c r="N766"/>
    </row>
    <row r="767" spans="13:14" x14ac:dyDescent="0.25">
      <c r="M767"/>
      <c r="N767"/>
    </row>
    <row r="768" spans="13:14" x14ac:dyDescent="0.25">
      <c r="M768"/>
      <c r="N768"/>
    </row>
    <row r="769" spans="13:14" x14ac:dyDescent="0.25">
      <c r="M769"/>
      <c r="N769"/>
    </row>
    <row r="770" spans="13:14" x14ac:dyDescent="0.25">
      <c r="M770"/>
      <c r="N770"/>
    </row>
    <row r="771" spans="13:14" x14ac:dyDescent="0.25">
      <c r="M771"/>
      <c r="N771"/>
    </row>
    <row r="772" spans="13:14" x14ac:dyDescent="0.25">
      <c r="M772"/>
      <c r="N772"/>
    </row>
    <row r="773" spans="13:14" x14ac:dyDescent="0.25">
      <c r="M773"/>
      <c r="N773"/>
    </row>
    <row r="774" spans="13:14" x14ac:dyDescent="0.25">
      <c r="M774"/>
      <c r="N774"/>
    </row>
    <row r="775" spans="13:14" x14ac:dyDescent="0.25">
      <c r="M775"/>
      <c r="N775"/>
    </row>
    <row r="776" spans="13:14" x14ac:dyDescent="0.25">
      <c r="M776"/>
      <c r="N776"/>
    </row>
    <row r="777" spans="13:14" x14ac:dyDescent="0.25">
      <c r="M777"/>
      <c r="N777"/>
    </row>
    <row r="778" spans="13:14" x14ac:dyDescent="0.25">
      <c r="M778"/>
      <c r="N778"/>
    </row>
    <row r="779" spans="13:14" x14ac:dyDescent="0.25">
      <c r="M779"/>
      <c r="N779"/>
    </row>
    <row r="780" spans="13:14" x14ac:dyDescent="0.25">
      <c r="M780"/>
      <c r="N780"/>
    </row>
    <row r="781" spans="13:14" x14ac:dyDescent="0.25">
      <c r="M781"/>
      <c r="N781"/>
    </row>
    <row r="782" spans="13:14" x14ac:dyDescent="0.25">
      <c r="M782"/>
      <c r="N782"/>
    </row>
    <row r="783" spans="13:14" x14ac:dyDescent="0.25">
      <c r="M783"/>
      <c r="N783"/>
    </row>
    <row r="784" spans="13:14" x14ac:dyDescent="0.25">
      <c r="M784"/>
      <c r="N784"/>
    </row>
    <row r="785" spans="13:14" x14ac:dyDescent="0.25">
      <c r="M785"/>
      <c r="N785"/>
    </row>
    <row r="786" spans="13:14" x14ac:dyDescent="0.25">
      <c r="M786"/>
      <c r="N786"/>
    </row>
    <row r="787" spans="13:14" x14ac:dyDescent="0.25">
      <c r="M787"/>
      <c r="N787"/>
    </row>
    <row r="788" spans="13:14" x14ac:dyDescent="0.25">
      <c r="M788"/>
      <c r="N788"/>
    </row>
    <row r="789" spans="13:14" x14ac:dyDescent="0.25">
      <c r="M789"/>
      <c r="N789"/>
    </row>
    <row r="790" spans="13:14" x14ac:dyDescent="0.25">
      <c r="M790"/>
      <c r="N790"/>
    </row>
    <row r="791" spans="13:14" x14ac:dyDescent="0.25">
      <c r="M791"/>
      <c r="N791"/>
    </row>
    <row r="792" spans="13:14" x14ac:dyDescent="0.25">
      <c r="M792"/>
      <c r="N792"/>
    </row>
    <row r="793" spans="13:14" x14ac:dyDescent="0.25">
      <c r="M793"/>
      <c r="N793"/>
    </row>
    <row r="794" spans="13:14" x14ac:dyDescent="0.25">
      <c r="M794"/>
      <c r="N794"/>
    </row>
    <row r="795" spans="13:14" x14ac:dyDescent="0.25">
      <c r="M795"/>
      <c r="N795"/>
    </row>
    <row r="796" spans="13:14" x14ac:dyDescent="0.25">
      <c r="M796"/>
      <c r="N796"/>
    </row>
    <row r="797" spans="13:14" x14ac:dyDescent="0.25">
      <c r="M797"/>
      <c r="N797"/>
    </row>
    <row r="798" spans="13:14" x14ac:dyDescent="0.25">
      <c r="M798"/>
      <c r="N798"/>
    </row>
    <row r="799" spans="13:14" x14ac:dyDescent="0.25">
      <c r="M799"/>
      <c r="N799"/>
    </row>
    <row r="800" spans="13:14" x14ac:dyDescent="0.25">
      <c r="M800"/>
      <c r="N800"/>
    </row>
    <row r="801" spans="13:14" x14ac:dyDescent="0.25">
      <c r="M801"/>
      <c r="N801"/>
    </row>
    <row r="802" spans="13:14" x14ac:dyDescent="0.25">
      <c r="M802"/>
      <c r="N802"/>
    </row>
    <row r="803" spans="13:14" x14ac:dyDescent="0.25">
      <c r="M803"/>
      <c r="N803"/>
    </row>
    <row r="804" spans="13:14" x14ac:dyDescent="0.25">
      <c r="M804"/>
      <c r="N804"/>
    </row>
    <row r="805" spans="13:14" x14ac:dyDescent="0.25">
      <c r="M805"/>
      <c r="N805"/>
    </row>
    <row r="806" spans="13:14" x14ac:dyDescent="0.25">
      <c r="M806"/>
      <c r="N806"/>
    </row>
    <row r="807" spans="13:14" x14ac:dyDescent="0.25">
      <c r="M807"/>
      <c r="N807"/>
    </row>
    <row r="808" spans="13:14" x14ac:dyDescent="0.25">
      <c r="M808"/>
      <c r="N808"/>
    </row>
    <row r="809" spans="13:14" x14ac:dyDescent="0.25">
      <c r="M809"/>
      <c r="N809"/>
    </row>
    <row r="810" spans="13:14" x14ac:dyDescent="0.25">
      <c r="M810"/>
      <c r="N810"/>
    </row>
    <row r="811" spans="13:14" x14ac:dyDescent="0.25">
      <c r="M811"/>
      <c r="N811"/>
    </row>
    <row r="812" spans="13:14" x14ac:dyDescent="0.25">
      <c r="M812"/>
      <c r="N812"/>
    </row>
    <row r="813" spans="13:14" x14ac:dyDescent="0.25">
      <c r="M813"/>
      <c r="N813"/>
    </row>
    <row r="814" spans="13:14" x14ac:dyDescent="0.25">
      <c r="M814"/>
      <c r="N814"/>
    </row>
    <row r="815" spans="13:14" x14ac:dyDescent="0.25">
      <c r="M815"/>
      <c r="N815"/>
    </row>
    <row r="816" spans="13:14" x14ac:dyDescent="0.25">
      <c r="M816"/>
      <c r="N816"/>
    </row>
    <row r="817" spans="13:14" x14ac:dyDescent="0.25">
      <c r="M817"/>
      <c r="N817"/>
    </row>
    <row r="818" spans="13:14" x14ac:dyDescent="0.25">
      <c r="M818"/>
      <c r="N818"/>
    </row>
    <row r="819" spans="13:14" x14ac:dyDescent="0.25">
      <c r="M819"/>
      <c r="N819"/>
    </row>
    <row r="820" spans="13:14" x14ac:dyDescent="0.25">
      <c r="M820"/>
      <c r="N820"/>
    </row>
    <row r="821" spans="13:14" x14ac:dyDescent="0.25">
      <c r="M821"/>
      <c r="N821"/>
    </row>
    <row r="822" spans="13:14" x14ac:dyDescent="0.25">
      <c r="M822"/>
      <c r="N822"/>
    </row>
    <row r="823" spans="13:14" x14ac:dyDescent="0.25">
      <c r="M823"/>
      <c r="N823"/>
    </row>
    <row r="824" spans="13:14" x14ac:dyDescent="0.25">
      <c r="M824"/>
      <c r="N824"/>
    </row>
    <row r="825" spans="13:14" x14ac:dyDescent="0.25">
      <c r="M825"/>
      <c r="N825"/>
    </row>
    <row r="826" spans="13:14" x14ac:dyDescent="0.25">
      <c r="M826"/>
      <c r="N826"/>
    </row>
    <row r="827" spans="13:14" x14ac:dyDescent="0.25">
      <c r="M827"/>
      <c r="N827"/>
    </row>
    <row r="828" spans="13:14" x14ac:dyDescent="0.25">
      <c r="M828"/>
      <c r="N828"/>
    </row>
    <row r="829" spans="13:14" x14ac:dyDescent="0.25">
      <c r="M829"/>
      <c r="N829"/>
    </row>
    <row r="830" spans="13:14" x14ac:dyDescent="0.25">
      <c r="M830"/>
      <c r="N830"/>
    </row>
    <row r="831" spans="13:14" x14ac:dyDescent="0.25">
      <c r="M831"/>
      <c r="N831"/>
    </row>
    <row r="832" spans="13:14" x14ac:dyDescent="0.25">
      <c r="M832"/>
      <c r="N832"/>
    </row>
    <row r="833" spans="13:14" x14ac:dyDescent="0.25">
      <c r="M833"/>
      <c r="N833"/>
    </row>
    <row r="834" spans="13:14" x14ac:dyDescent="0.25">
      <c r="M834"/>
      <c r="N834"/>
    </row>
    <row r="835" spans="13:14" x14ac:dyDescent="0.25">
      <c r="M835"/>
      <c r="N835"/>
    </row>
    <row r="836" spans="13:14" x14ac:dyDescent="0.25">
      <c r="M836"/>
      <c r="N836"/>
    </row>
    <row r="837" spans="13:14" x14ac:dyDescent="0.25">
      <c r="M837"/>
      <c r="N837"/>
    </row>
    <row r="838" spans="13:14" x14ac:dyDescent="0.25">
      <c r="M838"/>
      <c r="N838"/>
    </row>
    <row r="839" spans="13:14" x14ac:dyDescent="0.25">
      <c r="M839"/>
      <c r="N839"/>
    </row>
    <row r="840" spans="13:14" x14ac:dyDescent="0.25">
      <c r="M840"/>
      <c r="N840"/>
    </row>
    <row r="841" spans="13:14" x14ac:dyDescent="0.25">
      <c r="M841"/>
      <c r="N841"/>
    </row>
    <row r="842" spans="13:14" x14ac:dyDescent="0.25">
      <c r="M842"/>
      <c r="N842"/>
    </row>
    <row r="843" spans="13:14" x14ac:dyDescent="0.25">
      <c r="M843"/>
      <c r="N843"/>
    </row>
    <row r="844" spans="13:14" x14ac:dyDescent="0.25">
      <c r="M844"/>
      <c r="N844"/>
    </row>
    <row r="845" spans="13:14" x14ac:dyDescent="0.25">
      <c r="M845"/>
      <c r="N845"/>
    </row>
    <row r="846" spans="13:14" x14ac:dyDescent="0.25">
      <c r="M846"/>
      <c r="N846"/>
    </row>
    <row r="847" spans="13:14" x14ac:dyDescent="0.25">
      <c r="M847"/>
      <c r="N847"/>
    </row>
    <row r="848" spans="13:14" x14ac:dyDescent="0.25">
      <c r="M848"/>
      <c r="N848"/>
    </row>
    <row r="849" spans="13:14" x14ac:dyDescent="0.25">
      <c r="M849"/>
      <c r="N849"/>
    </row>
    <row r="850" spans="13:14" x14ac:dyDescent="0.25">
      <c r="M850"/>
      <c r="N850"/>
    </row>
    <row r="851" spans="13:14" x14ac:dyDescent="0.25">
      <c r="M851"/>
      <c r="N851"/>
    </row>
    <row r="852" spans="13:14" x14ac:dyDescent="0.25">
      <c r="M852"/>
      <c r="N852"/>
    </row>
    <row r="853" spans="13:14" x14ac:dyDescent="0.25">
      <c r="M853"/>
      <c r="N853"/>
    </row>
    <row r="854" spans="13:14" x14ac:dyDescent="0.25">
      <c r="M854"/>
      <c r="N854"/>
    </row>
    <row r="855" spans="13:14" x14ac:dyDescent="0.25">
      <c r="M855"/>
      <c r="N855"/>
    </row>
    <row r="856" spans="13:14" x14ac:dyDescent="0.25">
      <c r="M856"/>
      <c r="N856"/>
    </row>
    <row r="857" spans="13:14" x14ac:dyDescent="0.25">
      <c r="M857"/>
      <c r="N857"/>
    </row>
    <row r="858" spans="13:14" x14ac:dyDescent="0.25">
      <c r="M858"/>
      <c r="N858"/>
    </row>
    <row r="859" spans="13:14" x14ac:dyDescent="0.25">
      <c r="M859"/>
      <c r="N859"/>
    </row>
    <row r="860" spans="13:14" x14ac:dyDescent="0.25">
      <c r="M860"/>
      <c r="N860"/>
    </row>
    <row r="861" spans="13:14" x14ac:dyDescent="0.25">
      <c r="M861"/>
      <c r="N861"/>
    </row>
    <row r="862" spans="13:14" x14ac:dyDescent="0.25">
      <c r="M862"/>
      <c r="N862"/>
    </row>
    <row r="863" spans="13:14" x14ac:dyDescent="0.25">
      <c r="M863"/>
      <c r="N863"/>
    </row>
    <row r="864" spans="13:14" x14ac:dyDescent="0.25">
      <c r="M864"/>
      <c r="N864"/>
    </row>
    <row r="865" spans="13:14" x14ac:dyDescent="0.25">
      <c r="M865"/>
      <c r="N865"/>
    </row>
    <row r="866" spans="13:14" x14ac:dyDescent="0.25">
      <c r="M866"/>
      <c r="N866"/>
    </row>
    <row r="867" spans="13:14" x14ac:dyDescent="0.25">
      <c r="M867"/>
      <c r="N867"/>
    </row>
    <row r="868" spans="13:14" x14ac:dyDescent="0.25">
      <c r="M868"/>
      <c r="N868"/>
    </row>
    <row r="869" spans="13:14" x14ac:dyDescent="0.25">
      <c r="M869"/>
      <c r="N869"/>
    </row>
    <row r="870" spans="13:14" x14ac:dyDescent="0.25">
      <c r="M870"/>
      <c r="N870"/>
    </row>
    <row r="871" spans="13:14" x14ac:dyDescent="0.25">
      <c r="M871"/>
      <c r="N871"/>
    </row>
    <row r="872" spans="13:14" x14ac:dyDescent="0.25">
      <c r="M872"/>
      <c r="N872"/>
    </row>
    <row r="873" spans="13:14" x14ac:dyDescent="0.25">
      <c r="M873"/>
      <c r="N873"/>
    </row>
    <row r="874" spans="13:14" x14ac:dyDescent="0.25">
      <c r="M874"/>
      <c r="N874"/>
    </row>
    <row r="875" spans="13:14" x14ac:dyDescent="0.25">
      <c r="M875"/>
      <c r="N875"/>
    </row>
    <row r="876" spans="13:14" x14ac:dyDescent="0.25">
      <c r="M876"/>
      <c r="N876"/>
    </row>
    <row r="877" spans="13:14" x14ac:dyDescent="0.25">
      <c r="M877"/>
      <c r="N877"/>
    </row>
    <row r="878" spans="13:14" x14ac:dyDescent="0.25">
      <c r="M878"/>
      <c r="N878"/>
    </row>
    <row r="879" spans="13:14" x14ac:dyDescent="0.25">
      <c r="M879"/>
      <c r="N879"/>
    </row>
    <row r="880" spans="13:14" x14ac:dyDescent="0.25">
      <c r="M880"/>
      <c r="N880"/>
    </row>
    <row r="881" spans="13:14" x14ac:dyDescent="0.25">
      <c r="M881"/>
      <c r="N881"/>
    </row>
    <row r="882" spans="13:14" x14ac:dyDescent="0.25">
      <c r="M882"/>
      <c r="N882"/>
    </row>
    <row r="883" spans="13:14" x14ac:dyDescent="0.25">
      <c r="M883"/>
      <c r="N883"/>
    </row>
    <row r="884" spans="13:14" x14ac:dyDescent="0.25">
      <c r="M884"/>
      <c r="N884"/>
    </row>
    <row r="885" spans="13:14" x14ac:dyDescent="0.25">
      <c r="M885"/>
      <c r="N885"/>
    </row>
    <row r="886" spans="13:14" x14ac:dyDescent="0.25">
      <c r="M886"/>
      <c r="N886"/>
    </row>
    <row r="887" spans="13:14" x14ac:dyDescent="0.25">
      <c r="M887"/>
      <c r="N887"/>
    </row>
    <row r="888" spans="13:14" x14ac:dyDescent="0.25">
      <c r="M888"/>
      <c r="N888"/>
    </row>
    <row r="889" spans="13:14" x14ac:dyDescent="0.25">
      <c r="M889"/>
      <c r="N889"/>
    </row>
    <row r="890" spans="13:14" x14ac:dyDescent="0.25">
      <c r="M890"/>
      <c r="N890"/>
    </row>
    <row r="891" spans="13:14" x14ac:dyDescent="0.25">
      <c r="M891"/>
      <c r="N891"/>
    </row>
    <row r="892" spans="13:14" x14ac:dyDescent="0.25">
      <c r="M892"/>
      <c r="N892"/>
    </row>
    <row r="893" spans="13:14" x14ac:dyDescent="0.25">
      <c r="M893"/>
      <c r="N893"/>
    </row>
    <row r="894" spans="13:14" x14ac:dyDescent="0.25">
      <c r="M894"/>
      <c r="N894"/>
    </row>
    <row r="895" spans="13:14" x14ac:dyDescent="0.25">
      <c r="M895"/>
      <c r="N895"/>
    </row>
    <row r="896" spans="13:14" x14ac:dyDescent="0.25">
      <c r="M896"/>
      <c r="N896"/>
    </row>
    <row r="897" spans="13:14" x14ac:dyDescent="0.25">
      <c r="M897"/>
      <c r="N897"/>
    </row>
    <row r="898" spans="13:14" x14ac:dyDescent="0.25">
      <c r="M898"/>
      <c r="N898"/>
    </row>
    <row r="899" spans="13:14" x14ac:dyDescent="0.25">
      <c r="M899"/>
      <c r="N899"/>
    </row>
    <row r="900" spans="13:14" x14ac:dyDescent="0.25">
      <c r="M900"/>
      <c r="N900"/>
    </row>
    <row r="901" spans="13:14" x14ac:dyDescent="0.25">
      <c r="M901"/>
      <c r="N901"/>
    </row>
    <row r="902" spans="13:14" x14ac:dyDescent="0.25">
      <c r="M902"/>
      <c r="N902"/>
    </row>
    <row r="903" spans="13:14" x14ac:dyDescent="0.25">
      <c r="M903"/>
      <c r="N903"/>
    </row>
    <row r="904" spans="13:14" x14ac:dyDescent="0.25">
      <c r="M904"/>
      <c r="N904"/>
    </row>
    <row r="905" spans="13:14" x14ac:dyDescent="0.25">
      <c r="M905"/>
      <c r="N905"/>
    </row>
    <row r="906" spans="13:14" x14ac:dyDescent="0.25">
      <c r="M906"/>
      <c r="N906"/>
    </row>
    <row r="907" spans="13:14" x14ac:dyDescent="0.25">
      <c r="M907"/>
      <c r="N907"/>
    </row>
    <row r="908" spans="13:14" x14ac:dyDescent="0.25">
      <c r="M908"/>
      <c r="N908"/>
    </row>
    <row r="909" spans="13:14" x14ac:dyDescent="0.25">
      <c r="M909"/>
      <c r="N909"/>
    </row>
    <row r="910" spans="13:14" x14ac:dyDescent="0.25">
      <c r="M910"/>
      <c r="N910"/>
    </row>
    <row r="911" spans="13:14" x14ac:dyDescent="0.25">
      <c r="M911"/>
      <c r="N911"/>
    </row>
    <row r="912" spans="13:14" x14ac:dyDescent="0.25">
      <c r="M912"/>
      <c r="N912"/>
    </row>
    <row r="913" spans="13:14" x14ac:dyDescent="0.25">
      <c r="M913"/>
      <c r="N913"/>
    </row>
    <row r="914" spans="13:14" x14ac:dyDescent="0.25">
      <c r="M914"/>
      <c r="N914"/>
    </row>
    <row r="915" spans="13:14" x14ac:dyDescent="0.25">
      <c r="M915"/>
      <c r="N915"/>
    </row>
    <row r="916" spans="13:14" x14ac:dyDescent="0.25">
      <c r="M916"/>
      <c r="N916"/>
    </row>
    <row r="917" spans="13:14" x14ac:dyDescent="0.25">
      <c r="M917"/>
      <c r="N917"/>
    </row>
    <row r="918" spans="13:14" x14ac:dyDescent="0.25">
      <c r="M918"/>
      <c r="N918"/>
    </row>
    <row r="919" spans="13:14" x14ac:dyDescent="0.25">
      <c r="M919"/>
      <c r="N919"/>
    </row>
    <row r="920" spans="13:14" x14ac:dyDescent="0.25">
      <c r="M920"/>
      <c r="N920"/>
    </row>
    <row r="921" spans="13:14" x14ac:dyDescent="0.25">
      <c r="M921"/>
      <c r="N921"/>
    </row>
    <row r="922" spans="13:14" x14ac:dyDescent="0.25">
      <c r="M922"/>
      <c r="N922"/>
    </row>
    <row r="923" spans="13:14" x14ac:dyDescent="0.25">
      <c r="M923"/>
      <c r="N923"/>
    </row>
    <row r="924" spans="13:14" x14ac:dyDescent="0.25">
      <c r="M924"/>
      <c r="N924"/>
    </row>
    <row r="925" spans="13:14" x14ac:dyDescent="0.25">
      <c r="M925"/>
      <c r="N925"/>
    </row>
    <row r="926" spans="13:14" x14ac:dyDescent="0.25">
      <c r="M926"/>
      <c r="N926"/>
    </row>
    <row r="927" spans="13:14" x14ac:dyDescent="0.25">
      <c r="M927"/>
      <c r="N927"/>
    </row>
    <row r="928" spans="13:14" x14ac:dyDescent="0.25">
      <c r="M928"/>
      <c r="N928"/>
    </row>
    <row r="929" spans="13:14" x14ac:dyDescent="0.25">
      <c r="M929"/>
      <c r="N929"/>
    </row>
    <row r="930" spans="13:14" x14ac:dyDescent="0.25">
      <c r="M930"/>
      <c r="N930"/>
    </row>
    <row r="931" spans="13:14" x14ac:dyDescent="0.25">
      <c r="M931"/>
      <c r="N931"/>
    </row>
    <row r="932" spans="13:14" x14ac:dyDescent="0.25">
      <c r="M932"/>
      <c r="N932"/>
    </row>
    <row r="933" spans="13:14" x14ac:dyDescent="0.25">
      <c r="M933"/>
      <c r="N933"/>
    </row>
    <row r="934" spans="13:14" x14ac:dyDescent="0.25">
      <c r="M934"/>
      <c r="N934"/>
    </row>
    <row r="935" spans="13:14" x14ac:dyDescent="0.25">
      <c r="M935"/>
      <c r="N935"/>
    </row>
    <row r="936" spans="13:14" x14ac:dyDescent="0.25">
      <c r="M936"/>
      <c r="N936"/>
    </row>
    <row r="937" spans="13:14" x14ac:dyDescent="0.25">
      <c r="M937"/>
      <c r="N937"/>
    </row>
    <row r="938" spans="13:14" x14ac:dyDescent="0.25">
      <c r="M938"/>
      <c r="N938"/>
    </row>
    <row r="939" spans="13:14" x14ac:dyDescent="0.25">
      <c r="M939"/>
      <c r="N939"/>
    </row>
    <row r="940" spans="13:14" x14ac:dyDescent="0.25">
      <c r="M940"/>
      <c r="N940"/>
    </row>
    <row r="941" spans="13:14" x14ac:dyDescent="0.25">
      <c r="M941"/>
      <c r="N941"/>
    </row>
    <row r="942" spans="13:14" x14ac:dyDescent="0.25">
      <c r="M942"/>
      <c r="N942"/>
    </row>
    <row r="943" spans="13:14" x14ac:dyDescent="0.25">
      <c r="M943"/>
      <c r="N943"/>
    </row>
    <row r="944" spans="13:14" x14ac:dyDescent="0.25">
      <c r="M944"/>
      <c r="N944"/>
    </row>
    <row r="945" spans="13:14" x14ac:dyDescent="0.25">
      <c r="M945"/>
      <c r="N945"/>
    </row>
    <row r="946" spans="13:14" x14ac:dyDescent="0.25">
      <c r="M946"/>
      <c r="N946"/>
    </row>
    <row r="947" spans="13:14" x14ac:dyDescent="0.25">
      <c r="M947"/>
      <c r="N947"/>
    </row>
    <row r="948" spans="13:14" x14ac:dyDescent="0.25">
      <c r="M948"/>
      <c r="N948"/>
    </row>
    <row r="949" spans="13:14" x14ac:dyDescent="0.25">
      <c r="M949"/>
      <c r="N949"/>
    </row>
    <row r="950" spans="13:14" x14ac:dyDescent="0.25">
      <c r="M950"/>
      <c r="N950"/>
    </row>
    <row r="951" spans="13:14" x14ac:dyDescent="0.25">
      <c r="M951"/>
      <c r="N951"/>
    </row>
    <row r="952" spans="13:14" x14ac:dyDescent="0.25">
      <c r="M952"/>
      <c r="N952"/>
    </row>
    <row r="953" spans="13:14" x14ac:dyDescent="0.25">
      <c r="M953"/>
      <c r="N953"/>
    </row>
    <row r="954" spans="13:14" x14ac:dyDescent="0.25">
      <c r="M954"/>
      <c r="N954"/>
    </row>
    <row r="955" spans="13:14" x14ac:dyDescent="0.25">
      <c r="M955"/>
      <c r="N955"/>
    </row>
    <row r="956" spans="13:14" x14ac:dyDescent="0.25">
      <c r="M956"/>
      <c r="N956"/>
    </row>
    <row r="957" spans="13:14" x14ac:dyDescent="0.25">
      <c r="M957"/>
      <c r="N957"/>
    </row>
    <row r="958" spans="13:14" x14ac:dyDescent="0.25">
      <c r="M958"/>
      <c r="N958"/>
    </row>
    <row r="959" spans="13:14" x14ac:dyDescent="0.25">
      <c r="M959"/>
      <c r="N959"/>
    </row>
    <row r="960" spans="13:14" x14ac:dyDescent="0.25">
      <c r="M960"/>
      <c r="N960"/>
    </row>
    <row r="961" spans="13:14" x14ac:dyDescent="0.25">
      <c r="M961"/>
      <c r="N961"/>
    </row>
    <row r="962" spans="13:14" x14ac:dyDescent="0.25">
      <c r="M962"/>
      <c r="N962"/>
    </row>
    <row r="963" spans="13:14" x14ac:dyDescent="0.25">
      <c r="M963"/>
      <c r="N963"/>
    </row>
    <row r="964" spans="13:14" x14ac:dyDescent="0.25">
      <c r="M964"/>
      <c r="N964"/>
    </row>
    <row r="965" spans="13:14" x14ac:dyDescent="0.25">
      <c r="M965"/>
      <c r="N965"/>
    </row>
    <row r="966" spans="13:14" x14ac:dyDescent="0.25">
      <c r="M966"/>
      <c r="N966"/>
    </row>
    <row r="967" spans="13:14" x14ac:dyDescent="0.25">
      <c r="M967"/>
      <c r="N967"/>
    </row>
    <row r="968" spans="13:14" x14ac:dyDescent="0.25">
      <c r="M968"/>
      <c r="N968"/>
    </row>
    <row r="969" spans="13:14" x14ac:dyDescent="0.25">
      <c r="M969"/>
      <c r="N969"/>
    </row>
    <row r="970" spans="13:14" x14ac:dyDescent="0.25">
      <c r="M970"/>
      <c r="N970"/>
    </row>
    <row r="971" spans="13:14" x14ac:dyDescent="0.25">
      <c r="M971"/>
      <c r="N971"/>
    </row>
    <row r="972" spans="13:14" x14ac:dyDescent="0.25">
      <c r="M972"/>
      <c r="N972"/>
    </row>
    <row r="973" spans="13:14" x14ac:dyDescent="0.25">
      <c r="M973"/>
      <c r="N973"/>
    </row>
    <row r="974" spans="13:14" x14ac:dyDescent="0.25">
      <c r="M974"/>
      <c r="N974"/>
    </row>
    <row r="975" spans="13:14" x14ac:dyDescent="0.25">
      <c r="M975"/>
      <c r="N975"/>
    </row>
    <row r="976" spans="13:14" x14ac:dyDescent="0.25">
      <c r="M976"/>
      <c r="N976"/>
    </row>
    <row r="977" spans="13:14" x14ac:dyDescent="0.25">
      <c r="M977"/>
      <c r="N977"/>
    </row>
    <row r="978" spans="13:14" x14ac:dyDescent="0.25">
      <c r="M978"/>
      <c r="N978"/>
    </row>
    <row r="979" spans="13:14" x14ac:dyDescent="0.25">
      <c r="M979"/>
      <c r="N979"/>
    </row>
    <row r="980" spans="13:14" x14ac:dyDescent="0.25">
      <c r="M980"/>
      <c r="N980"/>
    </row>
    <row r="981" spans="13:14" x14ac:dyDescent="0.25">
      <c r="M981"/>
      <c r="N981"/>
    </row>
    <row r="982" spans="13:14" x14ac:dyDescent="0.25">
      <c r="M982"/>
      <c r="N982"/>
    </row>
    <row r="983" spans="13:14" x14ac:dyDescent="0.25">
      <c r="M983"/>
      <c r="N983"/>
    </row>
    <row r="984" spans="13:14" x14ac:dyDescent="0.25">
      <c r="M984"/>
      <c r="N984"/>
    </row>
    <row r="985" spans="13:14" x14ac:dyDescent="0.25">
      <c r="M985"/>
      <c r="N985"/>
    </row>
    <row r="986" spans="13:14" x14ac:dyDescent="0.25">
      <c r="M986"/>
      <c r="N986"/>
    </row>
    <row r="987" spans="13:14" x14ac:dyDescent="0.25">
      <c r="M987"/>
      <c r="N987"/>
    </row>
    <row r="988" spans="13:14" x14ac:dyDescent="0.25">
      <c r="M988"/>
      <c r="N988"/>
    </row>
    <row r="989" spans="13:14" x14ac:dyDescent="0.25">
      <c r="M989"/>
      <c r="N989"/>
    </row>
    <row r="990" spans="13:14" x14ac:dyDescent="0.25">
      <c r="M990"/>
      <c r="N990"/>
    </row>
    <row r="991" spans="13:14" x14ac:dyDescent="0.25">
      <c r="M991"/>
      <c r="N991"/>
    </row>
    <row r="992" spans="13:14" x14ac:dyDescent="0.25">
      <c r="M992"/>
      <c r="N992"/>
    </row>
    <row r="993" spans="13:14" x14ac:dyDescent="0.25">
      <c r="M993"/>
      <c r="N993"/>
    </row>
    <row r="994" spans="13:14" x14ac:dyDescent="0.25">
      <c r="M994"/>
      <c r="N994"/>
    </row>
    <row r="995" spans="13:14" x14ac:dyDescent="0.25">
      <c r="M995"/>
      <c r="N995"/>
    </row>
    <row r="996" spans="13:14" x14ac:dyDescent="0.25">
      <c r="M996"/>
      <c r="N996"/>
    </row>
    <row r="997" spans="13:14" x14ac:dyDescent="0.25">
      <c r="M997"/>
      <c r="N997"/>
    </row>
    <row r="998" spans="13:14" x14ac:dyDescent="0.25">
      <c r="M998"/>
      <c r="N998"/>
    </row>
    <row r="999" spans="13:14" x14ac:dyDescent="0.25">
      <c r="M999"/>
      <c r="N999"/>
    </row>
  </sheetData>
  <sortState xmlns:xlrd2="http://schemas.microsoft.com/office/spreadsheetml/2017/richdata2" ref="B13:Q25">
    <sortCondition ref="I13:I25"/>
    <sortCondition ref="H13:H25"/>
    <sortCondition ref="J13:J25"/>
    <sortCondition ref="F13:F25"/>
  </sortState>
  <phoneticPr fontId="3" type="noConversion"/>
  <conditionalFormatting sqref="B8:P8 A9:P125">
    <cfRule type="expression" dxfId="1230" priority="1" stopIfTrue="1">
      <formula>MOD(ROW(),2)=0</formula>
    </cfRule>
    <cfRule type="expression" dxfId="1229"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J9:J125">
    <cfRule type="expression" dxfId="1228" priority="9" stopIfTrue="1">
      <formula>COUNTIF($J$8:$J$125,J9) &gt; 1</formula>
    </cfRule>
  </conditionalFormatting>
  <hyperlinks>
    <hyperlink ref="A8" r:id="rId1" display="../../../../../../../../../../../../:x:/r/sites/gad_wrkgrp_actuarial/saactuarialwork/Clients/Funded Pension Schemes/AWE/2026/Benefit Audit/Start Year/Checks/PC checks v0.1.xlsx?d=w1096a62db8f34ac4a3fc6d76c473b6ff&amp;csf=1&amp;web=1&amp;e=sZLRUV" xr:uid="{12978D74-30A9-4D2D-AA29-A95BFABDA498}"/>
  </hyperlinks>
  <pageMargins left="0.7" right="0.7" top="0.75" bottom="0.75" header="0.3" footer="0.3"/>
  <pageSetup paperSize="9" orientation="portrait" horizontalDpi="1200" verticalDpi="1200" r:id="rId2"/>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31"/>
  <dimension ref="A1:M72"/>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Scheme pays AA - x-610</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521</v>
      </c>
      <c r="C9" s="161"/>
      <c r="D9" s="161"/>
      <c r="E9" s="161"/>
      <c r="F9" s="161"/>
      <c r="G9" s="161"/>
      <c r="H9" s="161"/>
      <c r="I9" s="161"/>
      <c r="J9" s="161"/>
      <c r="K9" s="161"/>
      <c r="L9" s="161"/>
      <c r="M9" s="161"/>
    </row>
    <row r="10" spans="1:13" x14ac:dyDescent="0.25">
      <c r="A10" s="77" t="s">
        <v>6</v>
      </c>
      <c r="B10" s="161" t="s">
        <v>532</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529</v>
      </c>
      <c r="C12" s="161"/>
      <c r="D12" s="161"/>
      <c r="E12" s="161"/>
      <c r="F12" s="161"/>
      <c r="G12" s="161"/>
      <c r="H12" s="161"/>
      <c r="I12" s="161"/>
      <c r="J12" s="161"/>
      <c r="K12" s="161"/>
      <c r="L12" s="161"/>
      <c r="M12" s="161"/>
    </row>
    <row r="13" spans="1:13" x14ac:dyDescent="0.25">
      <c r="A13" s="77" t="s">
        <v>287</v>
      </c>
      <c r="B13" s="161">
        <v>0</v>
      </c>
      <c r="C13" s="161"/>
      <c r="D13" s="161"/>
      <c r="E13" s="161"/>
      <c r="F13" s="161"/>
      <c r="G13" s="161"/>
      <c r="H13" s="161"/>
      <c r="I13" s="161"/>
      <c r="J13" s="161"/>
      <c r="K13" s="161"/>
      <c r="L13" s="161"/>
      <c r="M13" s="161"/>
    </row>
    <row r="14" spans="1:13" x14ac:dyDescent="0.25">
      <c r="A14" s="77" t="s">
        <v>289</v>
      </c>
      <c r="B14" s="161">
        <v>610</v>
      </c>
      <c r="C14" s="161"/>
      <c r="D14" s="161"/>
      <c r="E14" s="161"/>
      <c r="F14" s="161"/>
      <c r="G14" s="161"/>
      <c r="H14" s="161"/>
      <c r="I14" s="161"/>
      <c r="J14" s="161"/>
      <c r="K14" s="161"/>
      <c r="L14" s="161"/>
      <c r="M14" s="161"/>
    </row>
    <row r="15" spans="1:13" x14ac:dyDescent="0.25">
      <c r="A15" s="77" t="s">
        <v>291</v>
      </c>
      <c r="B15" s="161" t="s">
        <v>533</v>
      </c>
      <c r="C15" s="161"/>
      <c r="D15" s="161"/>
      <c r="E15" s="161"/>
      <c r="F15" s="161"/>
      <c r="G15" s="161"/>
      <c r="H15" s="161"/>
      <c r="I15" s="161"/>
      <c r="J15" s="161"/>
      <c r="K15" s="161"/>
      <c r="L15" s="161"/>
      <c r="M15" s="161"/>
    </row>
    <row r="16" spans="1:13" x14ac:dyDescent="0.25">
      <c r="A16" s="77" t="s">
        <v>293</v>
      </c>
      <c r="B16" s="161" t="s">
        <v>534</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20</v>
      </c>
      <c r="B27" s="103">
        <v>0.16700000000000001</v>
      </c>
      <c r="C27" s="103">
        <v>0.16800000000000001</v>
      </c>
      <c r="D27" s="103">
        <v>0.16800000000000001</v>
      </c>
      <c r="E27" s="103">
        <v>0.16800000000000001</v>
      </c>
      <c r="F27" s="103">
        <v>0.16900000000000001</v>
      </c>
      <c r="G27" s="103">
        <v>0.16900000000000001</v>
      </c>
      <c r="H27" s="103">
        <v>0.17</v>
      </c>
      <c r="I27" s="103">
        <v>0.17</v>
      </c>
      <c r="J27" s="103">
        <v>0.17</v>
      </c>
      <c r="K27" s="103">
        <v>0.17100000000000001</v>
      </c>
      <c r="L27" s="103">
        <v>0.17100000000000001</v>
      </c>
      <c r="M27" s="103">
        <v>0.17199999999999999</v>
      </c>
    </row>
    <row r="28" spans="1:13" x14ac:dyDescent="0.25">
      <c r="A28" s="98">
        <v>21</v>
      </c>
      <c r="B28" s="103">
        <v>0.17199999999999999</v>
      </c>
      <c r="C28" s="103">
        <v>0.17199999999999999</v>
      </c>
      <c r="D28" s="103">
        <v>0.17299999999999999</v>
      </c>
      <c r="E28" s="103">
        <v>0.17299999999999999</v>
      </c>
      <c r="F28" s="103">
        <v>0.17399999999999999</v>
      </c>
      <c r="G28" s="103">
        <v>0.17399999999999999</v>
      </c>
      <c r="H28" s="103">
        <v>0.17399999999999999</v>
      </c>
      <c r="I28" s="103">
        <v>0.17499999999999999</v>
      </c>
      <c r="J28" s="103">
        <v>0.17499999999999999</v>
      </c>
      <c r="K28" s="103">
        <v>0.17599999999999999</v>
      </c>
      <c r="L28" s="103">
        <v>0.17599999999999999</v>
      </c>
      <c r="M28" s="103">
        <v>0.17599999999999999</v>
      </c>
    </row>
    <row r="29" spans="1:13" x14ac:dyDescent="0.25">
      <c r="A29" s="98">
        <v>22</v>
      </c>
      <c r="B29" s="103">
        <v>0.17699999999999999</v>
      </c>
      <c r="C29" s="103">
        <v>0.17699999999999999</v>
      </c>
      <c r="D29" s="103">
        <v>0.17799999999999999</v>
      </c>
      <c r="E29" s="103">
        <v>0.17799999999999999</v>
      </c>
      <c r="F29" s="103">
        <v>0.17899999999999999</v>
      </c>
      <c r="G29" s="103">
        <v>0.17899999999999999</v>
      </c>
      <c r="H29" s="103">
        <v>0.17899999999999999</v>
      </c>
      <c r="I29" s="103">
        <v>0.18</v>
      </c>
      <c r="J29" s="103">
        <v>0.18</v>
      </c>
      <c r="K29" s="103">
        <v>0.18099999999999999</v>
      </c>
      <c r="L29" s="103">
        <v>0.18099999999999999</v>
      </c>
      <c r="M29" s="103">
        <v>0.182</v>
      </c>
    </row>
    <row r="30" spans="1:13" x14ac:dyDescent="0.25">
      <c r="A30" s="98">
        <v>23</v>
      </c>
      <c r="B30" s="103">
        <v>0.182</v>
      </c>
      <c r="C30" s="103">
        <v>0.183</v>
      </c>
      <c r="D30" s="103">
        <v>0.183</v>
      </c>
      <c r="E30" s="103">
        <v>0.183</v>
      </c>
      <c r="F30" s="103">
        <v>0.184</v>
      </c>
      <c r="G30" s="103">
        <v>0.184</v>
      </c>
      <c r="H30" s="103">
        <v>0.185</v>
      </c>
      <c r="I30" s="103">
        <v>0.185</v>
      </c>
      <c r="J30" s="103">
        <v>0.186</v>
      </c>
      <c r="K30" s="103">
        <v>0.186</v>
      </c>
      <c r="L30" s="103">
        <v>0.187</v>
      </c>
      <c r="M30" s="103">
        <v>0.187</v>
      </c>
    </row>
    <row r="31" spans="1:13" x14ac:dyDescent="0.25">
      <c r="A31" s="98">
        <v>24</v>
      </c>
      <c r="B31" s="103">
        <v>0.187</v>
      </c>
      <c r="C31" s="103">
        <v>0.188</v>
      </c>
      <c r="D31" s="103">
        <v>0.188</v>
      </c>
      <c r="E31" s="103">
        <v>0.189</v>
      </c>
      <c r="F31" s="103">
        <v>0.189</v>
      </c>
      <c r="G31" s="103">
        <v>0.19</v>
      </c>
      <c r="H31" s="103">
        <v>0.19</v>
      </c>
      <c r="I31" s="103">
        <v>0.191</v>
      </c>
      <c r="J31" s="103">
        <v>0.191</v>
      </c>
      <c r="K31" s="103">
        <v>0.192</v>
      </c>
      <c r="L31" s="103">
        <v>0.192</v>
      </c>
      <c r="M31" s="103">
        <v>0.193</v>
      </c>
    </row>
    <row r="32" spans="1:13" x14ac:dyDescent="0.25">
      <c r="A32" s="98">
        <v>25</v>
      </c>
      <c r="B32" s="103">
        <v>0.193</v>
      </c>
      <c r="C32" s="103">
        <v>0.19400000000000001</v>
      </c>
      <c r="D32" s="103">
        <v>0.19400000000000001</v>
      </c>
      <c r="E32" s="103">
        <v>0.19500000000000001</v>
      </c>
      <c r="F32" s="103">
        <v>0.19500000000000001</v>
      </c>
      <c r="G32" s="103">
        <v>0.19600000000000001</v>
      </c>
      <c r="H32" s="103">
        <v>0.19600000000000001</v>
      </c>
      <c r="I32" s="103">
        <v>0.19600000000000001</v>
      </c>
      <c r="J32" s="103">
        <v>0.19700000000000001</v>
      </c>
      <c r="K32" s="103">
        <v>0.19700000000000001</v>
      </c>
      <c r="L32" s="103">
        <v>0.19800000000000001</v>
      </c>
      <c r="M32" s="103">
        <v>0.19800000000000001</v>
      </c>
    </row>
    <row r="33" spans="1:13" x14ac:dyDescent="0.25">
      <c r="A33" s="98">
        <v>26</v>
      </c>
      <c r="B33" s="103">
        <v>0.19900000000000001</v>
      </c>
      <c r="C33" s="103">
        <v>0.19900000000000001</v>
      </c>
      <c r="D33" s="103">
        <v>0.2</v>
      </c>
      <c r="E33" s="103">
        <v>0.2</v>
      </c>
      <c r="F33" s="103">
        <v>0.20100000000000001</v>
      </c>
      <c r="G33" s="103">
        <v>0.20100000000000001</v>
      </c>
      <c r="H33" s="103">
        <v>0.20200000000000001</v>
      </c>
      <c r="I33" s="103">
        <v>0.20200000000000001</v>
      </c>
      <c r="J33" s="103">
        <v>0.20300000000000001</v>
      </c>
      <c r="K33" s="103">
        <v>0.20300000000000001</v>
      </c>
      <c r="L33" s="103">
        <v>0.20399999999999999</v>
      </c>
      <c r="M33" s="103">
        <v>0.20499999999999999</v>
      </c>
    </row>
    <row r="34" spans="1:13" x14ac:dyDescent="0.25">
      <c r="A34" s="98">
        <v>27</v>
      </c>
      <c r="B34" s="103">
        <v>0.20499999999999999</v>
      </c>
      <c r="C34" s="103">
        <v>0.20599999999999999</v>
      </c>
      <c r="D34" s="103">
        <v>0.20599999999999999</v>
      </c>
      <c r="E34" s="103">
        <v>0.20699999999999999</v>
      </c>
      <c r="F34" s="103">
        <v>0.20699999999999999</v>
      </c>
      <c r="G34" s="103">
        <v>0.20799999999999999</v>
      </c>
      <c r="H34" s="103">
        <v>0.20799999999999999</v>
      </c>
      <c r="I34" s="103">
        <v>0.20899999999999999</v>
      </c>
      <c r="J34" s="103">
        <v>0.20899999999999999</v>
      </c>
      <c r="K34" s="103">
        <v>0.21</v>
      </c>
      <c r="L34" s="103">
        <v>0.21</v>
      </c>
      <c r="M34" s="103">
        <v>0.21099999999999999</v>
      </c>
    </row>
    <row r="35" spans="1:13" x14ac:dyDescent="0.25">
      <c r="A35" s="98">
        <v>28</v>
      </c>
      <c r="B35" s="103">
        <v>0.21099999999999999</v>
      </c>
      <c r="C35" s="103">
        <v>0.21199999999999999</v>
      </c>
      <c r="D35" s="103">
        <v>0.21299999999999999</v>
      </c>
      <c r="E35" s="103">
        <v>0.21299999999999999</v>
      </c>
      <c r="F35" s="103">
        <v>0.214</v>
      </c>
      <c r="G35" s="103">
        <v>0.214</v>
      </c>
      <c r="H35" s="103">
        <v>0.215</v>
      </c>
      <c r="I35" s="103">
        <v>0.215</v>
      </c>
      <c r="J35" s="103">
        <v>0.216</v>
      </c>
      <c r="K35" s="103">
        <v>0.216</v>
      </c>
      <c r="L35" s="103">
        <v>0.217</v>
      </c>
      <c r="M35" s="103">
        <v>0.218</v>
      </c>
    </row>
    <row r="36" spans="1:13" x14ac:dyDescent="0.25">
      <c r="A36" s="98">
        <v>29</v>
      </c>
      <c r="B36" s="103">
        <v>0.218</v>
      </c>
      <c r="C36" s="103">
        <v>0.219</v>
      </c>
      <c r="D36" s="103">
        <v>0.219</v>
      </c>
      <c r="E36" s="103">
        <v>0.22</v>
      </c>
      <c r="F36" s="103">
        <v>0.22</v>
      </c>
      <c r="G36" s="103">
        <v>0.221</v>
      </c>
      <c r="H36" s="103">
        <v>0.222</v>
      </c>
      <c r="I36" s="103">
        <v>0.222</v>
      </c>
      <c r="J36" s="103">
        <v>0.223</v>
      </c>
      <c r="K36" s="103">
        <v>0.223</v>
      </c>
      <c r="L36" s="103">
        <v>0.224</v>
      </c>
      <c r="M36" s="103">
        <v>0.224</v>
      </c>
    </row>
    <row r="37" spans="1:13" x14ac:dyDescent="0.25">
      <c r="A37" s="98">
        <v>30</v>
      </c>
      <c r="B37" s="103">
        <v>0.22500000000000001</v>
      </c>
      <c r="C37" s="103">
        <v>0.22600000000000001</v>
      </c>
      <c r="D37" s="103">
        <v>0.22600000000000001</v>
      </c>
      <c r="E37" s="103">
        <v>0.22700000000000001</v>
      </c>
      <c r="F37" s="103">
        <v>0.22700000000000001</v>
      </c>
      <c r="G37" s="103">
        <v>0.22800000000000001</v>
      </c>
      <c r="H37" s="103">
        <v>0.22900000000000001</v>
      </c>
      <c r="I37" s="103">
        <v>0.22900000000000001</v>
      </c>
      <c r="J37" s="103">
        <v>0.23</v>
      </c>
      <c r="K37" s="103">
        <v>0.23</v>
      </c>
      <c r="L37" s="103">
        <v>0.23100000000000001</v>
      </c>
      <c r="M37" s="103">
        <v>0.23200000000000001</v>
      </c>
    </row>
    <row r="38" spans="1:13" x14ac:dyDescent="0.25">
      <c r="A38" s="98">
        <v>31</v>
      </c>
      <c r="B38" s="103">
        <v>0.23200000000000001</v>
      </c>
      <c r="C38" s="103">
        <v>0.23300000000000001</v>
      </c>
      <c r="D38" s="103">
        <v>0.23400000000000001</v>
      </c>
      <c r="E38" s="103">
        <v>0.23400000000000001</v>
      </c>
      <c r="F38" s="103">
        <v>0.23499999999999999</v>
      </c>
      <c r="G38" s="103">
        <v>0.23499999999999999</v>
      </c>
      <c r="H38" s="103">
        <v>0.23599999999999999</v>
      </c>
      <c r="I38" s="103">
        <v>0.23699999999999999</v>
      </c>
      <c r="J38" s="103">
        <v>0.23699999999999999</v>
      </c>
      <c r="K38" s="103">
        <v>0.23799999999999999</v>
      </c>
      <c r="L38" s="103">
        <v>0.23899999999999999</v>
      </c>
      <c r="M38" s="103">
        <v>0.23899999999999999</v>
      </c>
    </row>
    <row r="39" spans="1:13" x14ac:dyDescent="0.25">
      <c r="A39" s="98">
        <v>32</v>
      </c>
      <c r="B39" s="103">
        <v>0.24</v>
      </c>
      <c r="C39" s="103">
        <v>0.24099999999999999</v>
      </c>
      <c r="D39" s="103">
        <v>0.24099999999999999</v>
      </c>
      <c r="E39" s="103">
        <v>0.24199999999999999</v>
      </c>
      <c r="F39" s="103">
        <v>0.24299999999999999</v>
      </c>
      <c r="G39" s="103">
        <v>0.24299999999999999</v>
      </c>
      <c r="H39" s="103">
        <v>0.24399999999999999</v>
      </c>
      <c r="I39" s="103">
        <v>0.245</v>
      </c>
      <c r="J39" s="103">
        <v>0.245</v>
      </c>
      <c r="K39" s="103">
        <v>0.246</v>
      </c>
      <c r="L39" s="103">
        <v>0.247</v>
      </c>
      <c r="M39" s="103">
        <v>0.247</v>
      </c>
    </row>
    <row r="40" spans="1:13" x14ac:dyDescent="0.25">
      <c r="A40" s="98">
        <v>33</v>
      </c>
      <c r="B40" s="103">
        <v>0.248</v>
      </c>
      <c r="C40" s="103">
        <v>0.249</v>
      </c>
      <c r="D40" s="103">
        <v>0.249</v>
      </c>
      <c r="E40" s="103">
        <v>0.25</v>
      </c>
      <c r="F40" s="103">
        <v>0.251</v>
      </c>
      <c r="G40" s="103">
        <v>0.251</v>
      </c>
      <c r="H40" s="103">
        <v>0.252</v>
      </c>
      <c r="I40" s="103">
        <v>0.253</v>
      </c>
      <c r="J40" s="103">
        <v>0.253</v>
      </c>
      <c r="K40" s="103">
        <v>0.254</v>
      </c>
      <c r="L40" s="103">
        <v>0.255</v>
      </c>
      <c r="M40" s="103">
        <v>0.25600000000000001</v>
      </c>
    </row>
    <row r="41" spans="1:13" x14ac:dyDescent="0.25">
      <c r="A41" s="98">
        <v>34</v>
      </c>
      <c r="B41" s="103">
        <v>0.25600000000000001</v>
      </c>
      <c r="C41" s="103">
        <v>0.25700000000000001</v>
      </c>
      <c r="D41" s="103">
        <v>0.25800000000000001</v>
      </c>
      <c r="E41" s="103">
        <v>0.25800000000000001</v>
      </c>
      <c r="F41" s="103">
        <v>0.25900000000000001</v>
      </c>
      <c r="G41" s="103">
        <v>0.26</v>
      </c>
      <c r="H41" s="103">
        <v>0.26100000000000001</v>
      </c>
      <c r="I41" s="103">
        <v>0.26100000000000001</v>
      </c>
      <c r="J41" s="103">
        <v>0.26200000000000001</v>
      </c>
      <c r="K41" s="103">
        <v>0.26300000000000001</v>
      </c>
      <c r="L41" s="103">
        <v>0.26300000000000001</v>
      </c>
      <c r="M41" s="103">
        <v>0.26400000000000001</v>
      </c>
    </row>
    <row r="42" spans="1:13" x14ac:dyDescent="0.25">
      <c r="A42" s="98">
        <v>35</v>
      </c>
      <c r="B42" s="103">
        <v>0.26500000000000001</v>
      </c>
      <c r="C42" s="103">
        <v>0.26600000000000001</v>
      </c>
      <c r="D42" s="103">
        <v>0.26600000000000001</v>
      </c>
      <c r="E42" s="103">
        <v>0.26700000000000002</v>
      </c>
      <c r="F42" s="103">
        <v>0.26800000000000002</v>
      </c>
      <c r="G42" s="103">
        <v>0.26900000000000002</v>
      </c>
      <c r="H42" s="103">
        <v>0.27</v>
      </c>
      <c r="I42" s="103">
        <v>0.27</v>
      </c>
      <c r="J42" s="103">
        <v>0.27100000000000002</v>
      </c>
      <c r="K42" s="103">
        <v>0.27200000000000002</v>
      </c>
      <c r="L42" s="103">
        <v>0.27300000000000002</v>
      </c>
      <c r="M42" s="103">
        <v>0.27300000000000002</v>
      </c>
    </row>
    <row r="43" spans="1:13" x14ac:dyDescent="0.25">
      <c r="A43" s="98">
        <v>36</v>
      </c>
      <c r="B43" s="103">
        <v>0.27400000000000002</v>
      </c>
      <c r="C43" s="103">
        <v>0.27500000000000002</v>
      </c>
      <c r="D43" s="103">
        <v>0.27600000000000002</v>
      </c>
      <c r="E43" s="103">
        <v>0.27700000000000002</v>
      </c>
      <c r="F43" s="103">
        <v>0.27700000000000002</v>
      </c>
      <c r="G43" s="103">
        <v>0.27800000000000002</v>
      </c>
      <c r="H43" s="103">
        <v>0.27900000000000003</v>
      </c>
      <c r="I43" s="103">
        <v>0.28000000000000003</v>
      </c>
      <c r="J43" s="103">
        <v>0.28000000000000003</v>
      </c>
      <c r="K43" s="103">
        <v>0.28100000000000003</v>
      </c>
      <c r="L43" s="103">
        <v>0.28199999999999997</v>
      </c>
      <c r="M43" s="103">
        <v>0.28299999999999997</v>
      </c>
    </row>
    <row r="44" spans="1:13" x14ac:dyDescent="0.25">
      <c r="A44" s="98">
        <v>37</v>
      </c>
      <c r="B44" s="103">
        <v>0.28399999999999997</v>
      </c>
      <c r="C44" s="103">
        <v>0.28499999999999998</v>
      </c>
      <c r="D44" s="103">
        <v>0.28499999999999998</v>
      </c>
      <c r="E44" s="103">
        <v>0.28599999999999998</v>
      </c>
      <c r="F44" s="103">
        <v>0.28699999999999998</v>
      </c>
      <c r="G44" s="103">
        <v>0.28799999999999998</v>
      </c>
      <c r="H44" s="103">
        <v>0.28899999999999998</v>
      </c>
      <c r="I44" s="103">
        <v>0.28999999999999998</v>
      </c>
      <c r="J44" s="103">
        <v>0.28999999999999998</v>
      </c>
      <c r="K44" s="103">
        <v>0.29099999999999998</v>
      </c>
      <c r="L44" s="103">
        <v>0.29199999999999998</v>
      </c>
      <c r="M44" s="103">
        <v>0.29299999999999998</v>
      </c>
    </row>
    <row r="45" spans="1:13" x14ac:dyDescent="0.25">
      <c r="A45" s="98">
        <v>38</v>
      </c>
      <c r="B45" s="103">
        <v>0.29399999999999998</v>
      </c>
      <c r="C45" s="103">
        <v>0.29499999999999998</v>
      </c>
      <c r="D45" s="103">
        <v>0.29599999999999999</v>
      </c>
      <c r="E45" s="103">
        <v>0.29599999999999999</v>
      </c>
      <c r="F45" s="103">
        <v>0.29699999999999999</v>
      </c>
      <c r="G45" s="103">
        <v>0.29799999999999999</v>
      </c>
      <c r="H45" s="103">
        <v>0.29899999999999999</v>
      </c>
      <c r="I45" s="103">
        <v>0.3</v>
      </c>
      <c r="J45" s="103">
        <v>0.30099999999999999</v>
      </c>
      <c r="K45" s="103">
        <v>0.30199999999999999</v>
      </c>
      <c r="L45" s="103">
        <v>0.30299999999999999</v>
      </c>
      <c r="M45" s="103">
        <v>0.30299999999999999</v>
      </c>
    </row>
    <row r="46" spans="1:13" x14ac:dyDescent="0.25">
      <c r="A46" s="98">
        <v>39</v>
      </c>
      <c r="B46" s="103">
        <v>0.30399999999999999</v>
      </c>
      <c r="C46" s="103">
        <v>0.30499999999999999</v>
      </c>
      <c r="D46" s="103">
        <v>0.30599999999999999</v>
      </c>
      <c r="E46" s="103">
        <v>0.307</v>
      </c>
      <c r="F46" s="103">
        <v>0.308</v>
      </c>
      <c r="G46" s="103">
        <v>0.309</v>
      </c>
      <c r="H46" s="103">
        <v>0.31</v>
      </c>
      <c r="I46" s="103">
        <v>0.311</v>
      </c>
      <c r="J46" s="103">
        <v>0.312</v>
      </c>
      <c r="K46" s="103">
        <v>0.313</v>
      </c>
      <c r="L46" s="103">
        <v>0.313</v>
      </c>
      <c r="M46" s="103">
        <v>0.314</v>
      </c>
    </row>
    <row r="47" spans="1:13" x14ac:dyDescent="0.25">
      <c r="A47" s="98">
        <v>40</v>
      </c>
      <c r="B47" s="103">
        <v>0.315</v>
      </c>
      <c r="C47" s="103">
        <v>0.316</v>
      </c>
      <c r="D47" s="103">
        <v>0.317</v>
      </c>
      <c r="E47" s="103">
        <v>0.318</v>
      </c>
      <c r="F47" s="103">
        <v>0.31900000000000001</v>
      </c>
      <c r="G47" s="103">
        <v>0.32</v>
      </c>
      <c r="H47" s="103">
        <v>0.32100000000000001</v>
      </c>
      <c r="I47" s="103">
        <v>0.32200000000000001</v>
      </c>
      <c r="J47" s="103">
        <v>0.32300000000000001</v>
      </c>
      <c r="K47" s="103">
        <v>0.32400000000000001</v>
      </c>
      <c r="L47" s="103">
        <v>0.32500000000000001</v>
      </c>
      <c r="M47" s="103">
        <v>0.32600000000000001</v>
      </c>
    </row>
    <row r="48" spans="1:13" x14ac:dyDescent="0.25">
      <c r="A48" s="98">
        <v>41</v>
      </c>
      <c r="B48" s="103">
        <v>0.32700000000000001</v>
      </c>
      <c r="C48" s="103">
        <v>0.32800000000000001</v>
      </c>
      <c r="D48" s="103">
        <v>0.32900000000000001</v>
      </c>
      <c r="E48" s="103">
        <v>0.33</v>
      </c>
      <c r="F48" s="103">
        <v>0.33100000000000002</v>
      </c>
      <c r="G48" s="103">
        <v>0.33200000000000002</v>
      </c>
      <c r="H48" s="103">
        <v>0.33300000000000002</v>
      </c>
      <c r="I48" s="103">
        <v>0.33400000000000002</v>
      </c>
      <c r="J48" s="103">
        <v>0.33500000000000002</v>
      </c>
      <c r="K48" s="103">
        <v>0.33600000000000002</v>
      </c>
      <c r="L48" s="103">
        <v>0.33700000000000002</v>
      </c>
      <c r="M48" s="103">
        <v>0.33800000000000002</v>
      </c>
    </row>
    <row r="49" spans="1:13" x14ac:dyDescent="0.25">
      <c r="A49" s="98">
        <v>42</v>
      </c>
      <c r="B49" s="103">
        <v>0.33900000000000002</v>
      </c>
      <c r="C49" s="103">
        <v>0.34</v>
      </c>
      <c r="D49" s="103">
        <v>0.34100000000000003</v>
      </c>
      <c r="E49" s="103">
        <v>0.34200000000000003</v>
      </c>
      <c r="F49" s="103">
        <v>0.34300000000000003</v>
      </c>
      <c r="G49" s="103">
        <v>0.34499999999999997</v>
      </c>
      <c r="H49" s="103">
        <v>0.34599999999999997</v>
      </c>
      <c r="I49" s="103">
        <v>0.34699999999999998</v>
      </c>
      <c r="J49" s="103">
        <v>0.34799999999999998</v>
      </c>
      <c r="K49" s="103">
        <v>0.34899999999999998</v>
      </c>
      <c r="L49" s="103">
        <v>0.35</v>
      </c>
      <c r="M49" s="103">
        <v>0.35099999999999998</v>
      </c>
    </row>
    <row r="50" spans="1:13" x14ac:dyDescent="0.25">
      <c r="A50" s="98">
        <v>43</v>
      </c>
      <c r="B50" s="103">
        <v>0.35199999999999998</v>
      </c>
      <c r="C50" s="103">
        <v>0.35299999999999998</v>
      </c>
      <c r="D50" s="103">
        <v>0.35399999999999998</v>
      </c>
      <c r="E50" s="103">
        <v>0.35499999999999998</v>
      </c>
      <c r="F50" s="103">
        <v>0.35699999999999998</v>
      </c>
      <c r="G50" s="103">
        <v>0.35799999999999998</v>
      </c>
      <c r="H50" s="103">
        <v>0.35899999999999999</v>
      </c>
      <c r="I50" s="103">
        <v>0.36</v>
      </c>
      <c r="J50" s="103">
        <v>0.36099999999999999</v>
      </c>
      <c r="K50" s="103">
        <v>0.36199999999999999</v>
      </c>
      <c r="L50" s="103">
        <v>0.36299999999999999</v>
      </c>
      <c r="M50" s="103">
        <v>0.36399999999999999</v>
      </c>
    </row>
    <row r="51" spans="1:13" x14ac:dyDescent="0.25">
      <c r="A51" s="98">
        <v>44</v>
      </c>
      <c r="B51" s="103">
        <v>0.36599999999999999</v>
      </c>
      <c r="C51" s="103">
        <v>0.36699999999999999</v>
      </c>
      <c r="D51" s="103">
        <v>0.36799999999999999</v>
      </c>
      <c r="E51" s="103">
        <v>0.36899999999999999</v>
      </c>
      <c r="F51" s="103">
        <v>0.37</v>
      </c>
      <c r="G51" s="103">
        <v>0.372</v>
      </c>
      <c r="H51" s="103">
        <v>0.373</v>
      </c>
      <c r="I51" s="103">
        <v>0.374</v>
      </c>
      <c r="J51" s="103">
        <v>0.375</v>
      </c>
      <c r="K51" s="103">
        <v>0.376</v>
      </c>
      <c r="L51" s="103">
        <v>0.377</v>
      </c>
      <c r="M51" s="103">
        <v>0.379</v>
      </c>
    </row>
    <row r="52" spans="1:13" x14ac:dyDescent="0.25">
      <c r="A52" s="98">
        <v>45</v>
      </c>
      <c r="B52" s="103">
        <v>0.38</v>
      </c>
      <c r="C52" s="103">
        <v>0.38100000000000001</v>
      </c>
      <c r="D52" s="103">
        <v>0.38200000000000001</v>
      </c>
      <c r="E52" s="103">
        <v>0.38400000000000001</v>
      </c>
      <c r="F52" s="103">
        <v>0.38500000000000001</v>
      </c>
      <c r="G52" s="103">
        <v>0.38600000000000001</v>
      </c>
      <c r="H52" s="103">
        <v>0.38700000000000001</v>
      </c>
      <c r="I52" s="103">
        <v>0.38900000000000001</v>
      </c>
      <c r="J52" s="103">
        <v>0.39</v>
      </c>
      <c r="K52" s="103">
        <v>0.39100000000000001</v>
      </c>
      <c r="L52" s="103">
        <v>0.39200000000000002</v>
      </c>
      <c r="M52" s="103">
        <v>0.39400000000000002</v>
      </c>
    </row>
    <row r="53" spans="1:13" x14ac:dyDescent="0.25">
      <c r="A53" s="98">
        <v>46</v>
      </c>
      <c r="B53" s="103">
        <v>0.39500000000000002</v>
      </c>
      <c r="C53" s="103">
        <v>0.39600000000000002</v>
      </c>
      <c r="D53" s="103">
        <v>0.39800000000000002</v>
      </c>
      <c r="E53" s="103">
        <v>0.39900000000000002</v>
      </c>
      <c r="F53" s="103">
        <v>0.4</v>
      </c>
      <c r="G53" s="103">
        <v>0.40200000000000002</v>
      </c>
      <c r="H53" s="103">
        <v>0.40300000000000002</v>
      </c>
      <c r="I53" s="103">
        <v>0.40400000000000003</v>
      </c>
      <c r="J53" s="103">
        <v>0.40600000000000003</v>
      </c>
      <c r="K53" s="103">
        <v>0.40699999999999997</v>
      </c>
      <c r="L53" s="103">
        <v>0.40799999999999997</v>
      </c>
      <c r="M53" s="103">
        <v>0.41</v>
      </c>
    </row>
    <row r="54" spans="1:13" x14ac:dyDescent="0.25">
      <c r="A54" s="98">
        <v>47</v>
      </c>
      <c r="B54" s="103">
        <v>0.41099999999999998</v>
      </c>
      <c r="C54" s="103">
        <v>0.41199999999999998</v>
      </c>
      <c r="D54" s="103">
        <v>0.41399999999999998</v>
      </c>
      <c r="E54" s="103">
        <v>0.41499999999999998</v>
      </c>
      <c r="F54" s="103">
        <v>0.41699999999999998</v>
      </c>
      <c r="G54" s="103">
        <v>0.41799999999999998</v>
      </c>
      <c r="H54" s="103">
        <v>0.41899999999999998</v>
      </c>
      <c r="I54" s="103">
        <v>0.42099999999999999</v>
      </c>
      <c r="J54" s="103">
        <v>0.42199999999999999</v>
      </c>
      <c r="K54" s="103">
        <v>0.42399999999999999</v>
      </c>
      <c r="L54" s="103">
        <v>0.42499999999999999</v>
      </c>
      <c r="M54" s="103">
        <v>0.42599999999999999</v>
      </c>
    </row>
    <row r="55" spans="1:13" x14ac:dyDescent="0.25">
      <c r="A55" s="98">
        <v>48</v>
      </c>
      <c r="B55" s="103">
        <v>0.42799999999999999</v>
      </c>
      <c r="C55" s="103">
        <v>0.42899999999999999</v>
      </c>
      <c r="D55" s="103">
        <v>0.43099999999999999</v>
      </c>
      <c r="E55" s="103">
        <v>0.432</v>
      </c>
      <c r="F55" s="103">
        <v>0.434</v>
      </c>
      <c r="G55" s="103">
        <v>0.435</v>
      </c>
      <c r="H55" s="103">
        <v>0.437</v>
      </c>
      <c r="I55" s="103">
        <v>0.438</v>
      </c>
      <c r="J55" s="103">
        <v>0.44</v>
      </c>
      <c r="K55" s="103">
        <v>0.441</v>
      </c>
      <c r="L55" s="103">
        <v>0.443</v>
      </c>
      <c r="M55" s="103">
        <v>0.44400000000000001</v>
      </c>
    </row>
    <row r="56" spans="1:13" x14ac:dyDescent="0.25">
      <c r="A56" s="98">
        <v>49</v>
      </c>
      <c r="B56" s="103">
        <v>0.44600000000000001</v>
      </c>
      <c r="C56" s="103">
        <v>0.44800000000000001</v>
      </c>
      <c r="D56" s="103">
        <v>0.44900000000000001</v>
      </c>
      <c r="E56" s="103">
        <v>0.45100000000000001</v>
      </c>
      <c r="F56" s="103">
        <v>0.45200000000000001</v>
      </c>
      <c r="G56" s="103">
        <v>0.45400000000000001</v>
      </c>
      <c r="H56" s="103">
        <v>0.45500000000000002</v>
      </c>
      <c r="I56" s="103">
        <v>0.45700000000000002</v>
      </c>
      <c r="J56" s="103">
        <v>0.45900000000000002</v>
      </c>
      <c r="K56" s="103">
        <v>0.46</v>
      </c>
      <c r="L56" s="103">
        <v>0.46200000000000002</v>
      </c>
      <c r="M56" s="103">
        <v>0.46300000000000002</v>
      </c>
    </row>
    <row r="57" spans="1:13" x14ac:dyDescent="0.25">
      <c r="A57" s="98">
        <v>50</v>
      </c>
      <c r="B57" s="103">
        <v>0.46500000000000002</v>
      </c>
      <c r="C57" s="103">
        <v>0.46700000000000003</v>
      </c>
      <c r="D57" s="103">
        <v>0.46800000000000003</v>
      </c>
      <c r="E57" s="103">
        <v>0.47</v>
      </c>
      <c r="F57" s="103">
        <v>0.47199999999999998</v>
      </c>
      <c r="G57" s="103">
        <v>0.47299999999999998</v>
      </c>
      <c r="H57" s="103">
        <v>0.47499999999999998</v>
      </c>
      <c r="I57" s="103">
        <v>0.47699999999999998</v>
      </c>
      <c r="J57" s="103">
        <v>0.47899999999999998</v>
      </c>
      <c r="K57" s="103">
        <v>0.48</v>
      </c>
      <c r="L57" s="103">
        <v>0.48199999999999998</v>
      </c>
      <c r="M57" s="103">
        <v>0.48399999999999999</v>
      </c>
    </row>
    <row r="58" spans="1:13" x14ac:dyDescent="0.25">
      <c r="A58" s="98">
        <v>51</v>
      </c>
      <c r="B58" s="103">
        <v>0.48499999999999999</v>
      </c>
      <c r="C58" s="103">
        <v>0.48699999999999999</v>
      </c>
      <c r="D58" s="103">
        <v>0.48899999999999999</v>
      </c>
      <c r="E58" s="103">
        <v>0.49099999999999999</v>
      </c>
      <c r="F58" s="103">
        <v>0.49299999999999999</v>
      </c>
      <c r="G58" s="103">
        <v>0.49399999999999999</v>
      </c>
      <c r="H58" s="103">
        <v>0.496</v>
      </c>
      <c r="I58" s="103">
        <v>0.498</v>
      </c>
      <c r="J58" s="103">
        <v>0.5</v>
      </c>
      <c r="K58" s="103">
        <v>0.502</v>
      </c>
      <c r="L58" s="103">
        <v>0.503</v>
      </c>
      <c r="M58" s="103">
        <v>0.505</v>
      </c>
    </row>
    <row r="59" spans="1:13" x14ac:dyDescent="0.25">
      <c r="A59" s="98">
        <v>52</v>
      </c>
      <c r="B59" s="103">
        <v>0.50700000000000001</v>
      </c>
      <c r="C59" s="103">
        <v>0.50900000000000001</v>
      </c>
      <c r="D59" s="103">
        <v>0.51100000000000001</v>
      </c>
      <c r="E59" s="103">
        <v>0.51300000000000001</v>
      </c>
      <c r="F59" s="103">
        <v>0.51500000000000001</v>
      </c>
      <c r="G59" s="103">
        <v>0.51700000000000002</v>
      </c>
      <c r="H59" s="103">
        <v>0.51800000000000002</v>
      </c>
      <c r="I59" s="103">
        <v>0.52</v>
      </c>
      <c r="J59" s="103">
        <v>0.52200000000000002</v>
      </c>
      <c r="K59" s="103">
        <v>0.52400000000000002</v>
      </c>
      <c r="L59" s="103">
        <v>0.52600000000000002</v>
      </c>
      <c r="M59" s="103">
        <v>0.52800000000000002</v>
      </c>
    </row>
    <row r="60" spans="1:13" x14ac:dyDescent="0.25">
      <c r="A60" s="98">
        <v>53</v>
      </c>
      <c r="B60" s="103">
        <v>0.53</v>
      </c>
      <c r="C60" s="103">
        <v>0.53200000000000003</v>
      </c>
      <c r="D60" s="103">
        <v>0.53400000000000003</v>
      </c>
      <c r="E60" s="103">
        <v>0.53600000000000003</v>
      </c>
      <c r="F60" s="103">
        <v>0.53800000000000003</v>
      </c>
      <c r="G60" s="103">
        <v>0.54</v>
      </c>
      <c r="H60" s="103">
        <v>0.54200000000000004</v>
      </c>
      <c r="I60" s="103">
        <v>0.54400000000000004</v>
      </c>
      <c r="J60" s="103">
        <v>0.54600000000000004</v>
      </c>
      <c r="K60" s="103">
        <v>0.54900000000000004</v>
      </c>
      <c r="L60" s="103">
        <v>0.55100000000000005</v>
      </c>
      <c r="M60" s="103">
        <v>0.55300000000000005</v>
      </c>
    </row>
    <row r="61" spans="1:13" x14ac:dyDescent="0.25">
      <c r="A61" s="98">
        <v>54</v>
      </c>
      <c r="B61" s="103">
        <v>0.55500000000000005</v>
      </c>
      <c r="C61" s="103">
        <v>0.55700000000000005</v>
      </c>
      <c r="D61" s="103">
        <v>0.55900000000000005</v>
      </c>
      <c r="E61" s="103">
        <v>0.56100000000000005</v>
      </c>
      <c r="F61" s="103">
        <v>0.56399999999999995</v>
      </c>
      <c r="G61" s="103">
        <v>0.56599999999999995</v>
      </c>
      <c r="H61" s="103">
        <v>0.56799999999999995</v>
      </c>
      <c r="I61" s="103">
        <v>0.56999999999999995</v>
      </c>
      <c r="J61" s="103">
        <v>0.57199999999999995</v>
      </c>
      <c r="K61" s="103">
        <v>0.57499999999999996</v>
      </c>
      <c r="L61" s="103">
        <v>0.57699999999999996</v>
      </c>
      <c r="M61" s="103">
        <v>0.57899999999999996</v>
      </c>
    </row>
    <row r="62" spans="1:13" x14ac:dyDescent="0.25">
      <c r="A62" s="98">
        <v>55</v>
      </c>
      <c r="B62" s="103">
        <v>0.58099999999999996</v>
      </c>
      <c r="C62" s="103">
        <v>0.58399999999999996</v>
      </c>
      <c r="D62" s="103">
        <v>0.58599999999999997</v>
      </c>
      <c r="E62" s="103">
        <v>0.58799999999999997</v>
      </c>
      <c r="F62" s="103">
        <v>0.59099999999999997</v>
      </c>
      <c r="G62" s="103">
        <v>0.59299999999999997</v>
      </c>
      <c r="H62" s="103">
        <v>0.59499999999999997</v>
      </c>
      <c r="I62" s="103">
        <v>0.59799999999999998</v>
      </c>
      <c r="J62" s="103">
        <v>0.6</v>
      </c>
      <c r="K62" s="103">
        <v>0.60299999999999998</v>
      </c>
      <c r="L62" s="103">
        <v>0.60499999999999998</v>
      </c>
      <c r="M62" s="103">
        <v>0.60699999999999998</v>
      </c>
    </row>
    <row r="63" spans="1:13" x14ac:dyDescent="0.25">
      <c r="A63" s="98">
        <v>56</v>
      </c>
      <c r="B63" s="103">
        <v>0.61</v>
      </c>
      <c r="C63" s="103">
        <v>0.61199999999999999</v>
      </c>
      <c r="D63" s="103">
        <v>0.61499999999999999</v>
      </c>
      <c r="E63" s="103">
        <v>0.61699999999999999</v>
      </c>
      <c r="F63" s="103">
        <v>0.62</v>
      </c>
      <c r="G63" s="103">
        <v>0.622</v>
      </c>
      <c r="H63" s="103">
        <v>0.625</v>
      </c>
      <c r="I63" s="103">
        <v>0.628</v>
      </c>
      <c r="J63" s="103">
        <v>0.63</v>
      </c>
      <c r="K63" s="103">
        <v>0.63300000000000001</v>
      </c>
      <c r="L63" s="103">
        <v>0.63500000000000001</v>
      </c>
      <c r="M63" s="103">
        <v>0.63800000000000001</v>
      </c>
    </row>
    <row r="64" spans="1:13" x14ac:dyDescent="0.25">
      <c r="A64" s="98">
        <v>57</v>
      </c>
      <c r="B64" s="103">
        <v>0.64</v>
      </c>
      <c r="C64" s="103">
        <v>0.64300000000000002</v>
      </c>
      <c r="D64" s="103">
        <v>0.64600000000000002</v>
      </c>
      <c r="E64" s="103">
        <v>0.64900000000000002</v>
      </c>
      <c r="F64" s="103">
        <v>0.65100000000000002</v>
      </c>
      <c r="G64" s="103">
        <v>0.65400000000000003</v>
      </c>
      <c r="H64" s="103">
        <v>0.65700000000000003</v>
      </c>
      <c r="I64" s="103">
        <v>0.66</v>
      </c>
      <c r="J64" s="103">
        <v>0.66200000000000003</v>
      </c>
      <c r="K64" s="103">
        <v>0.66500000000000004</v>
      </c>
      <c r="L64" s="103">
        <v>0.66800000000000004</v>
      </c>
      <c r="M64" s="103">
        <v>0.67100000000000004</v>
      </c>
    </row>
    <row r="65" spans="1:13" x14ac:dyDescent="0.25">
      <c r="A65" s="98">
        <v>58</v>
      </c>
      <c r="B65" s="103">
        <v>0.67300000000000004</v>
      </c>
      <c r="C65" s="103">
        <v>0.67600000000000005</v>
      </c>
      <c r="D65" s="103">
        <v>0.67900000000000005</v>
      </c>
      <c r="E65" s="103">
        <v>0.68200000000000005</v>
      </c>
      <c r="F65" s="103">
        <v>0.68500000000000005</v>
      </c>
      <c r="G65" s="103">
        <v>0.68799999999999994</v>
      </c>
      <c r="H65" s="103">
        <v>0.69099999999999995</v>
      </c>
      <c r="I65" s="103">
        <v>0.69399999999999995</v>
      </c>
      <c r="J65" s="103">
        <v>0.69699999999999995</v>
      </c>
      <c r="K65" s="103">
        <v>0.7</v>
      </c>
      <c r="L65" s="103">
        <v>0.70299999999999996</v>
      </c>
      <c r="M65" s="103">
        <v>0.70599999999999996</v>
      </c>
    </row>
    <row r="66" spans="1:13" x14ac:dyDescent="0.25">
      <c r="A66" s="98">
        <v>59</v>
      </c>
      <c r="B66" s="103">
        <v>0.70899999999999996</v>
      </c>
      <c r="C66" s="103">
        <v>0.71199999999999997</v>
      </c>
      <c r="D66" s="103">
        <v>0.71599999999999997</v>
      </c>
      <c r="E66" s="103">
        <v>0.71899999999999997</v>
      </c>
      <c r="F66" s="103">
        <v>0.72199999999999998</v>
      </c>
      <c r="G66" s="103">
        <v>0.72499999999999998</v>
      </c>
      <c r="H66" s="103">
        <v>0.72799999999999998</v>
      </c>
      <c r="I66" s="103">
        <v>0.73199999999999998</v>
      </c>
      <c r="J66" s="103">
        <v>0.73499999999999999</v>
      </c>
      <c r="K66" s="103">
        <v>0.73799999999999999</v>
      </c>
      <c r="L66" s="103">
        <v>0.74099999999999999</v>
      </c>
      <c r="M66" s="103">
        <v>0.745</v>
      </c>
    </row>
    <row r="67" spans="1:13" x14ac:dyDescent="0.25">
      <c r="A67" s="98">
        <v>60</v>
      </c>
      <c r="B67" s="103">
        <v>0.748</v>
      </c>
      <c r="C67" s="103">
        <v>0.751</v>
      </c>
      <c r="D67" s="103">
        <v>0.755</v>
      </c>
      <c r="E67" s="103">
        <v>0.75800000000000001</v>
      </c>
      <c r="F67" s="103">
        <v>0.76200000000000001</v>
      </c>
      <c r="G67" s="103">
        <v>0.76500000000000001</v>
      </c>
      <c r="H67" s="103">
        <v>0.76900000000000002</v>
      </c>
      <c r="I67" s="103">
        <v>0.77200000000000002</v>
      </c>
      <c r="J67" s="103">
        <v>0.77600000000000002</v>
      </c>
      <c r="K67" s="103">
        <v>0.77900000000000003</v>
      </c>
      <c r="L67" s="103">
        <v>0.78300000000000003</v>
      </c>
      <c r="M67" s="103">
        <v>0.78600000000000003</v>
      </c>
    </row>
    <row r="68" spans="1:13" x14ac:dyDescent="0.25">
      <c r="A68" s="98">
        <v>61</v>
      </c>
      <c r="B68" s="103">
        <v>0.79</v>
      </c>
      <c r="C68" s="103">
        <v>0.79400000000000004</v>
      </c>
      <c r="D68" s="103">
        <v>0.79800000000000004</v>
      </c>
      <c r="E68" s="103">
        <v>0.80200000000000005</v>
      </c>
      <c r="F68" s="103">
        <v>0.80500000000000005</v>
      </c>
      <c r="G68" s="103">
        <v>0.80900000000000005</v>
      </c>
      <c r="H68" s="103">
        <v>0.81299999999999994</v>
      </c>
      <c r="I68" s="103">
        <v>0.81699999999999995</v>
      </c>
      <c r="J68" s="103">
        <v>0.82099999999999995</v>
      </c>
      <c r="K68" s="103">
        <v>0.82499999999999996</v>
      </c>
      <c r="L68" s="103">
        <v>0.82799999999999996</v>
      </c>
      <c r="M68" s="103">
        <v>0.83199999999999996</v>
      </c>
    </row>
    <row r="69" spans="1:13" x14ac:dyDescent="0.25">
      <c r="A69" s="98">
        <v>62</v>
      </c>
      <c r="B69" s="103">
        <v>0.83599999999999997</v>
      </c>
      <c r="C69" s="103">
        <v>0.84</v>
      </c>
      <c r="D69" s="103">
        <v>0.84499999999999997</v>
      </c>
      <c r="E69" s="103">
        <v>0.84899999999999998</v>
      </c>
      <c r="F69" s="103">
        <v>0.85299999999999998</v>
      </c>
      <c r="G69" s="103">
        <v>0.85699999999999998</v>
      </c>
      <c r="H69" s="103">
        <v>0.86099999999999999</v>
      </c>
      <c r="I69" s="103">
        <v>0.86499999999999999</v>
      </c>
      <c r="J69" s="103">
        <v>0.87</v>
      </c>
      <c r="K69" s="103">
        <v>0.874</v>
      </c>
      <c r="L69" s="103">
        <v>0.878</v>
      </c>
      <c r="M69" s="103">
        <v>0.88200000000000001</v>
      </c>
    </row>
    <row r="70" spans="1:13" x14ac:dyDescent="0.25">
      <c r="A70" s="98">
        <v>63</v>
      </c>
      <c r="B70" s="103">
        <v>0.88700000000000001</v>
      </c>
      <c r="C70" s="103">
        <v>0.89100000000000001</v>
      </c>
      <c r="D70" s="103">
        <v>0.89600000000000002</v>
      </c>
      <c r="E70" s="103">
        <v>0.9</v>
      </c>
      <c r="F70" s="103">
        <v>0.90500000000000003</v>
      </c>
      <c r="G70" s="103">
        <v>0.90900000000000003</v>
      </c>
      <c r="H70" s="103">
        <v>0.91400000000000003</v>
      </c>
      <c r="I70" s="103">
        <v>0.91900000000000004</v>
      </c>
      <c r="J70" s="103">
        <v>0.92300000000000004</v>
      </c>
      <c r="K70" s="103">
        <v>0.92800000000000005</v>
      </c>
      <c r="L70" s="103">
        <v>0.93200000000000005</v>
      </c>
      <c r="M70" s="103">
        <v>0.93700000000000006</v>
      </c>
    </row>
    <row r="71" spans="1:13" x14ac:dyDescent="0.25">
      <c r="A71" s="98">
        <v>64</v>
      </c>
      <c r="B71" s="103">
        <v>0.94199999999999995</v>
      </c>
      <c r="C71" s="103">
        <v>0.94699999999999995</v>
      </c>
      <c r="D71" s="103">
        <v>0.95199999999999996</v>
      </c>
      <c r="E71" s="103">
        <v>0.95699999999999996</v>
      </c>
      <c r="F71" s="103">
        <v>0.96199999999999997</v>
      </c>
      <c r="G71" s="103">
        <v>0.96699999999999997</v>
      </c>
      <c r="H71" s="103">
        <v>0.97199999999999998</v>
      </c>
      <c r="I71" s="103">
        <v>0.97699999999999998</v>
      </c>
      <c r="J71" s="103">
        <v>0.98199999999999998</v>
      </c>
      <c r="K71" s="103">
        <v>0.98699999999999999</v>
      </c>
      <c r="L71" s="103">
        <v>0.99199999999999999</v>
      </c>
      <c r="M71" s="103">
        <v>0.997</v>
      </c>
    </row>
    <row r="72" spans="1:13" x14ac:dyDescent="0.25">
      <c r="A72" s="98">
        <v>65</v>
      </c>
      <c r="B72" s="103">
        <v>1</v>
      </c>
      <c r="C72" s="103"/>
      <c r="D72" s="103"/>
      <c r="E72" s="103"/>
      <c r="F72" s="103"/>
      <c r="G72" s="103"/>
      <c r="H72" s="103"/>
      <c r="I72" s="103"/>
      <c r="J72" s="103"/>
      <c r="K72" s="103"/>
      <c r="L72" s="103"/>
      <c r="M72" s="103"/>
    </row>
  </sheetData>
  <sheetProtection algorithmName="SHA-512" hashValue="rhEEtU/mPmHtBdKoJG5oVrJ6ELtESZq1UHcewpa/gQmrTeuCQvZEuv5ZgviuuDb+Q/zWJB16SZW06FColzFA/A==" saltValue="ZhxZki+r/c9WEC+oH/EDdw==" spinCount="100000" sheet="1" objects="1" scenarios="1"/>
  <conditionalFormatting sqref="A6:A21">
    <cfRule type="expression" dxfId="531" priority="11" stopIfTrue="1">
      <formula>MOD(ROW(),2)=0</formula>
    </cfRule>
    <cfRule type="expression" dxfId="530" priority="12" stopIfTrue="1">
      <formula>MOD(ROW(),2)&lt;&gt;0</formula>
    </cfRule>
  </conditionalFormatting>
  <conditionalFormatting sqref="A26:A72">
    <cfRule type="expression" dxfId="529" priority="3" stopIfTrue="1">
      <formula>MOD(ROW(),2)=0</formula>
    </cfRule>
    <cfRule type="expression" dxfId="528" priority="4" stopIfTrue="1">
      <formula>MOD(ROW(),2)&lt;&gt;0</formula>
    </cfRule>
  </conditionalFormatting>
  <conditionalFormatting sqref="B16:B21">
    <cfRule type="expression" dxfId="527" priority="1" stopIfTrue="1">
      <formula>MOD(ROW(),2)=0</formula>
    </cfRule>
    <cfRule type="expression" dxfId="526" priority="2" stopIfTrue="1">
      <formula>MOD(ROW(),2)&lt;&gt;0</formula>
    </cfRule>
  </conditionalFormatting>
  <conditionalFormatting sqref="B6:M6 C7:M7 B8:M15 C16:M21">
    <cfRule type="expression" dxfId="525" priority="23" stopIfTrue="1">
      <formula>MOD(ROW(),2)=0</formula>
    </cfRule>
    <cfRule type="expression" dxfId="524" priority="24" stopIfTrue="1">
      <formula>MOD(ROW(),2)&lt;&gt;0</formula>
    </cfRule>
  </conditionalFormatting>
  <conditionalFormatting sqref="B6:M21">
    <cfRule type="expression" dxfId="523" priority="15" stopIfTrue="1">
      <formula>MOD(ROW(),2)=0</formula>
    </cfRule>
    <cfRule type="expression" dxfId="522" priority="16" stopIfTrue="1">
      <formula>MOD(ROW(),2)&lt;&gt;0</formula>
    </cfRule>
  </conditionalFormatting>
  <conditionalFormatting sqref="B26:M72">
    <cfRule type="expression" dxfId="521" priority="5" stopIfTrue="1">
      <formula>MOD(ROW(),2)=0</formula>
    </cfRule>
    <cfRule type="expression" dxfId="520" priority="6" stopIfTrue="1">
      <formula>MOD(ROW(),2)&lt;&gt;0</formula>
    </cfRule>
  </conditionalFormatting>
  <hyperlinks>
    <hyperlink ref="B24" location="Assumptions!A1" display="Assumptions" xr:uid="{5A91DC3A-9F80-445D-9464-7B94FCCF2B2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32"/>
  <dimension ref="A1:I81"/>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Scheme pays AA - x-611</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73</v>
      </c>
    </row>
    <row r="9" spans="1:9" x14ac:dyDescent="0.25">
      <c r="A9" s="77" t="s">
        <v>280</v>
      </c>
      <c r="B9" s="161" t="s">
        <v>521</v>
      </c>
    </row>
    <row r="10" spans="1:9" x14ac:dyDescent="0.25">
      <c r="A10" s="77" t="s">
        <v>6</v>
      </c>
      <c r="B10" s="161" t="s">
        <v>525</v>
      </c>
    </row>
    <row r="11" spans="1:9" x14ac:dyDescent="0.25">
      <c r="A11" s="77" t="s">
        <v>283</v>
      </c>
      <c r="B11" s="161" t="s">
        <v>355</v>
      </c>
    </row>
    <row r="12" spans="1:9" x14ac:dyDescent="0.25">
      <c r="A12" s="77" t="s">
        <v>285</v>
      </c>
      <c r="B12" s="161" t="s">
        <v>361</v>
      </c>
    </row>
    <row r="13" spans="1:9" x14ac:dyDescent="0.25">
      <c r="A13" s="77" t="s">
        <v>287</v>
      </c>
      <c r="B13" s="161">
        <v>0</v>
      </c>
    </row>
    <row r="14" spans="1:9" x14ac:dyDescent="0.25">
      <c r="A14" s="77" t="s">
        <v>289</v>
      </c>
      <c r="B14" s="161">
        <v>611</v>
      </c>
    </row>
    <row r="15" spans="1:9" x14ac:dyDescent="0.25">
      <c r="A15" s="77" t="s">
        <v>291</v>
      </c>
      <c r="B15" s="161" t="s">
        <v>535</v>
      </c>
    </row>
    <row r="16" spans="1:9" x14ac:dyDescent="0.25">
      <c r="A16" s="77" t="s">
        <v>293</v>
      </c>
      <c r="B16" s="161" t="s">
        <v>527</v>
      </c>
    </row>
    <row r="17" spans="1:2" x14ac:dyDescent="0.25">
      <c r="A17" s="74" t="s">
        <v>760</v>
      </c>
      <c r="B17" s="161"/>
    </row>
    <row r="18" spans="1:2" x14ac:dyDescent="0.25">
      <c r="A18" s="77" t="s">
        <v>297</v>
      </c>
      <c r="B18" s="163">
        <v>45138</v>
      </c>
    </row>
    <row r="19" spans="1:2" x14ac:dyDescent="0.25">
      <c r="A19" s="77" t="s">
        <v>299</v>
      </c>
      <c r="B19" s="163">
        <v>45138</v>
      </c>
    </row>
    <row r="20" spans="1:2" x14ac:dyDescent="0.25">
      <c r="A20" s="77" t="s">
        <v>301</v>
      </c>
      <c r="B20" s="161" t="s">
        <v>314</v>
      </c>
    </row>
    <row r="21" spans="1:2" x14ac:dyDescent="0.25">
      <c r="A21" s="77" t="s">
        <v>307</v>
      </c>
      <c r="B21" s="161" t="s">
        <v>315</v>
      </c>
    </row>
    <row r="23" spans="1:2" x14ac:dyDescent="0.25">
      <c r="B23" s="100" t="str">
        <f>HYPERLINK("#'Factor List'!A1","Back to Factor List")</f>
        <v>Back to Factor List</v>
      </c>
    </row>
    <row r="24" spans="1:2" x14ac:dyDescent="0.25">
      <c r="B24" s="100" t="s">
        <v>13</v>
      </c>
    </row>
    <row r="26" spans="1:2" ht="39" x14ac:dyDescent="0.25">
      <c r="A26" s="97" t="s">
        <v>417</v>
      </c>
      <c r="B26" s="97" t="s">
        <v>812</v>
      </c>
    </row>
    <row r="27" spans="1:2" x14ac:dyDescent="0.25">
      <c r="A27" s="98">
        <v>20</v>
      </c>
      <c r="B27" s="99">
        <v>9.56</v>
      </c>
    </row>
    <row r="28" spans="1:2" x14ac:dyDescent="0.25">
      <c r="A28" s="98">
        <v>21</v>
      </c>
      <c r="B28" s="99">
        <v>9.6999999999999993</v>
      </c>
    </row>
    <row r="29" spans="1:2" x14ac:dyDescent="0.25">
      <c r="A29" s="98">
        <v>22</v>
      </c>
      <c r="B29" s="99">
        <v>9.84</v>
      </c>
    </row>
    <row r="30" spans="1:2" x14ac:dyDescent="0.25">
      <c r="A30" s="98">
        <v>23</v>
      </c>
      <c r="B30" s="99">
        <v>9.99</v>
      </c>
    </row>
    <row r="31" spans="1:2" x14ac:dyDescent="0.25">
      <c r="A31" s="98">
        <v>24</v>
      </c>
      <c r="B31" s="99">
        <v>10.130000000000001</v>
      </c>
    </row>
    <row r="32" spans="1:2" x14ac:dyDescent="0.25">
      <c r="A32" s="98">
        <v>25</v>
      </c>
      <c r="B32" s="99">
        <v>10.28</v>
      </c>
    </row>
    <row r="33" spans="1:2" x14ac:dyDescent="0.25">
      <c r="A33" s="98">
        <v>26</v>
      </c>
      <c r="B33" s="99">
        <v>10.43</v>
      </c>
    </row>
    <row r="34" spans="1:2" x14ac:dyDescent="0.25">
      <c r="A34" s="98">
        <v>27</v>
      </c>
      <c r="B34" s="99">
        <v>10.58</v>
      </c>
    </row>
    <row r="35" spans="1:2" x14ac:dyDescent="0.25">
      <c r="A35" s="98">
        <v>28</v>
      </c>
      <c r="B35" s="99">
        <v>10.73</v>
      </c>
    </row>
    <row r="36" spans="1:2" x14ac:dyDescent="0.25">
      <c r="A36" s="98">
        <v>29</v>
      </c>
      <c r="B36" s="99">
        <v>10.89</v>
      </c>
    </row>
    <row r="37" spans="1:2" x14ac:dyDescent="0.25">
      <c r="A37" s="98">
        <v>30</v>
      </c>
      <c r="B37" s="99">
        <v>11.04</v>
      </c>
    </row>
    <row r="38" spans="1:2" x14ac:dyDescent="0.25">
      <c r="A38" s="98">
        <v>31</v>
      </c>
      <c r="B38" s="99">
        <v>11.2</v>
      </c>
    </row>
    <row r="39" spans="1:2" x14ac:dyDescent="0.25">
      <c r="A39" s="98">
        <v>32</v>
      </c>
      <c r="B39" s="99">
        <v>11.37</v>
      </c>
    </row>
    <row r="40" spans="1:2" x14ac:dyDescent="0.25">
      <c r="A40" s="98">
        <v>33</v>
      </c>
      <c r="B40" s="99">
        <v>11.53</v>
      </c>
    </row>
    <row r="41" spans="1:2" x14ac:dyDescent="0.25">
      <c r="A41" s="98">
        <v>34</v>
      </c>
      <c r="B41" s="99">
        <v>11.7</v>
      </c>
    </row>
    <row r="42" spans="1:2" x14ac:dyDescent="0.25">
      <c r="A42" s="98">
        <v>35</v>
      </c>
      <c r="B42" s="99">
        <v>11.87</v>
      </c>
    </row>
    <row r="43" spans="1:2" x14ac:dyDescent="0.25">
      <c r="A43" s="98">
        <v>36</v>
      </c>
      <c r="B43" s="99">
        <v>12.04</v>
      </c>
    </row>
    <row r="44" spans="1:2" x14ac:dyDescent="0.25">
      <c r="A44" s="98">
        <v>37</v>
      </c>
      <c r="B44" s="99">
        <v>12.22</v>
      </c>
    </row>
    <row r="45" spans="1:2" x14ac:dyDescent="0.25">
      <c r="A45" s="98">
        <v>38</v>
      </c>
      <c r="B45" s="99">
        <v>12.4</v>
      </c>
    </row>
    <row r="46" spans="1:2" x14ac:dyDescent="0.25">
      <c r="A46" s="98">
        <v>39</v>
      </c>
      <c r="B46" s="99">
        <v>12.58</v>
      </c>
    </row>
    <row r="47" spans="1:2" x14ac:dyDescent="0.25">
      <c r="A47" s="98">
        <v>40</v>
      </c>
      <c r="B47" s="99">
        <v>12.76</v>
      </c>
    </row>
    <row r="48" spans="1:2" x14ac:dyDescent="0.25">
      <c r="A48" s="98">
        <v>41</v>
      </c>
      <c r="B48" s="99">
        <v>12.95</v>
      </c>
    </row>
    <row r="49" spans="1:2" x14ac:dyDescent="0.25">
      <c r="A49" s="98">
        <v>42</v>
      </c>
      <c r="B49" s="99">
        <v>13.14</v>
      </c>
    </row>
    <row r="50" spans="1:2" x14ac:dyDescent="0.25">
      <c r="A50" s="98">
        <v>43</v>
      </c>
      <c r="B50" s="99">
        <v>13.34</v>
      </c>
    </row>
    <row r="51" spans="1:2" x14ac:dyDescent="0.25">
      <c r="A51" s="98">
        <v>44</v>
      </c>
      <c r="B51" s="99">
        <v>13.53</v>
      </c>
    </row>
    <row r="52" spans="1:2" x14ac:dyDescent="0.25">
      <c r="A52" s="98">
        <v>45</v>
      </c>
      <c r="B52" s="99">
        <v>13.74</v>
      </c>
    </row>
    <row r="53" spans="1:2" x14ac:dyDescent="0.25">
      <c r="A53" s="98">
        <v>46</v>
      </c>
      <c r="B53" s="99">
        <v>13.94</v>
      </c>
    </row>
    <row r="54" spans="1:2" x14ac:dyDescent="0.25">
      <c r="A54" s="98">
        <v>47</v>
      </c>
      <c r="B54" s="99">
        <v>14.15</v>
      </c>
    </row>
    <row r="55" spans="1:2" x14ac:dyDescent="0.25">
      <c r="A55" s="98">
        <v>48</v>
      </c>
      <c r="B55" s="99">
        <v>14.36</v>
      </c>
    </row>
    <row r="56" spans="1:2" x14ac:dyDescent="0.25">
      <c r="A56" s="98">
        <v>49</v>
      </c>
      <c r="B56" s="99">
        <v>14.58</v>
      </c>
    </row>
    <row r="57" spans="1:2" x14ac:dyDescent="0.25">
      <c r="A57" s="98">
        <v>50</v>
      </c>
      <c r="B57" s="99">
        <v>14.81</v>
      </c>
    </row>
    <row r="58" spans="1:2" x14ac:dyDescent="0.25">
      <c r="A58" s="98">
        <v>51</v>
      </c>
      <c r="B58" s="99">
        <v>15.03</v>
      </c>
    </row>
    <row r="59" spans="1:2" x14ac:dyDescent="0.25">
      <c r="A59" s="98">
        <v>52</v>
      </c>
      <c r="B59" s="99">
        <v>15.27</v>
      </c>
    </row>
    <row r="60" spans="1:2" x14ac:dyDescent="0.25">
      <c r="A60" s="98">
        <v>53</v>
      </c>
      <c r="B60" s="99">
        <v>15.5</v>
      </c>
    </row>
    <row r="61" spans="1:2" x14ac:dyDescent="0.25">
      <c r="A61" s="98">
        <v>54</v>
      </c>
      <c r="B61" s="99">
        <v>15.75</v>
      </c>
    </row>
    <row r="62" spans="1:2" x14ac:dyDescent="0.25">
      <c r="A62" s="98">
        <v>55</v>
      </c>
      <c r="B62" s="99">
        <v>16</v>
      </c>
    </row>
    <row r="63" spans="1:2" x14ac:dyDescent="0.25">
      <c r="A63" s="98">
        <v>56</v>
      </c>
      <c r="B63" s="99">
        <v>16.25</v>
      </c>
    </row>
    <row r="64" spans="1:2" x14ac:dyDescent="0.25">
      <c r="A64" s="98">
        <v>57</v>
      </c>
      <c r="B64" s="99">
        <v>16.52</v>
      </c>
    </row>
    <row r="65" spans="1:2" x14ac:dyDescent="0.25">
      <c r="A65" s="98">
        <v>58</v>
      </c>
      <c r="B65" s="99">
        <v>16.79</v>
      </c>
    </row>
    <row r="66" spans="1:2" x14ac:dyDescent="0.25">
      <c r="A66" s="98">
        <v>59</v>
      </c>
      <c r="B66" s="99">
        <v>17.07</v>
      </c>
    </row>
    <row r="67" spans="1:2" x14ac:dyDescent="0.25">
      <c r="A67" s="98">
        <v>60</v>
      </c>
      <c r="B67" s="99">
        <v>17.37</v>
      </c>
    </row>
    <row r="68" spans="1:2" x14ac:dyDescent="0.25">
      <c r="A68" s="98">
        <v>61</v>
      </c>
      <c r="B68" s="99">
        <v>17.670000000000002</v>
      </c>
    </row>
    <row r="69" spans="1:2" x14ac:dyDescent="0.25">
      <c r="A69" s="98">
        <v>62</v>
      </c>
      <c r="B69" s="99">
        <v>17.989999999999998</v>
      </c>
    </row>
    <row r="70" spans="1:2" x14ac:dyDescent="0.25">
      <c r="A70" s="98">
        <v>63</v>
      </c>
      <c r="B70" s="99">
        <v>18.309999999999999</v>
      </c>
    </row>
    <row r="71" spans="1:2" x14ac:dyDescent="0.25">
      <c r="A71" s="98">
        <v>64</v>
      </c>
      <c r="B71" s="99">
        <v>18.66</v>
      </c>
    </row>
    <row r="72" spans="1:2" x14ac:dyDescent="0.25">
      <c r="A72" s="98">
        <v>65</v>
      </c>
      <c r="B72" s="99">
        <v>18.5</v>
      </c>
    </row>
    <row r="73" spans="1:2" x14ac:dyDescent="0.25">
      <c r="A73" s="98">
        <v>66</v>
      </c>
      <c r="B73" s="99">
        <v>17.84</v>
      </c>
    </row>
    <row r="74" spans="1:2" x14ac:dyDescent="0.25">
      <c r="A74" s="98">
        <v>67</v>
      </c>
      <c r="B74" s="99">
        <v>17.170000000000002</v>
      </c>
    </row>
    <row r="75" spans="1:2" x14ac:dyDescent="0.25">
      <c r="A75" s="98">
        <v>68</v>
      </c>
      <c r="B75" s="99">
        <v>16.510000000000002</v>
      </c>
    </row>
    <row r="76" spans="1:2" x14ac:dyDescent="0.25">
      <c r="A76" s="98">
        <v>69</v>
      </c>
      <c r="B76" s="99">
        <v>15.85</v>
      </c>
    </row>
    <row r="77" spans="1:2" x14ac:dyDescent="0.25">
      <c r="A77" s="98">
        <v>70</v>
      </c>
      <c r="B77" s="99">
        <v>15.19</v>
      </c>
    </row>
    <row r="78" spans="1:2" x14ac:dyDescent="0.25">
      <c r="A78" s="98">
        <v>71</v>
      </c>
      <c r="B78" s="99">
        <v>14.53</v>
      </c>
    </row>
    <row r="79" spans="1:2" x14ac:dyDescent="0.25">
      <c r="A79" s="98">
        <v>72</v>
      </c>
      <c r="B79" s="99">
        <v>13.87</v>
      </c>
    </row>
    <row r="80" spans="1:2" x14ac:dyDescent="0.25">
      <c r="A80" s="98">
        <v>73</v>
      </c>
      <c r="B80" s="99">
        <v>13.22</v>
      </c>
    </row>
    <row r="81" spans="1:2" x14ac:dyDescent="0.25">
      <c r="A81" s="98">
        <v>74</v>
      </c>
      <c r="B81" s="99">
        <v>12.57</v>
      </c>
    </row>
  </sheetData>
  <sheetProtection algorithmName="SHA-512" hashValue="3+lRMk3Ony/HcRuDD88mOVa+GdTxINvxWmaR+CLKgqcx0YHi784RLfyVmb9JiFxoyEtfd44JIogrSqsMfvhlAw==" saltValue="kGZgKrzISDME8EdzwzlF/Q==" spinCount="100000" sheet="1" objects="1" scenarios="1"/>
  <conditionalFormatting sqref="A6:A21">
    <cfRule type="expression" dxfId="519" priority="11" stopIfTrue="1">
      <formula>MOD(ROW(),2)=0</formula>
    </cfRule>
    <cfRule type="expression" dxfId="518" priority="12" stopIfTrue="1">
      <formula>MOD(ROW(),2)&lt;&gt;0</formula>
    </cfRule>
  </conditionalFormatting>
  <conditionalFormatting sqref="A26:A81">
    <cfRule type="expression" dxfId="517" priority="3" stopIfTrue="1">
      <formula>MOD(ROW(),2)=0</formula>
    </cfRule>
    <cfRule type="expression" dxfId="516" priority="4" stopIfTrue="1">
      <formula>MOD(ROW(),2)&lt;&gt;0</formula>
    </cfRule>
  </conditionalFormatting>
  <conditionalFormatting sqref="B6 B8:B15">
    <cfRule type="expression" dxfId="515" priority="23" stopIfTrue="1">
      <formula>MOD(ROW(),2)=0</formula>
    </cfRule>
    <cfRule type="expression" dxfId="514" priority="24" stopIfTrue="1">
      <formula>MOD(ROW(),2)&lt;&gt;0</formula>
    </cfRule>
  </conditionalFormatting>
  <conditionalFormatting sqref="B6:B21">
    <cfRule type="expression" dxfId="513" priority="15" stopIfTrue="1">
      <formula>MOD(ROW(),2)=0</formula>
    </cfRule>
    <cfRule type="expression" dxfId="512" priority="16" stopIfTrue="1">
      <formula>MOD(ROW(),2)&lt;&gt;0</formula>
    </cfRule>
  </conditionalFormatting>
  <conditionalFormatting sqref="B16:B21">
    <cfRule type="expression" dxfId="511" priority="1" stopIfTrue="1">
      <formula>MOD(ROW(),2)=0</formula>
    </cfRule>
    <cfRule type="expression" dxfId="510" priority="2" stopIfTrue="1">
      <formula>MOD(ROW(),2)&lt;&gt;0</formula>
    </cfRule>
  </conditionalFormatting>
  <conditionalFormatting sqref="B26:B81">
    <cfRule type="expression" dxfId="509" priority="5" stopIfTrue="1">
      <formula>MOD(ROW(),2)=0</formula>
    </cfRule>
    <cfRule type="expression" dxfId="508" priority="6" stopIfTrue="1">
      <formula>MOD(ROW(),2)&lt;&gt;0</formula>
    </cfRule>
  </conditionalFormatting>
  <hyperlinks>
    <hyperlink ref="B24" location="Assumptions!A1" display="Assumptions" xr:uid="{1B6A7F3B-9C17-4054-A16A-E74AFE21E16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133"/>
  <dimension ref="A1:I81"/>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Scheme pays AA - x-612</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73</v>
      </c>
    </row>
    <row r="9" spans="1:9" x14ac:dyDescent="0.25">
      <c r="A9" s="77" t="s">
        <v>280</v>
      </c>
      <c r="B9" s="161" t="s">
        <v>521</v>
      </c>
    </row>
    <row r="10" spans="1:9" x14ac:dyDescent="0.25">
      <c r="A10" s="77" t="s">
        <v>6</v>
      </c>
      <c r="B10" s="161" t="s">
        <v>536</v>
      </c>
    </row>
    <row r="11" spans="1:9" x14ac:dyDescent="0.25">
      <c r="A11" s="77" t="s">
        <v>283</v>
      </c>
      <c r="B11" s="161" t="s">
        <v>355</v>
      </c>
    </row>
    <row r="12" spans="1:9" x14ac:dyDescent="0.25">
      <c r="A12" s="77" t="s">
        <v>285</v>
      </c>
      <c r="B12" s="161" t="s">
        <v>361</v>
      </c>
    </row>
    <row r="13" spans="1:9" x14ac:dyDescent="0.25">
      <c r="A13" s="77" t="s">
        <v>287</v>
      </c>
      <c r="B13" s="161">
        <v>0</v>
      </c>
    </row>
    <row r="14" spans="1:9" x14ac:dyDescent="0.25">
      <c r="A14" s="77" t="s">
        <v>289</v>
      </c>
      <c r="B14" s="161">
        <v>612</v>
      </c>
    </row>
    <row r="15" spans="1:9" x14ac:dyDescent="0.25">
      <c r="A15" s="77" t="s">
        <v>291</v>
      </c>
      <c r="B15" s="161" t="s">
        <v>537</v>
      </c>
    </row>
    <row r="16" spans="1:9" x14ac:dyDescent="0.25">
      <c r="A16" s="77" t="s">
        <v>293</v>
      </c>
      <c r="B16" s="161" t="s">
        <v>538</v>
      </c>
    </row>
    <row r="17" spans="1:2" x14ac:dyDescent="0.25">
      <c r="A17" s="74" t="s">
        <v>760</v>
      </c>
      <c r="B17" s="161"/>
    </row>
    <row r="18" spans="1:2" x14ac:dyDescent="0.25">
      <c r="A18" s="77" t="s">
        <v>297</v>
      </c>
      <c r="B18" s="163">
        <v>45138</v>
      </c>
    </row>
    <row r="19" spans="1:2" x14ac:dyDescent="0.25">
      <c r="A19" s="77" t="s">
        <v>299</v>
      </c>
      <c r="B19" s="163">
        <v>45138</v>
      </c>
    </row>
    <row r="20" spans="1:2" x14ac:dyDescent="0.25">
      <c r="A20" s="77" t="s">
        <v>301</v>
      </c>
      <c r="B20" s="161" t="s">
        <v>314</v>
      </c>
    </row>
    <row r="21" spans="1:2" x14ac:dyDescent="0.25">
      <c r="A21" s="77" t="s">
        <v>307</v>
      </c>
      <c r="B21" s="161" t="s">
        <v>315</v>
      </c>
    </row>
    <row r="23" spans="1:2" x14ac:dyDescent="0.25">
      <c r="B23" s="100" t="str">
        <f>HYPERLINK("#'Factor List'!A1","Back to Factor List")</f>
        <v>Back to Factor List</v>
      </c>
    </row>
    <row r="24" spans="1:2" x14ac:dyDescent="0.25">
      <c r="B24" s="100" t="s">
        <v>13</v>
      </c>
    </row>
    <row r="26" spans="1:2" ht="39" x14ac:dyDescent="0.25">
      <c r="A26" s="97" t="s">
        <v>417</v>
      </c>
      <c r="B26" s="97" t="s">
        <v>812</v>
      </c>
    </row>
    <row r="27" spans="1:2" x14ac:dyDescent="0.25">
      <c r="A27" s="98">
        <v>20</v>
      </c>
      <c r="B27" s="99">
        <v>9.1199999999999992</v>
      </c>
    </row>
    <row r="28" spans="1:2" x14ac:dyDescent="0.25">
      <c r="A28" s="98">
        <v>21</v>
      </c>
      <c r="B28" s="99">
        <v>9.25</v>
      </c>
    </row>
    <row r="29" spans="1:2" x14ac:dyDescent="0.25">
      <c r="A29" s="98">
        <v>22</v>
      </c>
      <c r="B29" s="99">
        <v>9.3800000000000008</v>
      </c>
    </row>
    <row r="30" spans="1:2" x14ac:dyDescent="0.25">
      <c r="A30" s="98">
        <v>23</v>
      </c>
      <c r="B30" s="99">
        <v>9.51</v>
      </c>
    </row>
    <row r="31" spans="1:2" x14ac:dyDescent="0.25">
      <c r="A31" s="98">
        <v>24</v>
      </c>
      <c r="B31" s="99">
        <v>9.65</v>
      </c>
    </row>
    <row r="32" spans="1:2" x14ac:dyDescent="0.25">
      <c r="A32" s="98">
        <v>25</v>
      </c>
      <c r="B32" s="99">
        <v>9.7899999999999991</v>
      </c>
    </row>
    <row r="33" spans="1:2" x14ac:dyDescent="0.25">
      <c r="A33" s="98">
        <v>26</v>
      </c>
      <c r="B33" s="99">
        <v>9.93</v>
      </c>
    </row>
    <row r="34" spans="1:2" x14ac:dyDescent="0.25">
      <c r="A34" s="98">
        <v>27</v>
      </c>
      <c r="B34" s="99">
        <v>10.07</v>
      </c>
    </row>
    <row r="35" spans="1:2" x14ac:dyDescent="0.25">
      <c r="A35" s="98">
        <v>28</v>
      </c>
      <c r="B35" s="99">
        <v>10.220000000000001</v>
      </c>
    </row>
    <row r="36" spans="1:2" x14ac:dyDescent="0.25">
      <c r="A36" s="98">
        <v>29</v>
      </c>
      <c r="B36" s="99">
        <v>10.36</v>
      </c>
    </row>
    <row r="37" spans="1:2" x14ac:dyDescent="0.25">
      <c r="A37" s="98">
        <v>30</v>
      </c>
      <c r="B37" s="99">
        <v>10.51</v>
      </c>
    </row>
    <row r="38" spans="1:2" x14ac:dyDescent="0.25">
      <c r="A38" s="98">
        <v>31</v>
      </c>
      <c r="B38" s="99">
        <v>10.66</v>
      </c>
    </row>
    <row r="39" spans="1:2" x14ac:dyDescent="0.25">
      <c r="A39" s="98">
        <v>32</v>
      </c>
      <c r="B39" s="99">
        <v>10.82</v>
      </c>
    </row>
    <row r="40" spans="1:2" x14ac:dyDescent="0.25">
      <c r="A40" s="98">
        <v>33</v>
      </c>
      <c r="B40" s="99">
        <v>10.97</v>
      </c>
    </row>
    <row r="41" spans="1:2" x14ac:dyDescent="0.25">
      <c r="A41" s="98">
        <v>34</v>
      </c>
      <c r="B41" s="99">
        <v>11.13</v>
      </c>
    </row>
    <row r="42" spans="1:2" x14ac:dyDescent="0.25">
      <c r="A42" s="98">
        <v>35</v>
      </c>
      <c r="B42" s="99">
        <v>11.29</v>
      </c>
    </row>
    <row r="43" spans="1:2" x14ac:dyDescent="0.25">
      <c r="A43" s="98">
        <v>36</v>
      </c>
      <c r="B43" s="99">
        <v>11.46</v>
      </c>
    </row>
    <row r="44" spans="1:2" x14ac:dyDescent="0.25">
      <c r="A44" s="98">
        <v>37</v>
      </c>
      <c r="B44" s="99">
        <v>11.62</v>
      </c>
    </row>
    <row r="45" spans="1:2" x14ac:dyDescent="0.25">
      <c r="A45" s="98">
        <v>38</v>
      </c>
      <c r="B45" s="99">
        <v>11.79</v>
      </c>
    </row>
    <row r="46" spans="1:2" x14ac:dyDescent="0.25">
      <c r="A46" s="98">
        <v>39</v>
      </c>
      <c r="B46" s="99">
        <v>11.96</v>
      </c>
    </row>
    <row r="47" spans="1:2" x14ac:dyDescent="0.25">
      <c r="A47" s="98">
        <v>40</v>
      </c>
      <c r="B47" s="99">
        <v>12.14</v>
      </c>
    </row>
    <row r="48" spans="1:2" x14ac:dyDescent="0.25">
      <c r="A48" s="98">
        <v>41</v>
      </c>
      <c r="B48" s="99">
        <v>12.31</v>
      </c>
    </row>
    <row r="49" spans="1:2" x14ac:dyDescent="0.25">
      <c r="A49" s="98">
        <v>42</v>
      </c>
      <c r="B49" s="99">
        <v>12.49</v>
      </c>
    </row>
    <row r="50" spans="1:2" x14ac:dyDescent="0.25">
      <c r="A50" s="98">
        <v>43</v>
      </c>
      <c r="B50" s="99">
        <v>12.68</v>
      </c>
    </row>
    <row r="51" spans="1:2" x14ac:dyDescent="0.25">
      <c r="A51" s="98">
        <v>44</v>
      </c>
      <c r="B51" s="99">
        <v>12.86</v>
      </c>
    </row>
    <row r="52" spans="1:2" x14ac:dyDescent="0.25">
      <c r="A52" s="98">
        <v>45</v>
      </c>
      <c r="B52" s="99">
        <v>13.05</v>
      </c>
    </row>
    <row r="53" spans="1:2" x14ac:dyDescent="0.25">
      <c r="A53" s="98">
        <v>46</v>
      </c>
      <c r="B53" s="99">
        <v>13.25</v>
      </c>
    </row>
    <row r="54" spans="1:2" x14ac:dyDescent="0.25">
      <c r="A54" s="98">
        <v>47</v>
      </c>
      <c r="B54" s="99">
        <v>13.44</v>
      </c>
    </row>
    <row r="55" spans="1:2" x14ac:dyDescent="0.25">
      <c r="A55" s="98">
        <v>48</v>
      </c>
      <c r="B55" s="99">
        <v>13.65</v>
      </c>
    </row>
    <row r="56" spans="1:2" x14ac:dyDescent="0.25">
      <c r="A56" s="98">
        <v>49</v>
      </c>
      <c r="B56" s="99">
        <v>13.85</v>
      </c>
    </row>
    <row r="57" spans="1:2" x14ac:dyDescent="0.25">
      <c r="A57" s="98">
        <v>50</v>
      </c>
      <c r="B57" s="99">
        <v>14.06</v>
      </c>
    </row>
    <row r="58" spans="1:2" x14ac:dyDescent="0.25">
      <c r="A58" s="98">
        <v>51</v>
      </c>
      <c r="B58" s="99">
        <v>14.27</v>
      </c>
    </row>
    <row r="59" spans="1:2" x14ac:dyDescent="0.25">
      <c r="A59" s="98">
        <v>52</v>
      </c>
      <c r="B59" s="99">
        <v>14.49</v>
      </c>
    </row>
    <row r="60" spans="1:2" x14ac:dyDescent="0.25">
      <c r="A60" s="98">
        <v>53</v>
      </c>
      <c r="B60" s="99">
        <v>14.72</v>
      </c>
    </row>
    <row r="61" spans="1:2" x14ac:dyDescent="0.25">
      <c r="A61" s="98">
        <v>54</v>
      </c>
      <c r="B61" s="99">
        <v>14.95</v>
      </c>
    </row>
    <row r="62" spans="1:2" x14ac:dyDescent="0.25">
      <c r="A62" s="98">
        <v>55</v>
      </c>
      <c r="B62" s="99">
        <v>15.18</v>
      </c>
    </row>
    <row r="63" spans="1:2" x14ac:dyDescent="0.25">
      <c r="A63" s="98">
        <v>56</v>
      </c>
      <c r="B63" s="99">
        <v>15.42</v>
      </c>
    </row>
    <row r="64" spans="1:2" x14ac:dyDescent="0.25">
      <c r="A64" s="98">
        <v>57</v>
      </c>
      <c r="B64" s="99">
        <v>15.67</v>
      </c>
    </row>
    <row r="65" spans="1:2" x14ac:dyDescent="0.25">
      <c r="A65" s="98">
        <v>58</v>
      </c>
      <c r="B65" s="99">
        <v>15.93</v>
      </c>
    </row>
    <row r="66" spans="1:2" x14ac:dyDescent="0.25">
      <c r="A66" s="98">
        <v>59</v>
      </c>
      <c r="B66" s="99">
        <v>16.190000000000001</v>
      </c>
    </row>
    <row r="67" spans="1:2" x14ac:dyDescent="0.25">
      <c r="A67" s="98">
        <v>60</v>
      </c>
      <c r="B67" s="99">
        <v>16.47</v>
      </c>
    </row>
    <row r="68" spans="1:2" x14ac:dyDescent="0.25">
      <c r="A68" s="98">
        <v>61</v>
      </c>
      <c r="B68" s="99">
        <v>16.75</v>
      </c>
    </row>
    <row r="69" spans="1:2" x14ac:dyDescent="0.25">
      <c r="A69" s="98">
        <v>62</v>
      </c>
      <c r="B69" s="99">
        <v>17.05</v>
      </c>
    </row>
    <row r="70" spans="1:2" x14ac:dyDescent="0.25">
      <c r="A70" s="98">
        <v>63</v>
      </c>
      <c r="B70" s="99">
        <v>17.36</v>
      </c>
    </row>
    <row r="71" spans="1:2" x14ac:dyDescent="0.25">
      <c r="A71" s="98">
        <v>64</v>
      </c>
      <c r="B71" s="99">
        <v>17.690000000000001</v>
      </c>
    </row>
    <row r="72" spans="1:2" x14ac:dyDescent="0.25">
      <c r="A72" s="98">
        <v>65</v>
      </c>
      <c r="B72" s="99">
        <v>18.03</v>
      </c>
    </row>
    <row r="73" spans="1:2" x14ac:dyDescent="0.25">
      <c r="A73" s="98">
        <v>66</v>
      </c>
      <c r="B73" s="99">
        <v>17.87</v>
      </c>
    </row>
    <row r="74" spans="1:2" x14ac:dyDescent="0.25">
      <c r="A74" s="98">
        <v>67</v>
      </c>
      <c r="B74" s="99">
        <v>17.2</v>
      </c>
    </row>
    <row r="75" spans="1:2" x14ac:dyDescent="0.25">
      <c r="A75" s="98">
        <v>68</v>
      </c>
      <c r="B75" s="99">
        <v>16.53</v>
      </c>
    </row>
    <row r="76" spans="1:2" x14ac:dyDescent="0.25">
      <c r="A76" s="98">
        <v>69</v>
      </c>
      <c r="B76" s="99">
        <v>15.86</v>
      </c>
    </row>
    <row r="77" spans="1:2" x14ac:dyDescent="0.25">
      <c r="A77" s="98">
        <v>70</v>
      </c>
      <c r="B77" s="99">
        <v>15.19</v>
      </c>
    </row>
    <row r="78" spans="1:2" x14ac:dyDescent="0.25">
      <c r="A78" s="98">
        <v>71</v>
      </c>
      <c r="B78" s="99">
        <v>14.53</v>
      </c>
    </row>
    <row r="79" spans="1:2" x14ac:dyDescent="0.25">
      <c r="A79" s="98">
        <v>72</v>
      </c>
      <c r="B79" s="99">
        <v>13.87</v>
      </c>
    </row>
    <row r="80" spans="1:2" x14ac:dyDescent="0.25">
      <c r="A80" s="98">
        <v>73</v>
      </c>
      <c r="B80" s="99">
        <v>13.22</v>
      </c>
    </row>
    <row r="81" spans="1:2" x14ac:dyDescent="0.25">
      <c r="A81" s="98">
        <v>74</v>
      </c>
      <c r="B81" s="99">
        <v>12.57</v>
      </c>
    </row>
  </sheetData>
  <sheetProtection algorithmName="SHA-512" hashValue="S7EJfhid373lm+DkPWqW1rNzDgJ4EHkt/S13Mp7X3DM8GBSR6DKZFv9QEVFWnf0k+92UqtAr1oxnnvpdL+r8cA==" saltValue="STikl+p/CF408pETo//18A==" spinCount="100000" sheet="1" objects="1" scenarios="1"/>
  <conditionalFormatting sqref="A6:A21">
    <cfRule type="expression" dxfId="507" priority="13" stopIfTrue="1">
      <formula>MOD(ROW(),2)=0</formula>
    </cfRule>
    <cfRule type="expression" dxfId="506" priority="14" stopIfTrue="1">
      <formula>MOD(ROW(),2)&lt;&gt;0</formula>
    </cfRule>
  </conditionalFormatting>
  <conditionalFormatting sqref="A26:A81">
    <cfRule type="expression" dxfId="505" priority="3" stopIfTrue="1">
      <formula>MOD(ROW(),2)=0</formula>
    </cfRule>
    <cfRule type="expression" dxfId="504" priority="4" stopIfTrue="1">
      <formula>MOD(ROW(),2)&lt;&gt;0</formula>
    </cfRule>
  </conditionalFormatting>
  <conditionalFormatting sqref="B6 B8:B15">
    <cfRule type="expression" dxfId="503" priority="25" stopIfTrue="1">
      <formula>MOD(ROW(),2)=0</formula>
    </cfRule>
    <cfRule type="expression" dxfId="502" priority="26" stopIfTrue="1">
      <formula>MOD(ROW(),2)&lt;&gt;0</formula>
    </cfRule>
  </conditionalFormatting>
  <conditionalFormatting sqref="B6:B21">
    <cfRule type="expression" dxfId="501" priority="17" stopIfTrue="1">
      <formula>MOD(ROW(),2)=0</formula>
    </cfRule>
    <cfRule type="expression" dxfId="500" priority="18" stopIfTrue="1">
      <formula>MOD(ROW(),2)&lt;&gt;0</formula>
    </cfRule>
  </conditionalFormatting>
  <conditionalFormatting sqref="B16:B21">
    <cfRule type="expression" dxfId="499" priority="1" stopIfTrue="1">
      <formula>MOD(ROW(),2)=0</formula>
    </cfRule>
    <cfRule type="expression" dxfId="498" priority="2" stopIfTrue="1">
      <formula>MOD(ROW(),2)&lt;&gt;0</formula>
    </cfRule>
  </conditionalFormatting>
  <conditionalFormatting sqref="B26:B81">
    <cfRule type="expression" dxfId="497" priority="5" stopIfTrue="1">
      <formula>MOD(ROW(),2)=0</formula>
    </cfRule>
    <cfRule type="expression" dxfId="496" priority="6" stopIfTrue="1">
      <formula>MOD(ROW(),2)&lt;&gt;0</formula>
    </cfRule>
  </conditionalFormatting>
  <hyperlinks>
    <hyperlink ref="B24" location="Assumptions!A1" display="Assumptions" xr:uid="{45FC8D4F-E372-4138-B115-C93BDCFA601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34"/>
  <dimension ref="A1:I81"/>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Scheme pays AA - x-613</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73</v>
      </c>
    </row>
    <row r="9" spans="1:9" x14ac:dyDescent="0.25">
      <c r="A9" s="77" t="s">
        <v>280</v>
      </c>
      <c r="B9" s="161" t="s">
        <v>521</v>
      </c>
    </row>
    <row r="10" spans="1:9" x14ac:dyDescent="0.25">
      <c r="A10" s="77" t="s">
        <v>6</v>
      </c>
      <c r="B10" s="161" t="s">
        <v>539</v>
      </c>
    </row>
    <row r="11" spans="1:9" x14ac:dyDescent="0.25">
      <c r="A11" s="77" t="s">
        <v>283</v>
      </c>
      <c r="B11" s="161" t="s">
        <v>355</v>
      </c>
    </row>
    <row r="12" spans="1:9" x14ac:dyDescent="0.25">
      <c r="A12" s="77" t="s">
        <v>285</v>
      </c>
      <c r="B12" s="161" t="s">
        <v>361</v>
      </c>
    </row>
    <row r="13" spans="1:9" x14ac:dyDescent="0.25">
      <c r="A13" s="77" t="s">
        <v>287</v>
      </c>
      <c r="B13" s="161">
        <v>0</v>
      </c>
    </row>
    <row r="14" spans="1:9" x14ac:dyDescent="0.25">
      <c r="A14" s="77" t="s">
        <v>289</v>
      </c>
      <c r="B14" s="161">
        <v>613</v>
      </c>
    </row>
    <row r="15" spans="1:9" x14ac:dyDescent="0.25">
      <c r="A15" s="77" t="s">
        <v>291</v>
      </c>
      <c r="B15" s="161" t="s">
        <v>540</v>
      </c>
    </row>
    <row r="16" spans="1:9" x14ac:dyDescent="0.25">
      <c r="A16" s="77" t="s">
        <v>293</v>
      </c>
      <c r="B16" s="161" t="s">
        <v>541</v>
      </c>
    </row>
    <row r="17" spans="1:2" x14ac:dyDescent="0.25">
      <c r="A17" s="74" t="s">
        <v>760</v>
      </c>
      <c r="B17" s="161"/>
    </row>
    <row r="18" spans="1:2" x14ac:dyDescent="0.25">
      <c r="A18" s="77" t="s">
        <v>297</v>
      </c>
      <c r="B18" s="163">
        <v>45138</v>
      </c>
    </row>
    <row r="19" spans="1:2" x14ac:dyDescent="0.25">
      <c r="A19" s="77" t="s">
        <v>299</v>
      </c>
      <c r="B19" s="163">
        <v>45138</v>
      </c>
    </row>
    <row r="20" spans="1:2" x14ac:dyDescent="0.25">
      <c r="A20" s="77" t="s">
        <v>301</v>
      </c>
      <c r="B20" s="161" t="s">
        <v>314</v>
      </c>
    </row>
    <row r="21" spans="1:2" x14ac:dyDescent="0.25">
      <c r="A21" s="77" t="s">
        <v>307</v>
      </c>
      <c r="B21" s="161" t="s">
        <v>315</v>
      </c>
    </row>
    <row r="23" spans="1:2" x14ac:dyDescent="0.25">
      <c r="B23" s="100" t="str">
        <f>HYPERLINK("#'Factor List'!A1","Back to Factor List")</f>
        <v>Back to Factor List</v>
      </c>
    </row>
    <row r="24" spans="1:2" x14ac:dyDescent="0.25">
      <c r="B24" s="100" t="s">
        <v>13</v>
      </c>
    </row>
    <row r="26" spans="1:2" ht="39" x14ac:dyDescent="0.25">
      <c r="A26" s="97" t="s">
        <v>417</v>
      </c>
      <c r="B26" s="97" t="s">
        <v>812</v>
      </c>
    </row>
    <row r="27" spans="1:2" x14ac:dyDescent="0.25">
      <c r="A27" s="98">
        <v>20</v>
      </c>
      <c r="B27" s="99">
        <v>8.68</v>
      </c>
    </row>
    <row r="28" spans="1:2" x14ac:dyDescent="0.25">
      <c r="A28" s="98">
        <v>21</v>
      </c>
      <c r="B28" s="99">
        <v>8.8000000000000007</v>
      </c>
    </row>
    <row r="29" spans="1:2" x14ac:dyDescent="0.25">
      <c r="A29" s="98">
        <v>22</v>
      </c>
      <c r="B29" s="99">
        <v>8.93</v>
      </c>
    </row>
    <row r="30" spans="1:2" x14ac:dyDescent="0.25">
      <c r="A30" s="98">
        <v>23</v>
      </c>
      <c r="B30" s="99">
        <v>9.0500000000000007</v>
      </c>
    </row>
    <row r="31" spans="1:2" x14ac:dyDescent="0.25">
      <c r="A31" s="98">
        <v>24</v>
      </c>
      <c r="B31" s="99">
        <v>9.18</v>
      </c>
    </row>
    <row r="32" spans="1:2" x14ac:dyDescent="0.25">
      <c r="A32" s="98">
        <v>25</v>
      </c>
      <c r="B32" s="99">
        <v>9.31</v>
      </c>
    </row>
    <row r="33" spans="1:2" x14ac:dyDescent="0.25">
      <c r="A33" s="98">
        <v>26</v>
      </c>
      <c r="B33" s="99">
        <v>9.4499999999999993</v>
      </c>
    </row>
    <row r="34" spans="1:2" x14ac:dyDescent="0.25">
      <c r="A34" s="98">
        <v>27</v>
      </c>
      <c r="B34" s="99">
        <v>9.58</v>
      </c>
    </row>
    <row r="35" spans="1:2" x14ac:dyDescent="0.25">
      <c r="A35" s="98">
        <v>28</v>
      </c>
      <c r="B35" s="99">
        <v>9.7200000000000006</v>
      </c>
    </row>
    <row r="36" spans="1:2" x14ac:dyDescent="0.25">
      <c r="A36" s="98">
        <v>29</v>
      </c>
      <c r="B36" s="99">
        <v>9.85</v>
      </c>
    </row>
    <row r="37" spans="1:2" x14ac:dyDescent="0.25">
      <c r="A37" s="98">
        <v>30</v>
      </c>
      <c r="B37" s="99">
        <v>9.99</v>
      </c>
    </row>
    <row r="38" spans="1:2" x14ac:dyDescent="0.25">
      <c r="A38" s="98">
        <v>31</v>
      </c>
      <c r="B38" s="99">
        <v>10.14</v>
      </c>
    </row>
    <row r="39" spans="1:2" x14ac:dyDescent="0.25">
      <c r="A39" s="98">
        <v>32</v>
      </c>
      <c r="B39" s="99">
        <v>10.28</v>
      </c>
    </row>
    <row r="40" spans="1:2" x14ac:dyDescent="0.25">
      <c r="A40" s="98">
        <v>33</v>
      </c>
      <c r="B40" s="99">
        <v>10.43</v>
      </c>
    </row>
    <row r="41" spans="1:2" x14ac:dyDescent="0.25">
      <c r="A41" s="98">
        <v>34</v>
      </c>
      <c r="B41" s="99">
        <v>10.58</v>
      </c>
    </row>
    <row r="42" spans="1:2" x14ac:dyDescent="0.25">
      <c r="A42" s="98">
        <v>35</v>
      </c>
      <c r="B42" s="99">
        <v>10.73</v>
      </c>
    </row>
    <row r="43" spans="1:2" x14ac:dyDescent="0.25">
      <c r="A43" s="98">
        <v>36</v>
      </c>
      <c r="B43" s="99">
        <v>10.88</v>
      </c>
    </row>
    <row r="44" spans="1:2" x14ac:dyDescent="0.25">
      <c r="A44" s="98">
        <v>37</v>
      </c>
      <c r="B44" s="99">
        <v>11.04</v>
      </c>
    </row>
    <row r="45" spans="1:2" x14ac:dyDescent="0.25">
      <c r="A45" s="98">
        <v>38</v>
      </c>
      <c r="B45" s="99">
        <v>11.2</v>
      </c>
    </row>
    <row r="46" spans="1:2" x14ac:dyDescent="0.25">
      <c r="A46" s="98">
        <v>39</v>
      </c>
      <c r="B46" s="99">
        <v>11.36</v>
      </c>
    </row>
    <row r="47" spans="1:2" x14ac:dyDescent="0.25">
      <c r="A47" s="98">
        <v>40</v>
      </c>
      <c r="B47" s="99">
        <v>11.52</v>
      </c>
    </row>
    <row r="48" spans="1:2" x14ac:dyDescent="0.25">
      <c r="A48" s="98">
        <v>41</v>
      </c>
      <c r="B48" s="99">
        <v>11.69</v>
      </c>
    </row>
    <row r="49" spans="1:2" x14ac:dyDescent="0.25">
      <c r="A49" s="98">
        <v>42</v>
      </c>
      <c r="B49" s="99">
        <v>11.86</v>
      </c>
    </row>
    <row r="50" spans="1:2" x14ac:dyDescent="0.25">
      <c r="A50" s="98">
        <v>43</v>
      </c>
      <c r="B50" s="99">
        <v>12.03</v>
      </c>
    </row>
    <row r="51" spans="1:2" x14ac:dyDescent="0.25">
      <c r="A51" s="98">
        <v>44</v>
      </c>
      <c r="B51" s="99">
        <v>12.21</v>
      </c>
    </row>
    <row r="52" spans="1:2" x14ac:dyDescent="0.25">
      <c r="A52" s="98">
        <v>45</v>
      </c>
      <c r="B52" s="99">
        <v>12.38</v>
      </c>
    </row>
    <row r="53" spans="1:2" x14ac:dyDescent="0.25">
      <c r="A53" s="98">
        <v>46</v>
      </c>
      <c r="B53" s="99">
        <v>12.57</v>
      </c>
    </row>
    <row r="54" spans="1:2" x14ac:dyDescent="0.25">
      <c r="A54" s="98">
        <v>47</v>
      </c>
      <c r="B54" s="99">
        <v>12.75</v>
      </c>
    </row>
    <row r="55" spans="1:2" x14ac:dyDescent="0.25">
      <c r="A55" s="98">
        <v>48</v>
      </c>
      <c r="B55" s="99">
        <v>12.94</v>
      </c>
    </row>
    <row r="56" spans="1:2" x14ac:dyDescent="0.25">
      <c r="A56" s="98">
        <v>49</v>
      </c>
      <c r="B56" s="99">
        <v>13.13</v>
      </c>
    </row>
    <row r="57" spans="1:2" x14ac:dyDescent="0.25">
      <c r="A57" s="98">
        <v>50</v>
      </c>
      <c r="B57" s="99">
        <v>13.33</v>
      </c>
    </row>
    <row r="58" spans="1:2" x14ac:dyDescent="0.25">
      <c r="A58" s="98">
        <v>51</v>
      </c>
      <c r="B58" s="99">
        <v>13.53</v>
      </c>
    </row>
    <row r="59" spans="1:2" x14ac:dyDescent="0.25">
      <c r="A59" s="98">
        <v>52</v>
      </c>
      <c r="B59" s="99">
        <v>13.74</v>
      </c>
    </row>
    <row r="60" spans="1:2" x14ac:dyDescent="0.25">
      <c r="A60" s="98">
        <v>53</v>
      </c>
      <c r="B60" s="99">
        <v>13.95</v>
      </c>
    </row>
    <row r="61" spans="1:2" x14ac:dyDescent="0.25">
      <c r="A61" s="98">
        <v>54</v>
      </c>
      <c r="B61" s="99">
        <v>14.16</v>
      </c>
    </row>
    <row r="62" spans="1:2" x14ac:dyDescent="0.25">
      <c r="A62" s="98">
        <v>55</v>
      </c>
      <c r="B62" s="99">
        <v>14.38</v>
      </c>
    </row>
    <row r="63" spans="1:2" x14ac:dyDescent="0.25">
      <c r="A63" s="98">
        <v>56</v>
      </c>
      <c r="B63" s="99">
        <v>14.61</v>
      </c>
    </row>
    <row r="64" spans="1:2" x14ac:dyDescent="0.25">
      <c r="A64" s="98">
        <v>57</v>
      </c>
      <c r="B64" s="99">
        <v>14.84</v>
      </c>
    </row>
    <row r="65" spans="1:2" x14ac:dyDescent="0.25">
      <c r="A65" s="98">
        <v>58</v>
      </c>
      <c r="B65" s="99">
        <v>15.09</v>
      </c>
    </row>
    <row r="66" spans="1:2" x14ac:dyDescent="0.25">
      <c r="A66" s="98">
        <v>59</v>
      </c>
      <c r="B66" s="99">
        <v>15.33</v>
      </c>
    </row>
    <row r="67" spans="1:2" x14ac:dyDescent="0.25">
      <c r="A67" s="98">
        <v>60</v>
      </c>
      <c r="B67" s="99">
        <v>15.59</v>
      </c>
    </row>
    <row r="68" spans="1:2" x14ac:dyDescent="0.25">
      <c r="A68" s="98">
        <v>61</v>
      </c>
      <c r="B68" s="99">
        <v>15.86</v>
      </c>
    </row>
    <row r="69" spans="1:2" x14ac:dyDescent="0.25">
      <c r="A69" s="98">
        <v>62</v>
      </c>
      <c r="B69" s="99">
        <v>16.14</v>
      </c>
    </row>
    <row r="70" spans="1:2" x14ac:dyDescent="0.25">
      <c r="A70" s="98">
        <v>63</v>
      </c>
      <c r="B70" s="99">
        <v>16.43</v>
      </c>
    </row>
    <row r="71" spans="1:2" x14ac:dyDescent="0.25">
      <c r="A71" s="98">
        <v>64</v>
      </c>
      <c r="B71" s="99">
        <v>16.73</v>
      </c>
    </row>
    <row r="72" spans="1:2" x14ac:dyDescent="0.25">
      <c r="A72" s="98">
        <v>65</v>
      </c>
      <c r="B72" s="99">
        <v>17.05</v>
      </c>
    </row>
    <row r="73" spans="1:2" x14ac:dyDescent="0.25">
      <c r="A73" s="98">
        <v>66</v>
      </c>
      <c r="B73" s="99">
        <v>17.39</v>
      </c>
    </row>
    <row r="74" spans="1:2" x14ac:dyDescent="0.25">
      <c r="A74" s="98">
        <v>67</v>
      </c>
      <c r="B74" s="99">
        <v>17.22</v>
      </c>
    </row>
    <row r="75" spans="1:2" x14ac:dyDescent="0.25">
      <c r="A75" s="98">
        <v>68</v>
      </c>
      <c r="B75" s="99">
        <v>16.55</v>
      </c>
    </row>
    <row r="76" spans="1:2" x14ac:dyDescent="0.25">
      <c r="A76" s="98">
        <v>69</v>
      </c>
      <c r="B76" s="99">
        <v>15.87</v>
      </c>
    </row>
    <row r="77" spans="1:2" x14ac:dyDescent="0.25">
      <c r="A77" s="98">
        <v>70</v>
      </c>
      <c r="B77" s="99">
        <v>15.2</v>
      </c>
    </row>
    <row r="78" spans="1:2" x14ac:dyDescent="0.25">
      <c r="A78" s="98">
        <v>71</v>
      </c>
      <c r="B78" s="99">
        <v>14.53</v>
      </c>
    </row>
    <row r="79" spans="1:2" x14ac:dyDescent="0.25">
      <c r="A79" s="98">
        <v>72</v>
      </c>
      <c r="B79" s="99">
        <v>13.87</v>
      </c>
    </row>
    <row r="80" spans="1:2" x14ac:dyDescent="0.25">
      <c r="A80" s="98">
        <v>73</v>
      </c>
      <c r="B80" s="99">
        <v>13.22</v>
      </c>
    </row>
    <row r="81" spans="1:2" x14ac:dyDescent="0.25">
      <c r="A81" s="98">
        <v>74</v>
      </c>
      <c r="B81" s="99">
        <v>12.57</v>
      </c>
    </row>
  </sheetData>
  <sheetProtection algorithmName="SHA-512" hashValue="f+qIbmBHIeTXMN37RetOnM2AiU+dKKRdd7/9DBwF6NY+X7jx25TW5aE+dkH/WU7zgwhbXUYEh6r7Bq26DICbAA==" saltValue="2IqlCM9pPKbsphQBfnY2KQ==" spinCount="100000" sheet="1" objects="1" scenarios="1"/>
  <conditionalFormatting sqref="A6:A21">
    <cfRule type="expression" dxfId="495" priority="11" stopIfTrue="1">
      <formula>MOD(ROW(),2)=0</formula>
    </cfRule>
    <cfRule type="expression" dxfId="494" priority="12" stopIfTrue="1">
      <formula>MOD(ROW(),2)&lt;&gt;0</formula>
    </cfRule>
  </conditionalFormatting>
  <conditionalFormatting sqref="A26:A81">
    <cfRule type="expression" dxfId="493" priority="3" stopIfTrue="1">
      <formula>MOD(ROW(),2)=0</formula>
    </cfRule>
    <cfRule type="expression" dxfId="492" priority="4" stopIfTrue="1">
      <formula>MOD(ROW(),2)&lt;&gt;0</formula>
    </cfRule>
  </conditionalFormatting>
  <conditionalFormatting sqref="B6 B8:B15">
    <cfRule type="expression" dxfId="491" priority="23" stopIfTrue="1">
      <formula>MOD(ROW(),2)=0</formula>
    </cfRule>
    <cfRule type="expression" dxfId="490" priority="24" stopIfTrue="1">
      <formula>MOD(ROW(),2)&lt;&gt;0</formula>
    </cfRule>
  </conditionalFormatting>
  <conditionalFormatting sqref="B6:B21">
    <cfRule type="expression" dxfId="489" priority="15" stopIfTrue="1">
      <formula>MOD(ROW(),2)=0</formula>
    </cfRule>
    <cfRule type="expression" dxfId="488" priority="16" stopIfTrue="1">
      <formula>MOD(ROW(),2)&lt;&gt;0</formula>
    </cfRule>
  </conditionalFormatting>
  <conditionalFormatting sqref="B16:B21">
    <cfRule type="expression" dxfId="487" priority="1" stopIfTrue="1">
      <formula>MOD(ROW(),2)=0</formula>
    </cfRule>
    <cfRule type="expression" dxfId="486" priority="2" stopIfTrue="1">
      <formula>MOD(ROW(),2)&lt;&gt;0</formula>
    </cfRule>
  </conditionalFormatting>
  <conditionalFormatting sqref="B26:B81">
    <cfRule type="expression" dxfId="485" priority="5" stopIfTrue="1">
      <formula>MOD(ROW(),2)=0</formula>
    </cfRule>
    <cfRule type="expression" dxfId="484" priority="6" stopIfTrue="1">
      <formula>MOD(ROW(),2)&lt;&gt;0</formula>
    </cfRule>
  </conditionalFormatting>
  <hyperlinks>
    <hyperlink ref="B24" location="Assumptions!A1" display="Assumptions" xr:uid="{D592A7E3-3929-4EB6-99CA-EA53DE44598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35"/>
  <dimension ref="A1:I81"/>
  <sheetViews>
    <sheetView showGridLines="0" zoomScale="85" zoomScaleNormal="85" workbookViewId="0">
      <selection activeCell="A4" sqref="A4"/>
    </sheetView>
  </sheetViews>
  <sheetFormatPr defaultColWidth="10" defaultRowHeight="12.5" x14ac:dyDescent="0.25"/>
  <cols>
    <col min="1" max="1" width="31.54296875" style="26" customWidth="1"/>
    <col min="2" max="2" width="22.54296875" style="26" customWidth="1"/>
    <col min="3" max="3" width="10.3632812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Scheme pays AA - x-614</v>
      </c>
      <c r="B3" s="40"/>
      <c r="C3" s="40"/>
      <c r="D3" s="40"/>
      <c r="E3" s="40"/>
      <c r="F3" s="40"/>
      <c r="G3" s="40"/>
      <c r="H3" s="40"/>
      <c r="I3" s="40"/>
    </row>
    <row r="4" spans="1:9" x14ac:dyDescent="0.25">
      <c r="A4" s="42"/>
    </row>
    <row r="6" spans="1:9" ht="13" x14ac:dyDescent="0.3">
      <c r="A6" s="75" t="s">
        <v>274</v>
      </c>
      <c r="B6" s="161" t="s">
        <v>275</v>
      </c>
    </row>
    <row r="7" spans="1:9" x14ac:dyDescent="0.25">
      <c r="A7" s="77" t="s">
        <v>276</v>
      </c>
      <c r="B7" s="161" t="s">
        <v>72</v>
      </c>
    </row>
    <row r="8" spans="1:9" x14ac:dyDescent="0.25">
      <c r="A8" s="77" t="s">
        <v>278</v>
      </c>
      <c r="B8" s="161" t="s">
        <v>73</v>
      </c>
    </row>
    <row r="9" spans="1:9" x14ac:dyDescent="0.25">
      <c r="A9" s="77" t="s">
        <v>280</v>
      </c>
      <c r="B9" s="161" t="s">
        <v>521</v>
      </c>
    </row>
    <row r="10" spans="1:9" x14ac:dyDescent="0.25">
      <c r="A10" s="77" t="s">
        <v>6</v>
      </c>
      <c r="B10" s="161" t="s">
        <v>542</v>
      </c>
    </row>
    <row r="11" spans="1:9" x14ac:dyDescent="0.25">
      <c r="A11" s="77" t="s">
        <v>283</v>
      </c>
      <c r="B11" s="161" t="s">
        <v>355</v>
      </c>
    </row>
    <row r="12" spans="1:9" x14ac:dyDescent="0.25">
      <c r="A12" s="77" t="s">
        <v>285</v>
      </c>
      <c r="B12" s="161" t="s">
        <v>361</v>
      </c>
    </row>
    <row r="13" spans="1:9" x14ac:dyDescent="0.25">
      <c r="A13" s="77" t="s">
        <v>287</v>
      </c>
      <c r="B13" s="161">
        <v>0</v>
      </c>
    </row>
    <row r="14" spans="1:9" x14ac:dyDescent="0.25">
      <c r="A14" s="77" t="s">
        <v>289</v>
      </c>
      <c r="B14" s="161">
        <v>614</v>
      </c>
    </row>
    <row r="15" spans="1:9" x14ac:dyDescent="0.25">
      <c r="A15" s="77" t="s">
        <v>291</v>
      </c>
      <c r="B15" s="161" t="s">
        <v>543</v>
      </c>
    </row>
    <row r="16" spans="1:9" x14ac:dyDescent="0.25">
      <c r="A16" s="77" t="s">
        <v>293</v>
      </c>
      <c r="B16" s="161" t="s">
        <v>544</v>
      </c>
    </row>
    <row r="17" spans="1:2" x14ac:dyDescent="0.25">
      <c r="A17" s="74" t="s">
        <v>760</v>
      </c>
      <c r="B17" s="161"/>
    </row>
    <row r="18" spans="1:2" x14ac:dyDescent="0.25">
      <c r="A18" s="77" t="s">
        <v>297</v>
      </c>
      <c r="B18" s="163">
        <v>45138</v>
      </c>
    </row>
    <row r="19" spans="1:2" x14ac:dyDescent="0.25">
      <c r="A19" s="77" t="s">
        <v>299</v>
      </c>
      <c r="B19" s="163">
        <v>45138</v>
      </c>
    </row>
    <row r="20" spans="1:2" x14ac:dyDescent="0.25">
      <c r="A20" s="77" t="s">
        <v>301</v>
      </c>
      <c r="B20" s="161" t="s">
        <v>314</v>
      </c>
    </row>
    <row r="21" spans="1:2" x14ac:dyDescent="0.25">
      <c r="A21" s="77" t="s">
        <v>307</v>
      </c>
      <c r="B21" s="161" t="s">
        <v>315</v>
      </c>
    </row>
    <row r="23" spans="1:2" x14ac:dyDescent="0.25">
      <c r="B23" s="100" t="str">
        <f>HYPERLINK("#'Factor List'!A1","Back to Factor List")</f>
        <v>Back to Factor List</v>
      </c>
    </row>
    <row r="24" spans="1:2" x14ac:dyDescent="0.25">
      <c r="B24" s="100" t="s">
        <v>13</v>
      </c>
    </row>
    <row r="26" spans="1:2" ht="39" x14ac:dyDescent="0.25">
      <c r="A26" s="97" t="s">
        <v>417</v>
      </c>
      <c r="B26" s="97" t="s">
        <v>812</v>
      </c>
    </row>
    <row r="27" spans="1:2" x14ac:dyDescent="0.25">
      <c r="A27" s="98">
        <v>20</v>
      </c>
      <c r="B27" s="99">
        <v>8.25</v>
      </c>
    </row>
    <row r="28" spans="1:2" x14ac:dyDescent="0.25">
      <c r="A28" s="98">
        <v>21</v>
      </c>
      <c r="B28" s="99">
        <v>8.36</v>
      </c>
    </row>
    <row r="29" spans="1:2" x14ac:dyDescent="0.25">
      <c r="A29" s="98">
        <v>22</v>
      </c>
      <c r="B29" s="99">
        <v>8.48</v>
      </c>
    </row>
    <row r="30" spans="1:2" x14ac:dyDescent="0.25">
      <c r="A30" s="98">
        <v>23</v>
      </c>
      <c r="B30" s="99">
        <v>8.6</v>
      </c>
    </row>
    <row r="31" spans="1:2" x14ac:dyDescent="0.25">
      <c r="A31" s="98">
        <v>24</v>
      </c>
      <c r="B31" s="99">
        <v>8.7200000000000006</v>
      </c>
    </row>
    <row r="32" spans="1:2" x14ac:dyDescent="0.25">
      <c r="A32" s="98">
        <v>25</v>
      </c>
      <c r="B32" s="99">
        <v>8.85</v>
      </c>
    </row>
    <row r="33" spans="1:2" x14ac:dyDescent="0.25">
      <c r="A33" s="98">
        <v>26</v>
      </c>
      <c r="B33" s="99">
        <v>8.9700000000000006</v>
      </c>
    </row>
    <row r="34" spans="1:2" x14ac:dyDescent="0.25">
      <c r="A34" s="98">
        <v>27</v>
      </c>
      <c r="B34" s="99">
        <v>9.1</v>
      </c>
    </row>
    <row r="35" spans="1:2" x14ac:dyDescent="0.25">
      <c r="A35" s="98">
        <v>28</v>
      </c>
      <c r="B35" s="99">
        <v>9.2200000000000006</v>
      </c>
    </row>
    <row r="36" spans="1:2" x14ac:dyDescent="0.25">
      <c r="A36" s="98">
        <v>29</v>
      </c>
      <c r="B36" s="99">
        <v>9.35</v>
      </c>
    </row>
    <row r="37" spans="1:2" x14ac:dyDescent="0.25">
      <c r="A37" s="98">
        <v>30</v>
      </c>
      <c r="B37" s="99">
        <v>9.49</v>
      </c>
    </row>
    <row r="38" spans="1:2" x14ac:dyDescent="0.25">
      <c r="A38" s="98">
        <v>31</v>
      </c>
      <c r="B38" s="99">
        <v>9.6199999999999992</v>
      </c>
    </row>
    <row r="39" spans="1:2" x14ac:dyDescent="0.25">
      <c r="A39" s="98">
        <v>32</v>
      </c>
      <c r="B39" s="99">
        <v>9.76</v>
      </c>
    </row>
    <row r="40" spans="1:2" x14ac:dyDescent="0.25">
      <c r="A40" s="98">
        <v>33</v>
      </c>
      <c r="B40" s="99">
        <v>9.9</v>
      </c>
    </row>
    <row r="41" spans="1:2" x14ac:dyDescent="0.25">
      <c r="A41" s="98">
        <v>34</v>
      </c>
      <c r="B41" s="99">
        <v>10.039999999999999</v>
      </c>
    </row>
    <row r="42" spans="1:2" x14ac:dyDescent="0.25">
      <c r="A42" s="98">
        <v>35</v>
      </c>
      <c r="B42" s="99">
        <v>10.18</v>
      </c>
    </row>
    <row r="43" spans="1:2" x14ac:dyDescent="0.25">
      <c r="A43" s="98">
        <v>36</v>
      </c>
      <c r="B43" s="99">
        <v>10.32</v>
      </c>
    </row>
    <row r="44" spans="1:2" x14ac:dyDescent="0.25">
      <c r="A44" s="98">
        <v>37</v>
      </c>
      <c r="B44" s="99">
        <v>10.47</v>
      </c>
    </row>
    <row r="45" spans="1:2" x14ac:dyDescent="0.25">
      <c r="A45" s="98">
        <v>38</v>
      </c>
      <c r="B45" s="99">
        <v>10.62</v>
      </c>
    </row>
    <row r="46" spans="1:2" x14ac:dyDescent="0.25">
      <c r="A46" s="98">
        <v>39</v>
      </c>
      <c r="B46" s="99">
        <v>10.77</v>
      </c>
    </row>
    <row r="47" spans="1:2" x14ac:dyDescent="0.25">
      <c r="A47" s="98">
        <v>40</v>
      </c>
      <c r="B47" s="99">
        <v>10.92</v>
      </c>
    </row>
    <row r="48" spans="1:2" x14ac:dyDescent="0.25">
      <c r="A48" s="98">
        <v>41</v>
      </c>
      <c r="B48" s="99">
        <v>11.08</v>
      </c>
    </row>
    <row r="49" spans="1:2" x14ac:dyDescent="0.25">
      <c r="A49" s="98">
        <v>42</v>
      </c>
      <c r="B49" s="99">
        <v>11.24</v>
      </c>
    </row>
    <row r="50" spans="1:2" x14ac:dyDescent="0.25">
      <c r="A50" s="98">
        <v>43</v>
      </c>
      <c r="B50" s="99">
        <v>11.4</v>
      </c>
    </row>
    <row r="51" spans="1:2" x14ac:dyDescent="0.25">
      <c r="A51" s="98">
        <v>44</v>
      </c>
      <c r="B51" s="99">
        <v>11.56</v>
      </c>
    </row>
    <row r="52" spans="1:2" x14ac:dyDescent="0.25">
      <c r="A52" s="98">
        <v>45</v>
      </c>
      <c r="B52" s="99">
        <v>11.73</v>
      </c>
    </row>
    <row r="53" spans="1:2" x14ac:dyDescent="0.25">
      <c r="A53" s="98">
        <v>46</v>
      </c>
      <c r="B53" s="99">
        <v>11.9</v>
      </c>
    </row>
    <row r="54" spans="1:2" x14ac:dyDescent="0.25">
      <c r="A54" s="98">
        <v>47</v>
      </c>
      <c r="B54" s="99">
        <v>12.08</v>
      </c>
    </row>
    <row r="55" spans="1:2" x14ac:dyDescent="0.25">
      <c r="A55" s="98">
        <v>48</v>
      </c>
      <c r="B55" s="99">
        <v>12.25</v>
      </c>
    </row>
    <row r="56" spans="1:2" x14ac:dyDescent="0.25">
      <c r="A56" s="98">
        <v>49</v>
      </c>
      <c r="B56" s="99">
        <v>12.43</v>
      </c>
    </row>
    <row r="57" spans="1:2" x14ac:dyDescent="0.25">
      <c r="A57" s="98">
        <v>50</v>
      </c>
      <c r="B57" s="99">
        <v>12.62</v>
      </c>
    </row>
    <row r="58" spans="1:2" x14ac:dyDescent="0.25">
      <c r="A58" s="98">
        <v>51</v>
      </c>
      <c r="B58" s="99">
        <v>12.81</v>
      </c>
    </row>
    <row r="59" spans="1:2" x14ac:dyDescent="0.25">
      <c r="A59" s="98">
        <v>52</v>
      </c>
      <c r="B59" s="99">
        <v>13</v>
      </c>
    </row>
    <row r="60" spans="1:2" x14ac:dyDescent="0.25">
      <c r="A60" s="98">
        <v>53</v>
      </c>
      <c r="B60" s="99">
        <v>13.2</v>
      </c>
    </row>
    <row r="61" spans="1:2" x14ac:dyDescent="0.25">
      <c r="A61" s="98">
        <v>54</v>
      </c>
      <c r="B61" s="99">
        <v>13.4</v>
      </c>
    </row>
    <row r="62" spans="1:2" x14ac:dyDescent="0.25">
      <c r="A62" s="98">
        <v>55</v>
      </c>
      <c r="B62" s="99">
        <v>13.6</v>
      </c>
    </row>
    <row r="63" spans="1:2" x14ac:dyDescent="0.25">
      <c r="A63" s="98">
        <v>56</v>
      </c>
      <c r="B63" s="99">
        <v>13.82</v>
      </c>
    </row>
    <row r="64" spans="1:2" x14ac:dyDescent="0.25">
      <c r="A64" s="98">
        <v>57</v>
      </c>
      <c r="B64" s="99">
        <v>14.03</v>
      </c>
    </row>
    <row r="65" spans="1:2" x14ac:dyDescent="0.25">
      <c r="A65" s="98">
        <v>58</v>
      </c>
      <c r="B65" s="99">
        <v>14.26</v>
      </c>
    </row>
    <row r="66" spans="1:2" x14ac:dyDescent="0.25">
      <c r="A66" s="98">
        <v>59</v>
      </c>
      <c r="B66" s="99">
        <v>14.49</v>
      </c>
    </row>
    <row r="67" spans="1:2" x14ac:dyDescent="0.25">
      <c r="A67" s="98">
        <v>60</v>
      </c>
      <c r="B67" s="99">
        <v>14.74</v>
      </c>
    </row>
    <row r="68" spans="1:2" x14ac:dyDescent="0.25">
      <c r="A68" s="98">
        <v>61</v>
      </c>
      <c r="B68" s="99">
        <v>14.99</v>
      </c>
    </row>
    <row r="69" spans="1:2" x14ac:dyDescent="0.25">
      <c r="A69" s="98">
        <v>62</v>
      </c>
      <c r="B69" s="99">
        <v>15.25</v>
      </c>
    </row>
    <row r="70" spans="1:2" x14ac:dyDescent="0.25">
      <c r="A70" s="98">
        <v>63</v>
      </c>
      <c r="B70" s="99">
        <v>15.52</v>
      </c>
    </row>
    <row r="71" spans="1:2" x14ac:dyDescent="0.25">
      <c r="A71" s="98">
        <v>64</v>
      </c>
      <c r="B71" s="99">
        <v>15.8</v>
      </c>
    </row>
    <row r="72" spans="1:2" x14ac:dyDescent="0.25">
      <c r="A72" s="98">
        <v>65</v>
      </c>
      <c r="B72" s="99">
        <v>16.100000000000001</v>
      </c>
    </row>
    <row r="73" spans="1:2" x14ac:dyDescent="0.25">
      <c r="A73" s="98">
        <v>66</v>
      </c>
      <c r="B73" s="99">
        <v>16.420000000000002</v>
      </c>
    </row>
    <row r="74" spans="1:2" x14ac:dyDescent="0.25">
      <c r="A74" s="98">
        <v>67</v>
      </c>
      <c r="B74" s="99">
        <v>16.75</v>
      </c>
    </row>
    <row r="75" spans="1:2" x14ac:dyDescent="0.25">
      <c r="A75" s="98">
        <v>68</v>
      </c>
      <c r="B75" s="99">
        <v>16.579999999999998</v>
      </c>
    </row>
    <row r="76" spans="1:2" x14ac:dyDescent="0.25">
      <c r="A76" s="98">
        <v>69</v>
      </c>
      <c r="B76" s="99">
        <v>15.9</v>
      </c>
    </row>
    <row r="77" spans="1:2" x14ac:dyDescent="0.25">
      <c r="A77" s="98">
        <v>70</v>
      </c>
      <c r="B77" s="99">
        <v>15.22</v>
      </c>
    </row>
    <row r="78" spans="1:2" x14ac:dyDescent="0.25">
      <c r="A78" s="98">
        <v>71</v>
      </c>
      <c r="B78" s="99">
        <v>14.54</v>
      </c>
    </row>
    <row r="79" spans="1:2" x14ac:dyDescent="0.25">
      <c r="A79" s="98">
        <v>72</v>
      </c>
      <c r="B79" s="99">
        <v>13.88</v>
      </c>
    </row>
    <row r="80" spans="1:2" x14ac:dyDescent="0.25">
      <c r="A80" s="98">
        <v>73</v>
      </c>
      <c r="B80" s="99">
        <v>13.22</v>
      </c>
    </row>
    <row r="81" spans="1:2" x14ac:dyDescent="0.25">
      <c r="A81" s="98">
        <v>74</v>
      </c>
      <c r="B81" s="99">
        <v>12.57</v>
      </c>
    </row>
  </sheetData>
  <sheetProtection algorithmName="SHA-512" hashValue="QjMfAQbzEXUMmbmNAtiTL9wGI6xmsebG5n2Bkf5MqpOf4P+3y/kNECpodj5RS+YjussFbjntBiajdoBqaSz10A==" saltValue="hsRVQuM6tnGV+kD14dszjA==" spinCount="100000" sheet="1" objects="1" scenarios="1"/>
  <conditionalFormatting sqref="A6:A21">
    <cfRule type="expression" dxfId="483" priority="11" stopIfTrue="1">
      <formula>MOD(ROW(),2)=0</formula>
    </cfRule>
    <cfRule type="expression" dxfId="482" priority="12" stopIfTrue="1">
      <formula>MOD(ROW(),2)&lt;&gt;0</formula>
    </cfRule>
  </conditionalFormatting>
  <conditionalFormatting sqref="A26:A81">
    <cfRule type="expression" dxfId="481" priority="3" stopIfTrue="1">
      <formula>MOD(ROW(),2)=0</formula>
    </cfRule>
    <cfRule type="expression" dxfId="480" priority="4" stopIfTrue="1">
      <formula>MOD(ROW(),2)&lt;&gt;0</formula>
    </cfRule>
  </conditionalFormatting>
  <conditionalFormatting sqref="B6 B8:B15">
    <cfRule type="expression" dxfId="479" priority="23" stopIfTrue="1">
      <formula>MOD(ROW(),2)=0</formula>
    </cfRule>
    <cfRule type="expression" dxfId="478" priority="24" stopIfTrue="1">
      <formula>MOD(ROW(),2)&lt;&gt;0</formula>
    </cfRule>
  </conditionalFormatting>
  <conditionalFormatting sqref="B6:B21">
    <cfRule type="expression" dxfId="477" priority="15" stopIfTrue="1">
      <formula>MOD(ROW(),2)=0</formula>
    </cfRule>
    <cfRule type="expression" dxfId="476" priority="16" stopIfTrue="1">
      <formula>MOD(ROW(),2)&lt;&gt;0</formula>
    </cfRule>
  </conditionalFormatting>
  <conditionalFormatting sqref="B16:B21">
    <cfRule type="expression" dxfId="475" priority="1" stopIfTrue="1">
      <formula>MOD(ROW(),2)=0</formula>
    </cfRule>
    <cfRule type="expression" dxfId="474" priority="2" stopIfTrue="1">
      <formula>MOD(ROW(),2)&lt;&gt;0</formula>
    </cfRule>
  </conditionalFormatting>
  <conditionalFormatting sqref="B26:B81">
    <cfRule type="expression" dxfId="473" priority="5" stopIfTrue="1">
      <formula>MOD(ROW(),2)=0</formula>
    </cfRule>
    <cfRule type="expression" dxfId="472" priority="6" stopIfTrue="1">
      <formula>MOD(ROW(),2)&lt;&gt;0</formula>
    </cfRule>
  </conditionalFormatting>
  <hyperlinks>
    <hyperlink ref="B24" location="Assumptions!A1" display="Assumptions" xr:uid="{3438BA4D-926D-4FFB-B6AE-354365ADB2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36"/>
  <dimension ref="A1:M6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Scheme pays AA - x-615</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73</v>
      </c>
      <c r="C8" s="161"/>
      <c r="D8" s="161"/>
      <c r="E8" s="161"/>
      <c r="F8" s="161"/>
      <c r="G8" s="161"/>
      <c r="H8" s="161"/>
      <c r="I8" s="161"/>
      <c r="J8" s="161"/>
      <c r="K8" s="161"/>
      <c r="L8" s="161"/>
      <c r="M8" s="161"/>
    </row>
    <row r="9" spans="1:13" x14ac:dyDescent="0.25">
      <c r="A9" s="77" t="s">
        <v>280</v>
      </c>
      <c r="B9" s="161" t="s">
        <v>521</v>
      </c>
      <c r="C9" s="161"/>
      <c r="D9" s="161"/>
      <c r="E9" s="161"/>
      <c r="F9" s="161"/>
      <c r="G9" s="161"/>
      <c r="H9" s="161"/>
      <c r="I9" s="161"/>
      <c r="J9" s="161"/>
      <c r="K9" s="161"/>
      <c r="L9" s="161"/>
      <c r="M9" s="161"/>
    </row>
    <row r="10" spans="1:13" x14ac:dyDescent="0.25">
      <c r="A10" s="77" t="s">
        <v>6</v>
      </c>
      <c r="B10" s="161" t="s">
        <v>545</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546</v>
      </c>
      <c r="C12" s="161"/>
      <c r="D12" s="161"/>
      <c r="E12" s="161"/>
      <c r="F12" s="161"/>
      <c r="G12" s="161"/>
      <c r="H12" s="161"/>
      <c r="I12" s="161"/>
      <c r="J12" s="161"/>
      <c r="K12" s="161"/>
      <c r="L12" s="161"/>
      <c r="M12" s="161"/>
    </row>
    <row r="13" spans="1:13" x14ac:dyDescent="0.25">
      <c r="A13" s="77" t="s">
        <v>287</v>
      </c>
      <c r="B13" s="161">
        <v>0</v>
      </c>
      <c r="C13" s="161"/>
      <c r="D13" s="161"/>
      <c r="E13" s="161"/>
      <c r="F13" s="161"/>
      <c r="G13" s="161"/>
      <c r="H13" s="161"/>
      <c r="I13" s="161"/>
      <c r="J13" s="161"/>
      <c r="K13" s="161"/>
      <c r="L13" s="161"/>
      <c r="M13" s="161"/>
    </row>
    <row r="14" spans="1:13" x14ac:dyDescent="0.25">
      <c r="A14" s="77" t="s">
        <v>289</v>
      </c>
      <c r="B14" s="161">
        <v>615</v>
      </c>
      <c r="C14" s="161"/>
      <c r="D14" s="161"/>
      <c r="E14" s="161"/>
      <c r="F14" s="161"/>
      <c r="G14" s="161"/>
      <c r="H14" s="161"/>
      <c r="I14" s="161"/>
      <c r="J14" s="161"/>
      <c r="K14" s="161"/>
      <c r="L14" s="161"/>
      <c r="M14" s="161"/>
    </row>
    <row r="15" spans="1:13" x14ac:dyDescent="0.25">
      <c r="A15" s="77" t="s">
        <v>291</v>
      </c>
      <c r="B15" s="161" t="s">
        <v>547</v>
      </c>
      <c r="C15" s="161"/>
      <c r="D15" s="161"/>
      <c r="E15" s="161"/>
      <c r="F15" s="161"/>
      <c r="G15" s="161"/>
      <c r="H15" s="161"/>
      <c r="I15" s="161"/>
      <c r="J15" s="161"/>
      <c r="K15" s="161"/>
      <c r="L15" s="161"/>
      <c r="M15" s="161"/>
    </row>
    <row r="16" spans="1:13" x14ac:dyDescent="0.25">
      <c r="A16" s="77" t="s">
        <v>293</v>
      </c>
      <c r="B16" s="161" t="s">
        <v>548</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805</v>
      </c>
      <c r="B26" s="97">
        <v>0</v>
      </c>
      <c r="C26" s="97">
        <v>1</v>
      </c>
      <c r="D26" s="97">
        <v>2</v>
      </c>
      <c r="E26" s="97">
        <v>3</v>
      </c>
      <c r="F26" s="97">
        <v>4</v>
      </c>
      <c r="G26" s="97">
        <v>5</v>
      </c>
      <c r="H26" s="97">
        <v>6</v>
      </c>
      <c r="I26" s="97">
        <v>7</v>
      </c>
      <c r="J26" s="97">
        <v>8</v>
      </c>
      <c r="K26" s="97">
        <v>9</v>
      </c>
      <c r="L26" s="97">
        <v>10</v>
      </c>
      <c r="M26" s="97">
        <v>11</v>
      </c>
    </row>
    <row r="27" spans="1:13" x14ac:dyDescent="0.25">
      <c r="A27" s="98">
        <v>0</v>
      </c>
      <c r="B27" s="103">
        <v>1</v>
      </c>
      <c r="C27" s="103">
        <v>0.99199999999999999</v>
      </c>
      <c r="D27" s="103">
        <v>0.98699999999999999</v>
      </c>
      <c r="E27" s="103">
        <v>0.98199999999999998</v>
      </c>
      <c r="F27" s="103">
        <v>0.97599999999999998</v>
      </c>
      <c r="G27" s="103">
        <v>0.97099999999999997</v>
      </c>
      <c r="H27" s="103">
        <v>0.96599999999999997</v>
      </c>
      <c r="I27" s="103">
        <v>0.96099999999999997</v>
      </c>
      <c r="J27" s="103">
        <v>0.95499999999999996</v>
      </c>
      <c r="K27" s="103">
        <v>0.95</v>
      </c>
      <c r="L27" s="103">
        <v>0.94499999999999995</v>
      </c>
      <c r="M27" s="103">
        <v>0.94</v>
      </c>
    </row>
    <row r="28" spans="1:13" x14ac:dyDescent="0.25">
      <c r="A28" s="98">
        <v>1</v>
      </c>
      <c r="B28" s="103">
        <v>0.93500000000000005</v>
      </c>
      <c r="C28" s="103">
        <v>0.93</v>
      </c>
      <c r="D28" s="103">
        <v>0.92500000000000004</v>
      </c>
      <c r="E28" s="103">
        <v>0.92</v>
      </c>
      <c r="F28" s="103">
        <v>0.91500000000000004</v>
      </c>
      <c r="G28" s="103">
        <v>0.91</v>
      </c>
      <c r="H28" s="103">
        <v>0.90600000000000003</v>
      </c>
      <c r="I28" s="103">
        <v>0.90100000000000002</v>
      </c>
      <c r="J28" s="103">
        <v>0.89600000000000002</v>
      </c>
      <c r="K28" s="103">
        <v>0.89100000000000001</v>
      </c>
      <c r="L28" s="103">
        <v>0.88600000000000001</v>
      </c>
      <c r="M28" s="103">
        <v>0.88100000000000001</v>
      </c>
    </row>
    <row r="29" spans="1:13" x14ac:dyDescent="0.25">
      <c r="A29" s="98">
        <v>2</v>
      </c>
      <c r="B29" s="103">
        <v>0.877</v>
      </c>
      <c r="C29" s="103">
        <v>0.872</v>
      </c>
      <c r="D29" s="103">
        <v>0.86799999999999999</v>
      </c>
      <c r="E29" s="103">
        <v>0.86299999999999999</v>
      </c>
      <c r="F29" s="103">
        <v>0.85899999999999999</v>
      </c>
      <c r="G29" s="103">
        <v>0.85399999999999998</v>
      </c>
      <c r="H29" s="103">
        <v>0.85</v>
      </c>
      <c r="I29" s="103">
        <v>0.84499999999999997</v>
      </c>
      <c r="J29" s="103">
        <v>0.84099999999999997</v>
      </c>
      <c r="K29" s="103">
        <v>0.83599999999999997</v>
      </c>
      <c r="L29" s="103">
        <v>0.83199999999999996</v>
      </c>
      <c r="M29" s="103">
        <v>0.82699999999999996</v>
      </c>
    </row>
    <row r="30" spans="1:13" x14ac:dyDescent="0.25">
      <c r="A30" s="98">
        <v>3</v>
      </c>
      <c r="B30" s="103">
        <v>0.82299999999999995</v>
      </c>
      <c r="C30" s="103">
        <v>0.81899999999999995</v>
      </c>
      <c r="D30" s="103">
        <v>0.81499999999999995</v>
      </c>
      <c r="E30" s="103">
        <v>0.81100000000000005</v>
      </c>
      <c r="F30" s="103">
        <v>0.80700000000000005</v>
      </c>
      <c r="G30" s="103">
        <v>0.80300000000000005</v>
      </c>
      <c r="H30" s="103">
        <v>0.79800000000000004</v>
      </c>
      <c r="I30" s="103">
        <v>0.79400000000000004</v>
      </c>
      <c r="J30" s="103">
        <v>0.79</v>
      </c>
      <c r="K30" s="103">
        <v>0.78600000000000003</v>
      </c>
      <c r="L30" s="103">
        <v>0.78200000000000003</v>
      </c>
      <c r="M30" s="103">
        <v>0.77800000000000002</v>
      </c>
    </row>
    <row r="31" spans="1:13" x14ac:dyDescent="0.25">
      <c r="A31" s="98">
        <v>4</v>
      </c>
      <c r="B31" s="103">
        <v>0.77400000000000002</v>
      </c>
      <c r="C31" s="103">
        <v>0.77100000000000002</v>
      </c>
      <c r="D31" s="103">
        <v>0.76700000000000002</v>
      </c>
      <c r="E31" s="103">
        <v>0.76300000000000001</v>
      </c>
      <c r="F31" s="103">
        <v>0.76</v>
      </c>
      <c r="G31" s="103">
        <v>0.75600000000000001</v>
      </c>
      <c r="H31" s="103">
        <v>0.752</v>
      </c>
      <c r="I31" s="103">
        <v>0.749</v>
      </c>
      <c r="J31" s="103">
        <v>0.745</v>
      </c>
      <c r="K31" s="103">
        <v>0.74099999999999999</v>
      </c>
      <c r="L31" s="103">
        <v>0.73799999999999999</v>
      </c>
      <c r="M31" s="103">
        <v>0.73399999999999999</v>
      </c>
    </row>
    <row r="32" spans="1:13" x14ac:dyDescent="0.25">
      <c r="A32" s="98">
        <v>5</v>
      </c>
      <c r="B32" s="103">
        <v>0.73</v>
      </c>
      <c r="C32" s="103">
        <v>0.72699999999999998</v>
      </c>
      <c r="D32" s="103">
        <v>0.72399999999999998</v>
      </c>
      <c r="E32" s="103">
        <v>0.72</v>
      </c>
      <c r="F32" s="103">
        <v>0.71699999999999997</v>
      </c>
      <c r="G32" s="103">
        <v>0.71399999999999997</v>
      </c>
      <c r="H32" s="103">
        <v>0.71</v>
      </c>
      <c r="I32" s="103">
        <v>0.70699999999999996</v>
      </c>
      <c r="J32" s="103">
        <v>0.70399999999999996</v>
      </c>
      <c r="K32" s="103">
        <v>0.7</v>
      </c>
      <c r="L32" s="103">
        <v>0.69699999999999995</v>
      </c>
      <c r="M32" s="103">
        <v>0.69399999999999995</v>
      </c>
    </row>
    <row r="33" spans="1:13" x14ac:dyDescent="0.25">
      <c r="A33" s="98">
        <v>6</v>
      </c>
      <c r="B33" s="103">
        <v>0.69099999999999995</v>
      </c>
      <c r="C33" s="103">
        <v>0.68799999999999994</v>
      </c>
      <c r="D33" s="103">
        <v>0.68500000000000005</v>
      </c>
      <c r="E33" s="103">
        <v>0.68200000000000005</v>
      </c>
      <c r="F33" s="103">
        <v>0.67900000000000005</v>
      </c>
      <c r="G33" s="103">
        <v>0.67600000000000005</v>
      </c>
      <c r="H33" s="103">
        <v>0.67300000000000004</v>
      </c>
      <c r="I33" s="103">
        <v>0.67</v>
      </c>
      <c r="J33" s="103">
        <v>0.66700000000000004</v>
      </c>
      <c r="K33" s="103">
        <v>0.66400000000000003</v>
      </c>
      <c r="L33" s="103">
        <v>0.66100000000000003</v>
      </c>
      <c r="M33" s="103">
        <v>0.65800000000000003</v>
      </c>
    </row>
    <row r="34" spans="1:13" x14ac:dyDescent="0.25">
      <c r="A34" s="98">
        <v>7</v>
      </c>
      <c r="B34" s="103">
        <v>0.65500000000000003</v>
      </c>
      <c r="C34" s="103">
        <v>0.65200000000000002</v>
      </c>
      <c r="D34" s="103">
        <v>0.64900000000000002</v>
      </c>
      <c r="E34" s="103">
        <v>0.64600000000000002</v>
      </c>
      <c r="F34" s="103">
        <v>0.64300000000000002</v>
      </c>
      <c r="G34" s="103">
        <v>0.64</v>
      </c>
      <c r="H34" s="103">
        <v>0.63800000000000001</v>
      </c>
      <c r="I34" s="103">
        <v>0.63500000000000001</v>
      </c>
      <c r="J34" s="103">
        <v>0.63200000000000001</v>
      </c>
      <c r="K34" s="103">
        <v>0.629</v>
      </c>
      <c r="L34" s="103">
        <v>0.626</v>
      </c>
      <c r="M34" s="103">
        <v>0.623</v>
      </c>
    </row>
    <row r="35" spans="1:13" x14ac:dyDescent="0.25">
      <c r="A35" s="98">
        <v>8</v>
      </c>
      <c r="B35" s="103">
        <v>0.621</v>
      </c>
      <c r="C35" s="103">
        <v>0.61799999999999999</v>
      </c>
      <c r="D35" s="103">
        <v>0.61599999999999999</v>
      </c>
      <c r="E35" s="103">
        <v>0.61299999999999999</v>
      </c>
      <c r="F35" s="103">
        <v>0.61</v>
      </c>
      <c r="G35" s="103">
        <v>0.60799999999999998</v>
      </c>
      <c r="H35" s="103">
        <v>0.60499999999999998</v>
      </c>
      <c r="I35" s="103">
        <v>0.60299999999999998</v>
      </c>
      <c r="J35" s="103">
        <v>0.6</v>
      </c>
      <c r="K35" s="103">
        <v>0.59699999999999998</v>
      </c>
      <c r="L35" s="103">
        <v>0.59499999999999997</v>
      </c>
      <c r="M35" s="103">
        <v>0.59199999999999997</v>
      </c>
    </row>
    <row r="36" spans="1:13" x14ac:dyDescent="0.25">
      <c r="A36" s="98">
        <v>9</v>
      </c>
      <c r="B36" s="103">
        <v>0.59</v>
      </c>
      <c r="C36" s="103">
        <v>0.58699999999999997</v>
      </c>
      <c r="D36" s="103">
        <v>0.58499999999999996</v>
      </c>
      <c r="E36" s="103">
        <v>0.58299999999999996</v>
      </c>
      <c r="F36" s="103">
        <v>0.57999999999999996</v>
      </c>
      <c r="G36" s="103">
        <v>0.57799999999999996</v>
      </c>
      <c r="H36" s="103">
        <v>0.57499999999999996</v>
      </c>
      <c r="I36" s="103">
        <v>0.57299999999999995</v>
      </c>
      <c r="J36" s="103">
        <v>0.56999999999999995</v>
      </c>
      <c r="K36" s="103">
        <v>0.56799999999999995</v>
      </c>
      <c r="L36" s="103">
        <v>0.56599999999999995</v>
      </c>
      <c r="M36" s="103">
        <v>0.56299999999999994</v>
      </c>
    </row>
    <row r="37" spans="1:13" x14ac:dyDescent="0.25">
      <c r="A37" s="98">
        <v>10</v>
      </c>
      <c r="B37" s="103">
        <v>0.56100000000000005</v>
      </c>
      <c r="C37" s="103">
        <v>0.55900000000000005</v>
      </c>
      <c r="D37" s="103">
        <v>0.55700000000000005</v>
      </c>
      <c r="E37" s="103">
        <v>0.55400000000000005</v>
      </c>
      <c r="F37" s="103">
        <v>0.55200000000000005</v>
      </c>
      <c r="G37" s="103">
        <v>0.55000000000000004</v>
      </c>
      <c r="H37" s="103">
        <v>0.54800000000000004</v>
      </c>
      <c r="I37" s="103">
        <v>0.54600000000000004</v>
      </c>
      <c r="J37" s="103">
        <v>0.54400000000000004</v>
      </c>
      <c r="K37" s="103">
        <v>0.54100000000000004</v>
      </c>
      <c r="L37" s="103">
        <v>0.53900000000000003</v>
      </c>
      <c r="M37" s="103">
        <v>0.53700000000000003</v>
      </c>
    </row>
    <row r="38" spans="1:13" x14ac:dyDescent="0.25">
      <c r="A38" s="98">
        <v>11</v>
      </c>
      <c r="B38" s="103">
        <v>0.53500000000000003</v>
      </c>
      <c r="C38" s="103">
        <v>0.53300000000000003</v>
      </c>
      <c r="D38" s="103">
        <v>0.53100000000000003</v>
      </c>
      <c r="E38" s="103">
        <v>0.52900000000000003</v>
      </c>
      <c r="F38" s="103">
        <v>0.52700000000000002</v>
      </c>
      <c r="G38" s="103">
        <v>0.52500000000000002</v>
      </c>
      <c r="H38" s="103">
        <v>0.52200000000000002</v>
      </c>
      <c r="I38" s="103">
        <v>0.52</v>
      </c>
      <c r="J38" s="103">
        <v>0.51800000000000002</v>
      </c>
      <c r="K38" s="103">
        <v>0.51600000000000001</v>
      </c>
      <c r="L38" s="103">
        <v>0.51400000000000001</v>
      </c>
      <c r="M38" s="103">
        <v>0.51200000000000001</v>
      </c>
    </row>
    <row r="39" spans="1:13" x14ac:dyDescent="0.25">
      <c r="A39" s="98">
        <v>12</v>
      </c>
      <c r="B39" s="103">
        <v>0.51</v>
      </c>
      <c r="C39" s="103">
        <v>0.50800000000000001</v>
      </c>
      <c r="D39" s="103">
        <v>0.50600000000000001</v>
      </c>
      <c r="E39" s="103">
        <v>0.504</v>
      </c>
      <c r="F39" s="103">
        <v>0.502</v>
      </c>
      <c r="G39" s="103">
        <v>0.5</v>
      </c>
      <c r="H39" s="103">
        <v>0.499</v>
      </c>
      <c r="I39" s="103">
        <v>0.497</v>
      </c>
      <c r="J39" s="103">
        <v>0.495</v>
      </c>
      <c r="K39" s="103">
        <v>0.49299999999999999</v>
      </c>
      <c r="L39" s="103">
        <v>0.49099999999999999</v>
      </c>
      <c r="M39" s="103">
        <v>0.48899999999999999</v>
      </c>
    </row>
    <row r="40" spans="1:13" x14ac:dyDescent="0.25">
      <c r="A40" s="98">
        <v>13</v>
      </c>
      <c r="B40" s="103">
        <v>0.48699999999999999</v>
      </c>
      <c r="C40" s="103">
        <v>0.48499999999999999</v>
      </c>
      <c r="D40" s="103">
        <v>0.48399999999999999</v>
      </c>
      <c r="E40" s="103">
        <v>0.48199999999999998</v>
      </c>
      <c r="F40" s="103">
        <v>0.48</v>
      </c>
      <c r="G40" s="103">
        <v>0.47799999999999998</v>
      </c>
      <c r="H40" s="103">
        <v>0.47699999999999998</v>
      </c>
      <c r="I40" s="103">
        <v>0.47499999999999998</v>
      </c>
      <c r="J40" s="103">
        <v>0.47299999999999998</v>
      </c>
      <c r="K40" s="103">
        <v>0.47099999999999997</v>
      </c>
      <c r="L40" s="103">
        <v>0.47</v>
      </c>
      <c r="M40" s="103">
        <v>0.46800000000000003</v>
      </c>
    </row>
    <row r="41" spans="1:13" x14ac:dyDescent="0.25">
      <c r="A41" s="98">
        <v>14</v>
      </c>
      <c r="B41" s="103">
        <v>0.46600000000000003</v>
      </c>
      <c r="C41" s="103">
        <v>0.46400000000000002</v>
      </c>
      <c r="D41" s="103">
        <v>0.46300000000000002</v>
      </c>
      <c r="E41" s="103">
        <v>0.46100000000000002</v>
      </c>
      <c r="F41" s="103">
        <v>0.45900000000000002</v>
      </c>
      <c r="G41" s="103">
        <v>0.45700000000000002</v>
      </c>
      <c r="H41" s="103">
        <v>0.45600000000000002</v>
      </c>
      <c r="I41" s="103">
        <v>0.45400000000000001</v>
      </c>
      <c r="J41" s="103">
        <v>0.45200000000000001</v>
      </c>
      <c r="K41" s="103">
        <v>0.45</v>
      </c>
      <c r="L41" s="103">
        <v>0.44900000000000001</v>
      </c>
      <c r="M41" s="103">
        <v>0.44700000000000001</v>
      </c>
    </row>
    <row r="42" spans="1:13" x14ac:dyDescent="0.25">
      <c r="A42" s="98">
        <v>15</v>
      </c>
      <c r="B42" s="103">
        <v>0.44500000000000001</v>
      </c>
      <c r="C42" s="103">
        <v>0.44400000000000001</v>
      </c>
      <c r="D42" s="103">
        <v>0.442</v>
      </c>
      <c r="E42" s="103">
        <v>0.441</v>
      </c>
      <c r="F42" s="103">
        <v>0.439</v>
      </c>
      <c r="G42" s="103">
        <v>0.438</v>
      </c>
      <c r="H42" s="103">
        <v>0.436</v>
      </c>
      <c r="I42" s="103">
        <v>0.435</v>
      </c>
      <c r="J42" s="103">
        <v>0.433</v>
      </c>
      <c r="K42" s="103">
        <v>0.432</v>
      </c>
      <c r="L42" s="103">
        <v>0.43</v>
      </c>
      <c r="M42" s="103">
        <v>0.42899999999999999</v>
      </c>
    </row>
    <row r="43" spans="1:13" x14ac:dyDescent="0.25">
      <c r="A43" s="98">
        <v>16</v>
      </c>
      <c r="B43" s="103">
        <v>0.42699999999999999</v>
      </c>
      <c r="C43" s="103">
        <v>0.42599999999999999</v>
      </c>
      <c r="D43" s="103">
        <v>0.42399999999999999</v>
      </c>
      <c r="E43" s="103">
        <v>0.42299999999999999</v>
      </c>
      <c r="F43" s="103">
        <v>0.42099999999999999</v>
      </c>
      <c r="G43" s="103">
        <v>0.42</v>
      </c>
      <c r="H43" s="103">
        <v>0.41799999999999998</v>
      </c>
      <c r="I43" s="103">
        <v>0.41699999999999998</v>
      </c>
      <c r="J43" s="103">
        <v>0.41499999999999998</v>
      </c>
      <c r="K43" s="103">
        <v>0.41399999999999998</v>
      </c>
      <c r="L43" s="103">
        <v>0.41199999999999998</v>
      </c>
      <c r="M43" s="103">
        <v>0.41099999999999998</v>
      </c>
    </row>
    <row r="44" spans="1:13" x14ac:dyDescent="0.25">
      <c r="A44" s="98">
        <v>17</v>
      </c>
      <c r="B44" s="103">
        <v>0.40899999999999997</v>
      </c>
      <c r="C44" s="103">
        <v>0.40799999999999997</v>
      </c>
      <c r="D44" s="103">
        <v>0.40600000000000003</v>
      </c>
      <c r="E44" s="103">
        <v>0.40500000000000003</v>
      </c>
      <c r="F44" s="103">
        <v>0.40400000000000003</v>
      </c>
      <c r="G44" s="103">
        <v>0.40200000000000002</v>
      </c>
      <c r="H44" s="103">
        <v>0.40100000000000002</v>
      </c>
      <c r="I44" s="103">
        <v>0.39900000000000002</v>
      </c>
      <c r="J44" s="103">
        <v>0.39800000000000002</v>
      </c>
      <c r="K44" s="103">
        <v>0.39700000000000002</v>
      </c>
      <c r="L44" s="103">
        <v>0.39500000000000002</v>
      </c>
      <c r="M44" s="103">
        <v>0.39400000000000002</v>
      </c>
    </row>
    <row r="45" spans="1:13" x14ac:dyDescent="0.25">
      <c r="A45" s="98">
        <v>18</v>
      </c>
      <c r="B45" s="103">
        <v>0.39200000000000002</v>
      </c>
      <c r="C45" s="103">
        <v>0.39100000000000001</v>
      </c>
      <c r="D45" s="103">
        <v>0.38900000000000001</v>
      </c>
      <c r="E45" s="103">
        <v>0.38800000000000001</v>
      </c>
      <c r="F45" s="103">
        <v>0.38600000000000001</v>
      </c>
      <c r="G45" s="103">
        <v>0.38500000000000001</v>
      </c>
      <c r="H45" s="103">
        <v>0.38300000000000001</v>
      </c>
      <c r="I45" s="103">
        <v>0.38200000000000001</v>
      </c>
      <c r="J45" s="103">
        <v>0.38</v>
      </c>
      <c r="K45" s="103">
        <v>0.379</v>
      </c>
      <c r="L45" s="103">
        <v>0.377</v>
      </c>
      <c r="M45" s="103">
        <v>0.376</v>
      </c>
    </row>
    <row r="46" spans="1:13" x14ac:dyDescent="0.25">
      <c r="A46" s="98">
        <v>19</v>
      </c>
      <c r="B46" s="103">
        <v>0.374</v>
      </c>
      <c r="C46" s="103">
        <v>0.373</v>
      </c>
      <c r="D46" s="103">
        <v>0.371</v>
      </c>
      <c r="E46" s="103">
        <v>0.37</v>
      </c>
      <c r="F46" s="103">
        <v>0.36899999999999999</v>
      </c>
      <c r="G46" s="103">
        <v>0.36699999999999999</v>
      </c>
      <c r="H46" s="103">
        <v>0.36599999999999999</v>
      </c>
      <c r="I46" s="103">
        <v>0.36399999999999999</v>
      </c>
      <c r="J46" s="103">
        <v>0.36299999999999999</v>
      </c>
      <c r="K46" s="103">
        <v>0.36199999999999999</v>
      </c>
      <c r="L46" s="103">
        <v>0.36</v>
      </c>
      <c r="M46" s="103">
        <v>0.35899999999999999</v>
      </c>
    </row>
    <row r="47" spans="1:13" x14ac:dyDescent="0.25">
      <c r="A47" s="98">
        <v>20</v>
      </c>
      <c r="B47" s="103">
        <v>0.35699999999999998</v>
      </c>
      <c r="C47" s="103">
        <v>0.35599999999999998</v>
      </c>
      <c r="D47" s="103">
        <v>0.35499999999999998</v>
      </c>
      <c r="E47" s="103">
        <v>0.35299999999999998</v>
      </c>
      <c r="F47" s="103">
        <v>0.35199999999999998</v>
      </c>
      <c r="G47" s="103">
        <v>0.35099999999999998</v>
      </c>
      <c r="H47" s="103">
        <v>0.34899999999999998</v>
      </c>
      <c r="I47" s="103">
        <v>0.34799999999999998</v>
      </c>
      <c r="J47" s="103">
        <v>0.34699999999999998</v>
      </c>
      <c r="K47" s="103">
        <v>0.34499999999999997</v>
      </c>
      <c r="L47" s="103">
        <v>0.34399999999999997</v>
      </c>
      <c r="M47" s="103">
        <v>0.34300000000000003</v>
      </c>
    </row>
    <row r="48" spans="1:13" x14ac:dyDescent="0.25">
      <c r="A48" s="98">
        <v>21</v>
      </c>
      <c r="B48" s="103">
        <v>0.34100000000000003</v>
      </c>
      <c r="C48" s="103">
        <v>0.34</v>
      </c>
      <c r="D48" s="103">
        <v>0.33900000000000002</v>
      </c>
      <c r="E48" s="103">
        <v>0.33800000000000002</v>
      </c>
      <c r="F48" s="103">
        <v>0.33600000000000002</v>
      </c>
      <c r="G48" s="103">
        <v>0.33500000000000002</v>
      </c>
      <c r="H48" s="103">
        <v>0.33400000000000002</v>
      </c>
      <c r="I48" s="103">
        <v>0.33300000000000002</v>
      </c>
      <c r="J48" s="103">
        <v>0.33100000000000002</v>
      </c>
      <c r="K48" s="103">
        <v>0.33</v>
      </c>
      <c r="L48" s="103">
        <v>0.32900000000000001</v>
      </c>
      <c r="M48" s="103">
        <v>0.32800000000000001</v>
      </c>
    </row>
    <row r="49" spans="1:13" x14ac:dyDescent="0.25">
      <c r="A49" s="98">
        <v>22</v>
      </c>
      <c r="B49" s="103">
        <v>0.32700000000000001</v>
      </c>
      <c r="C49" s="103">
        <v>0.32600000000000001</v>
      </c>
      <c r="D49" s="103">
        <v>0.32500000000000001</v>
      </c>
      <c r="E49" s="103">
        <v>0.32400000000000001</v>
      </c>
      <c r="F49" s="103">
        <v>0.32300000000000001</v>
      </c>
      <c r="G49" s="103">
        <v>0.32200000000000001</v>
      </c>
      <c r="H49" s="103">
        <v>0.32100000000000001</v>
      </c>
      <c r="I49" s="103">
        <v>0.32</v>
      </c>
      <c r="J49" s="103">
        <v>0.31900000000000001</v>
      </c>
      <c r="K49" s="103">
        <v>0.318</v>
      </c>
      <c r="L49" s="103">
        <v>0.317</v>
      </c>
      <c r="M49" s="103">
        <v>0.316</v>
      </c>
    </row>
    <row r="50" spans="1:13" x14ac:dyDescent="0.25">
      <c r="A50" s="98">
        <v>23</v>
      </c>
      <c r="B50" s="103">
        <v>0.315</v>
      </c>
      <c r="C50" s="103">
        <v>0.314</v>
      </c>
      <c r="D50" s="103">
        <v>0.313</v>
      </c>
      <c r="E50" s="103">
        <v>0.312</v>
      </c>
      <c r="F50" s="103">
        <v>0.311</v>
      </c>
      <c r="G50" s="103">
        <v>0.31</v>
      </c>
      <c r="H50" s="103">
        <v>0.309</v>
      </c>
      <c r="I50" s="103">
        <v>0.308</v>
      </c>
      <c r="J50" s="103">
        <v>0.307</v>
      </c>
      <c r="K50" s="103">
        <v>0.30599999999999999</v>
      </c>
      <c r="L50" s="103">
        <v>0.30499999999999999</v>
      </c>
      <c r="M50" s="103">
        <v>0.30399999999999999</v>
      </c>
    </row>
    <row r="51" spans="1:13" x14ac:dyDescent="0.25">
      <c r="A51" s="98">
        <v>24</v>
      </c>
      <c r="B51" s="103">
        <v>0.30299999999999999</v>
      </c>
      <c r="C51" s="103">
        <v>0.30199999999999999</v>
      </c>
      <c r="D51" s="103">
        <v>0.30099999999999999</v>
      </c>
      <c r="E51" s="103">
        <v>0.3</v>
      </c>
      <c r="F51" s="103">
        <v>0.29899999999999999</v>
      </c>
      <c r="G51" s="103">
        <v>0.29799999999999999</v>
      </c>
      <c r="H51" s="103">
        <v>0.29699999999999999</v>
      </c>
      <c r="I51" s="103">
        <v>0.29599999999999999</v>
      </c>
      <c r="J51" s="103">
        <v>0.29499999999999998</v>
      </c>
      <c r="K51" s="103">
        <v>0.29399999999999998</v>
      </c>
      <c r="L51" s="103">
        <v>0.29299999999999998</v>
      </c>
      <c r="M51" s="103">
        <v>0.29199999999999998</v>
      </c>
    </row>
    <row r="52" spans="1:13" x14ac:dyDescent="0.25">
      <c r="A52" s="98">
        <v>25</v>
      </c>
      <c r="B52" s="103">
        <v>0.29199999999999998</v>
      </c>
      <c r="C52" s="103">
        <v>0.29099999999999998</v>
      </c>
      <c r="D52" s="103">
        <v>0.28999999999999998</v>
      </c>
      <c r="E52" s="103">
        <v>0.28899999999999998</v>
      </c>
      <c r="F52" s="103">
        <v>0.28799999999999998</v>
      </c>
      <c r="G52" s="103">
        <v>0.28699999999999998</v>
      </c>
      <c r="H52" s="103">
        <v>0.28699999999999998</v>
      </c>
      <c r="I52" s="103">
        <v>0.28599999999999998</v>
      </c>
      <c r="J52" s="103">
        <v>0.28499999999999998</v>
      </c>
      <c r="K52" s="103">
        <v>0.28399999999999997</v>
      </c>
      <c r="L52" s="103">
        <v>0.28299999999999997</v>
      </c>
      <c r="M52" s="103">
        <v>0.28199999999999997</v>
      </c>
    </row>
    <row r="53" spans="1:13" x14ac:dyDescent="0.25">
      <c r="A53" s="98">
        <v>26</v>
      </c>
      <c r="B53" s="103">
        <v>0.28199999999999997</v>
      </c>
      <c r="C53" s="103">
        <v>0.28100000000000003</v>
      </c>
      <c r="D53" s="103">
        <v>0.28000000000000003</v>
      </c>
      <c r="E53" s="103">
        <v>0.27900000000000003</v>
      </c>
      <c r="F53" s="103">
        <v>0.27800000000000002</v>
      </c>
      <c r="G53" s="103">
        <v>0.27700000000000002</v>
      </c>
      <c r="H53" s="103">
        <v>0.27700000000000002</v>
      </c>
      <c r="I53" s="103">
        <v>0.27600000000000002</v>
      </c>
      <c r="J53" s="103">
        <v>0.27500000000000002</v>
      </c>
      <c r="K53" s="103">
        <v>0.27400000000000002</v>
      </c>
      <c r="L53" s="103">
        <v>0.27300000000000002</v>
      </c>
      <c r="M53" s="103">
        <v>0.27200000000000002</v>
      </c>
    </row>
    <row r="54" spans="1:13" x14ac:dyDescent="0.25">
      <c r="A54" s="98">
        <v>27</v>
      </c>
      <c r="B54" s="103">
        <v>0.27200000000000002</v>
      </c>
      <c r="C54" s="103">
        <v>0.27100000000000002</v>
      </c>
      <c r="D54" s="103">
        <v>0.27</v>
      </c>
      <c r="E54" s="103">
        <v>0.26900000000000002</v>
      </c>
      <c r="F54" s="103">
        <v>0.26800000000000002</v>
      </c>
      <c r="G54" s="103">
        <v>0.26700000000000002</v>
      </c>
      <c r="H54" s="103">
        <v>0.26700000000000002</v>
      </c>
      <c r="I54" s="103">
        <v>0.26600000000000001</v>
      </c>
      <c r="J54" s="103">
        <v>0.26500000000000001</v>
      </c>
      <c r="K54" s="103">
        <v>0.26400000000000001</v>
      </c>
      <c r="L54" s="103">
        <v>0.26300000000000001</v>
      </c>
      <c r="M54" s="103">
        <v>0.26200000000000001</v>
      </c>
    </row>
    <row r="55" spans="1:13" x14ac:dyDescent="0.25">
      <c r="A55" s="98">
        <v>28</v>
      </c>
      <c r="B55" s="103">
        <v>0.26200000000000001</v>
      </c>
      <c r="C55" s="103">
        <v>0.26100000000000001</v>
      </c>
      <c r="D55" s="103">
        <v>0.26</v>
      </c>
      <c r="E55" s="103">
        <v>0.25900000000000001</v>
      </c>
      <c r="F55" s="103">
        <v>0.25900000000000001</v>
      </c>
      <c r="G55" s="103">
        <v>0.25800000000000001</v>
      </c>
      <c r="H55" s="103">
        <v>0.25700000000000001</v>
      </c>
      <c r="I55" s="103">
        <v>0.25600000000000001</v>
      </c>
      <c r="J55" s="103">
        <v>0.25600000000000001</v>
      </c>
      <c r="K55" s="103">
        <v>0.255</v>
      </c>
      <c r="L55" s="103">
        <v>0.254</v>
      </c>
      <c r="M55" s="103">
        <v>0.253</v>
      </c>
    </row>
    <row r="56" spans="1:13" x14ac:dyDescent="0.25">
      <c r="A56" s="98">
        <v>29</v>
      </c>
      <c r="B56" s="103">
        <v>0.253</v>
      </c>
      <c r="C56" s="103">
        <v>0.252</v>
      </c>
      <c r="D56" s="103">
        <v>0.251</v>
      </c>
      <c r="E56" s="103">
        <v>0.251</v>
      </c>
      <c r="F56" s="103">
        <v>0.25</v>
      </c>
      <c r="G56" s="103">
        <v>0.249</v>
      </c>
      <c r="H56" s="103">
        <v>0.249</v>
      </c>
      <c r="I56" s="103">
        <v>0.248</v>
      </c>
      <c r="J56" s="103">
        <v>0.247</v>
      </c>
      <c r="K56" s="103">
        <v>0.247</v>
      </c>
      <c r="L56" s="103">
        <v>0.246</v>
      </c>
      <c r="M56" s="103">
        <v>0.245</v>
      </c>
    </row>
    <row r="57" spans="1:13" x14ac:dyDescent="0.25">
      <c r="A57" s="98">
        <v>30</v>
      </c>
      <c r="B57" s="103">
        <v>0.245</v>
      </c>
      <c r="C57" s="103">
        <v>0.24399999999999999</v>
      </c>
      <c r="D57" s="103">
        <v>0.24299999999999999</v>
      </c>
      <c r="E57" s="103">
        <v>0.24299999999999999</v>
      </c>
      <c r="F57" s="103">
        <v>0.24199999999999999</v>
      </c>
      <c r="G57" s="103">
        <v>0.24099999999999999</v>
      </c>
      <c r="H57" s="103">
        <v>0.24099999999999999</v>
      </c>
      <c r="I57" s="103">
        <v>0.24</v>
      </c>
      <c r="J57" s="103">
        <v>0.23899999999999999</v>
      </c>
      <c r="K57" s="103">
        <v>0.23899999999999999</v>
      </c>
      <c r="L57" s="103">
        <v>0.23799999999999999</v>
      </c>
      <c r="M57" s="103">
        <v>0.23699999999999999</v>
      </c>
    </row>
    <row r="58" spans="1:13" x14ac:dyDescent="0.25">
      <c r="A58" s="98">
        <v>31</v>
      </c>
      <c r="B58" s="103">
        <v>0.23699999999999999</v>
      </c>
      <c r="C58" s="103">
        <v>0.23599999999999999</v>
      </c>
      <c r="D58" s="103">
        <v>0.23499999999999999</v>
      </c>
      <c r="E58" s="103">
        <v>0.23499999999999999</v>
      </c>
      <c r="F58" s="103">
        <v>0.23400000000000001</v>
      </c>
      <c r="G58" s="103">
        <v>0.23300000000000001</v>
      </c>
      <c r="H58" s="103">
        <v>0.23300000000000001</v>
      </c>
      <c r="I58" s="103">
        <v>0.23200000000000001</v>
      </c>
      <c r="J58" s="103">
        <v>0.23100000000000001</v>
      </c>
      <c r="K58" s="103">
        <v>0.23100000000000001</v>
      </c>
      <c r="L58" s="103">
        <v>0.23</v>
      </c>
      <c r="M58" s="103">
        <v>0.22900000000000001</v>
      </c>
    </row>
    <row r="59" spans="1:13" x14ac:dyDescent="0.25">
      <c r="A59" s="98">
        <v>32</v>
      </c>
      <c r="B59" s="103">
        <v>0.22900000000000001</v>
      </c>
      <c r="C59" s="103">
        <v>0.22800000000000001</v>
      </c>
      <c r="D59" s="103">
        <v>0.22700000000000001</v>
      </c>
      <c r="E59" s="103">
        <v>0.22700000000000001</v>
      </c>
      <c r="F59" s="103">
        <v>0.22600000000000001</v>
      </c>
      <c r="G59" s="103">
        <v>0.22500000000000001</v>
      </c>
      <c r="H59" s="103">
        <v>0.22500000000000001</v>
      </c>
      <c r="I59" s="103">
        <v>0.224</v>
      </c>
      <c r="J59" s="103">
        <v>0.223</v>
      </c>
      <c r="K59" s="103">
        <v>0.223</v>
      </c>
      <c r="L59" s="103">
        <v>0.222</v>
      </c>
      <c r="M59" s="103">
        <v>0.221</v>
      </c>
    </row>
    <row r="60" spans="1:13" x14ac:dyDescent="0.25">
      <c r="A60" s="98">
        <v>33</v>
      </c>
      <c r="B60" s="103">
        <v>0.221</v>
      </c>
      <c r="C60" s="103">
        <v>0.22</v>
      </c>
      <c r="D60" s="103">
        <v>0.22</v>
      </c>
      <c r="E60" s="103">
        <v>0.219</v>
      </c>
      <c r="F60" s="103">
        <v>0.218</v>
      </c>
      <c r="G60" s="103">
        <v>0.218</v>
      </c>
      <c r="H60" s="103">
        <v>0.217</v>
      </c>
      <c r="I60" s="103">
        <v>0.217</v>
      </c>
      <c r="J60" s="103">
        <v>0.216</v>
      </c>
      <c r="K60" s="103">
        <v>0.215</v>
      </c>
      <c r="L60" s="103">
        <v>0.215</v>
      </c>
      <c r="M60" s="103">
        <v>0.214</v>
      </c>
    </row>
    <row r="61" spans="1:13" x14ac:dyDescent="0.25">
      <c r="A61" s="98">
        <v>34</v>
      </c>
      <c r="B61" s="103">
        <v>0.214</v>
      </c>
      <c r="C61" s="103">
        <v>0.21299999999999999</v>
      </c>
      <c r="D61" s="103">
        <v>0.21299999999999999</v>
      </c>
      <c r="E61" s="103">
        <v>0.21199999999999999</v>
      </c>
      <c r="F61" s="103">
        <v>0.21099999999999999</v>
      </c>
      <c r="G61" s="103">
        <v>0.21099999999999999</v>
      </c>
      <c r="H61" s="103">
        <v>0.21</v>
      </c>
      <c r="I61" s="103">
        <v>0.21</v>
      </c>
      <c r="J61" s="103">
        <v>0.20899999999999999</v>
      </c>
      <c r="K61" s="103">
        <v>0.20799999999999999</v>
      </c>
      <c r="L61" s="103">
        <v>0.20799999999999999</v>
      </c>
      <c r="M61" s="103">
        <v>0.20699999999999999</v>
      </c>
    </row>
    <row r="62" spans="1:13" x14ac:dyDescent="0.25">
      <c r="A62" s="98">
        <v>35</v>
      </c>
      <c r="B62" s="103">
        <v>0.20699999999999999</v>
      </c>
      <c r="C62" s="103">
        <v>0.20599999999999999</v>
      </c>
      <c r="D62" s="103">
        <v>0.20599999999999999</v>
      </c>
      <c r="E62" s="103">
        <v>0.20499999999999999</v>
      </c>
      <c r="F62" s="103">
        <v>0.20499999999999999</v>
      </c>
      <c r="G62" s="103">
        <v>0.20399999999999999</v>
      </c>
      <c r="H62" s="103">
        <v>0.20399999999999999</v>
      </c>
      <c r="I62" s="103">
        <v>0.20300000000000001</v>
      </c>
      <c r="J62" s="103">
        <v>0.20300000000000001</v>
      </c>
      <c r="K62" s="103">
        <v>0.20200000000000001</v>
      </c>
      <c r="L62" s="103">
        <v>0.20200000000000001</v>
      </c>
      <c r="M62" s="103">
        <v>0.20100000000000001</v>
      </c>
    </row>
    <row r="63" spans="1:13" x14ac:dyDescent="0.25">
      <c r="A63" s="98">
        <v>36</v>
      </c>
      <c r="B63" s="103">
        <v>0.20100000000000001</v>
      </c>
      <c r="C63" s="103">
        <v>0.2</v>
      </c>
      <c r="D63" s="103">
        <v>0.2</v>
      </c>
      <c r="E63" s="103">
        <v>0.19900000000000001</v>
      </c>
      <c r="F63" s="103">
        <v>0.19800000000000001</v>
      </c>
      <c r="G63" s="103">
        <v>0.19800000000000001</v>
      </c>
      <c r="H63" s="103">
        <v>0.19700000000000001</v>
      </c>
      <c r="I63" s="103">
        <v>0.19700000000000001</v>
      </c>
      <c r="J63" s="103">
        <v>0.19600000000000001</v>
      </c>
      <c r="K63" s="103">
        <v>0.19500000000000001</v>
      </c>
      <c r="L63" s="103">
        <v>0.19500000000000001</v>
      </c>
      <c r="M63" s="103">
        <v>0.19400000000000001</v>
      </c>
    </row>
    <row r="64" spans="1:13" x14ac:dyDescent="0.25">
      <c r="A64" s="98">
        <v>37</v>
      </c>
      <c r="B64" s="103">
        <v>0.19400000000000001</v>
      </c>
      <c r="C64" s="103">
        <v>0.193</v>
      </c>
      <c r="D64" s="103">
        <v>0.193</v>
      </c>
      <c r="E64" s="103">
        <v>0.193</v>
      </c>
      <c r="F64" s="103">
        <v>0.192</v>
      </c>
      <c r="G64" s="103">
        <v>0.192</v>
      </c>
      <c r="H64" s="103">
        <v>0.191</v>
      </c>
      <c r="I64" s="103">
        <v>0.191</v>
      </c>
      <c r="J64" s="103">
        <v>0.19</v>
      </c>
      <c r="K64" s="103">
        <v>0.19</v>
      </c>
      <c r="L64" s="103">
        <v>0.19</v>
      </c>
      <c r="M64" s="103">
        <v>0.189</v>
      </c>
    </row>
    <row r="65" spans="1:13" x14ac:dyDescent="0.25">
      <c r="A65" s="98">
        <v>38</v>
      </c>
      <c r="B65" s="103">
        <v>0.189</v>
      </c>
      <c r="C65" s="103">
        <v>0.188</v>
      </c>
      <c r="D65" s="103">
        <v>0.188</v>
      </c>
      <c r="E65" s="103">
        <v>0.187</v>
      </c>
      <c r="F65" s="103">
        <v>0.187</v>
      </c>
      <c r="G65" s="103">
        <v>0.186</v>
      </c>
      <c r="H65" s="103">
        <v>0.186</v>
      </c>
      <c r="I65" s="103">
        <v>0.185</v>
      </c>
      <c r="J65" s="103">
        <v>0.185</v>
      </c>
      <c r="K65" s="103">
        <v>0.184</v>
      </c>
      <c r="L65" s="103">
        <v>0.184</v>
      </c>
      <c r="M65" s="103">
        <v>0.183</v>
      </c>
    </row>
    <row r="66" spans="1:13" x14ac:dyDescent="0.25">
      <c r="A66" s="98">
        <v>39</v>
      </c>
      <c r="B66" s="103">
        <v>0.183</v>
      </c>
      <c r="C66" s="103">
        <v>0.182</v>
      </c>
      <c r="D66" s="103">
        <v>0.182</v>
      </c>
      <c r="E66" s="103">
        <v>0.18099999999999999</v>
      </c>
      <c r="F66" s="103">
        <v>0.18099999999999999</v>
      </c>
      <c r="G66" s="103">
        <v>0.18</v>
      </c>
      <c r="H66" s="103">
        <v>0.18</v>
      </c>
      <c r="I66" s="103">
        <v>0.17899999999999999</v>
      </c>
      <c r="J66" s="103">
        <v>0.17899999999999999</v>
      </c>
      <c r="K66" s="103">
        <v>0.17799999999999999</v>
      </c>
      <c r="L66" s="103">
        <v>0.17799999999999999</v>
      </c>
      <c r="M66" s="103">
        <v>0.17699999999999999</v>
      </c>
    </row>
  </sheetData>
  <sheetProtection algorithmName="SHA-512" hashValue="loNnd4E9xb/1tv++pFuotpTv6pWfF23N0jdnC1nzTFVqJZ2DN7aexbAb0LtzjW4Q9cgW2o03sN32YllSrZYXIw==" saltValue="18pQbjM9l3fhF7AQrXa6zA==" spinCount="100000" sheet="1" objects="1" scenarios="1"/>
  <conditionalFormatting sqref="A6:A21">
    <cfRule type="expression" dxfId="471" priority="11" stopIfTrue="1">
      <formula>MOD(ROW(),2)=0</formula>
    </cfRule>
    <cfRule type="expression" dxfId="470" priority="12" stopIfTrue="1">
      <formula>MOD(ROW(),2)&lt;&gt;0</formula>
    </cfRule>
  </conditionalFormatting>
  <conditionalFormatting sqref="A26:A66">
    <cfRule type="expression" dxfId="469" priority="3" stopIfTrue="1">
      <formula>MOD(ROW(),2)=0</formula>
    </cfRule>
    <cfRule type="expression" dxfId="468" priority="4" stopIfTrue="1">
      <formula>MOD(ROW(),2)&lt;&gt;0</formula>
    </cfRule>
  </conditionalFormatting>
  <conditionalFormatting sqref="B16:B21">
    <cfRule type="expression" dxfId="467" priority="1" stopIfTrue="1">
      <formula>MOD(ROW(),2)=0</formula>
    </cfRule>
    <cfRule type="expression" dxfId="466" priority="2" stopIfTrue="1">
      <formula>MOD(ROW(),2)&lt;&gt;0</formula>
    </cfRule>
  </conditionalFormatting>
  <conditionalFormatting sqref="B6:M6 C7:M7 B8:M15 C16:M21">
    <cfRule type="expression" dxfId="465" priority="23" stopIfTrue="1">
      <formula>MOD(ROW(),2)=0</formula>
    </cfRule>
    <cfRule type="expression" dxfId="464" priority="24" stopIfTrue="1">
      <formula>MOD(ROW(),2)&lt;&gt;0</formula>
    </cfRule>
  </conditionalFormatting>
  <conditionalFormatting sqref="B6:M21">
    <cfRule type="expression" dxfId="463" priority="15" stopIfTrue="1">
      <formula>MOD(ROW(),2)=0</formula>
    </cfRule>
    <cfRule type="expression" dxfId="462" priority="16" stopIfTrue="1">
      <formula>MOD(ROW(),2)&lt;&gt;0</formula>
    </cfRule>
  </conditionalFormatting>
  <conditionalFormatting sqref="B26:M66">
    <cfRule type="expression" dxfId="461" priority="5" stopIfTrue="1">
      <formula>MOD(ROW(),2)=0</formula>
    </cfRule>
    <cfRule type="expression" dxfId="460" priority="6" stopIfTrue="1">
      <formula>MOD(ROW(),2)&lt;&gt;0</formula>
    </cfRule>
  </conditionalFormatting>
  <hyperlinks>
    <hyperlink ref="B24" location="Assumptions!A1" display="Assumptions" xr:uid="{31F8885A-91EF-4753-B2BE-A464ED5315F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D9DDF-DA85-41C7-A537-50052423DE0C}">
  <sheetPr codeName="Sheet88"/>
  <dimension ref="A1:I76"/>
  <sheetViews>
    <sheetView showGridLines="0" zoomScale="85" zoomScaleNormal="85" workbookViewId="0">
      <selection activeCell="A4" sqref="A4"/>
    </sheetView>
  </sheetViews>
  <sheetFormatPr defaultColWidth="10" defaultRowHeight="12.5" x14ac:dyDescent="0.25"/>
  <cols>
    <col min="1" max="1" width="31.54296875" style="26" customWidth="1"/>
    <col min="2" max="3" width="22.54296875" style="26" customWidth="1"/>
    <col min="4" max="4" width="10"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Added pension - x-703</v>
      </c>
      <c r="B3" s="40"/>
      <c r="C3" s="40"/>
      <c r="D3" s="40"/>
      <c r="E3" s="40"/>
      <c r="F3" s="40"/>
      <c r="G3" s="40"/>
      <c r="H3" s="40"/>
      <c r="I3" s="40"/>
    </row>
    <row r="4" spans="1:9" x14ac:dyDescent="0.25">
      <c r="A4" s="42"/>
    </row>
    <row r="6" spans="1:9" ht="13" x14ac:dyDescent="0.3">
      <c r="A6" s="75" t="s">
        <v>274</v>
      </c>
      <c r="B6" s="161" t="s">
        <v>275</v>
      </c>
      <c r="C6" s="161"/>
    </row>
    <row r="7" spans="1:9" x14ac:dyDescent="0.25">
      <c r="A7" s="77" t="s">
        <v>276</v>
      </c>
      <c r="B7" s="161" t="s">
        <v>72</v>
      </c>
      <c r="C7" s="161"/>
    </row>
    <row r="8" spans="1:9" x14ac:dyDescent="0.25">
      <c r="A8" s="77" t="s">
        <v>278</v>
      </c>
      <c r="B8" s="161" t="s">
        <v>73</v>
      </c>
      <c r="C8" s="161"/>
    </row>
    <row r="9" spans="1:9" x14ac:dyDescent="0.25">
      <c r="A9" s="77" t="s">
        <v>280</v>
      </c>
      <c r="B9" s="161" t="s">
        <v>549</v>
      </c>
      <c r="C9" s="161"/>
    </row>
    <row r="10" spans="1:9" x14ac:dyDescent="0.25">
      <c r="A10" s="77" t="s">
        <v>6</v>
      </c>
      <c r="B10" s="161" t="s">
        <v>550</v>
      </c>
      <c r="C10" s="161"/>
    </row>
    <row r="11" spans="1:9" x14ac:dyDescent="0.25">
      <c r="A11" s="77" t="s">
        <v>283</v>
      </c>
      <c r="B11" s="161" t="s">
        <v>355</v>
      </c>
      <c r="C11" s="161"/>
    </row>
    <row r="12" spans="1:9" x14ac:dyDescent="0.25">
      <c r="A12" s="77" t="s">
        <v>285</v>
      </c>
      <c r="B12" s="161" t="s">
        <v>551</v>
      </c>
      <c r="C12" s="161"/>
    </row>
    <row r="13" spans="1:9" x14ac:dyDescent="0.25">
      <c r="A13" s="77" t="s">
        <v>287</v>
      </c>
      <c r="B13" s="161">
        <v>0</v>
      </c>
      <c r="C13" s="161"/>
    </row>
    <row r="14" spans="1:9" x14ac:dyDescent="0.25">
      <c r="A14" s="77" t="s">
        <v>289</v>
      </c>
      <c r="B14" s="161">
        <v>703</v>
      </c>
      <c r="C14" s="161"/>
    </row>
    <row r="15" spans="1:9" x14ac:dyDescent="0.25">
      <c r="A15" s="77" t="s">
        <v>291</v>
      </c>
      <c r="B15" s="161" t="s">
        <v>552</v>
      </c>
      <c r="C15" s="161"/>
    </row>
    <row r="16" spans="1:9" x14ac:dyDescent="0.25">
      <c r="A16" s="77" t="s">
        <v>293</v>
      </c>
      <c r="B16" s="161" t="s">
        <v>553</v>
      </c>
      <c r="C16" s="161"/>
    </row>
    <row r="17" spans="1:3" x14ac:dyDescent="0.25">
      <c r="A17" s="74" t="s">
        <v>760</v>
      </c>
      <c r="B17" s="161"/>
      <c r="C17" s="161"/>
    </row>
    <row r="18" spans="1:3" x14ac:dyDescent="0.25">
      <c r="A18" s="77" t="s">
        <v>297</v>
      </c>
      <c r="B18" s="163">
        <v>45202</v>
      </c>
      <c r="C18" s="161"/>
    </row>
    <row r="19" spans="1:3" x14ac:dyDescent="0.25">
      <c r="A19" s="77" t="s">
        <v>299</v>
      </c>
      <c r="B19" s="163">
        <v>45383</v>
      </c>
      <c r="C19" s="161"/>
    </row>
    <row r="20" spans="1:3" x14ac:dyDescent="0.25">
      <c r="A20" s="77" t="s">
        <v>301</v>
      </c>
      <c r="B20" s="161" t="s">
        <v>314</v>
      </c>
      <c r="C20" s="161"/>
    </row>
    <row r="21" spans="1:3" x14ac:dyDescent="0.25">
      <c r="A21" s="77" t="s">
        <v>307</v>
      </c>
      <c r="B21" s="161" t="s">
        <v>315</v>
      </c>
      <c r="C21" s="161"/>
    </row>
    <row r="23" spans="1:3" x14ac:dyDescent="0.25">
      <c r="B23" s="100" t="str">
        <f>HYPERLINK("#'Factor List'!A1","Back to Factor List")</f>
        <v>Back to Factor List</v>
      </c>
    </row>
    <row r="24" spans="1:3" x14ac:dyDescent="0.25">
      <c r="B24" s="100" t="s">
        <v>13</v>
      </c>
    </row>
    <row r="26" spans="1:3" ht="26" x14ac:dyDescent="0.25">
      <c r="A26" s="79" t="s">
        <v>417</v>
      </c>
      <c r="B26" s="79" t="s">
        <v>814</v>
      </c>
      <c r="C26" s="79" t="s">
        <v>815</v>
      </c>
    </row>
    <row r="27" spans="1:3" x14ac:dyDescent="0.25">
      <c r="A27" s="80">
        <v>16</v>
      </c>
      <c r="B27" s="115">
        <v>2020</v>
      </c>
      <c r="C27" s="115">
        <v>2180</v>
      </c>
    </row>
    <row r="28" spans="1:3" x14ac:dyDescent="0.25">
      <c r="A28" s="80">
        <v>17</v>
      </c>
      <c r="B28" s="115">
        <v>2050</v>
      </c>
      <c r="C28" s="115">
        <v>2220</v>
      </c>
    </row>
    <row r="29" spans="1:3" x14ac:dyDescent="0.25">
      <c r="A29" s="80">
        <v>18</v>
      </c>
      <c r="B29" s="115">
        <v>2080</v>
      </c>
      <c r="C29" s="115">
        <v>2250</v>
      </c>
    </row>
    <row r="30" spans="1:3" x14ac:dyDescent="0.25">
      <c r="A30" s="80">
        <v>19</v>
      </c>
      <c r="B30" s="115">
        <v>2110</v>
      </c>
      <c r="C30" s="115">
        <v>2290</v>
      </c>
    </row>
    <row r="31" spans="1:3" x14ac:dyDescent="0.25">
      <c r="A31" s="80">
        <v>20</v>
      </c>
      <c r="B31" s="115">
        <v>2140</v>
      </c>
      <c r="C31" s="115">
        <v>2320</v>
      </c>
    </row>
    <row r="32" spans="1:3" x14ac:dyDescent="0.25">
      <c r="A32" s="80">
        <v>21</v>
      </c>
      <c r="B32" s="115">
        <v>2170</v>
      </c>
      <c r="C32" s="115">
        <v>2350</v>
      </c>
    </row>
    <row r="33" spans="1:3" x14ac:dyDescent="0.25">
      <c r="A33" s="80">
        <v>22</v>
      </c>
      <c r="B33" s="115">
        <v>2200</v>
      </c>
      <c r="C33" s="115">
        <v>2390</v>
      </c>
    </row>
    <row r="34" spans="1:3" x14ac:dyDescent="0.25">
      <c r="A34" s="80">
        <v>23</v>
      </c>
      <c r="B34" s="115">
        <v>2230</v>
      </c>
      <c r="C34" s="115">
        <v>2420</v>
      </c>
    </row>
    <row r="35" spans="1:3" x14ac:dyDescent="0.25">
      <c r="A35" s="80">
        <v>24</v>
      </c>
      <c r="B35" s="115">
        <v>2260</v>
      </c>
      <c r="C35" s="115">
        <v>2460</v>
      </c>
    </row>
    <row r="36" spans="1:3" x14ac:dyDescent="0.25">
      <c r="A36" s="80">
        <v>25</v>
      </c>
      <c r="B36" s="115">
        <v>2300</v>
      </c>
      <c r="C36" s="115">
        <v>2490</v>
      </c>
    </row>
    <row r="37" spans="1:3" x14ac:dyDescent="0.25">
      <c r="A37" s="80">
        <v>26</v>
      </c>
      <c r="B37" s="115">
        <v>2330</v>
      </c>
      <c r="C37" s="115">
        <v>2530</v>
      </c>
    </row>
    <row r="38" spans="1:3" x14ac:dyDescent="0.25">
      <c r="A38" s="80">
        <v>27</v>
      </c>
      <c r="B38" s="115">
        <v>2360</v>
      </c>
      <c r="C38" s="115">
        <v>2560</v>
      </c>
    </row>
    <row r="39" spans="1:3" x14ac:dyDescent="0.25">
      <c r="A39" s="80">
        <v>28</v>
      </c>
      <c r="B39" s="115">
        <v>2390</v>
      </c>
      <c r="C39" s="115">
        <v>2600</v>
      </c>
    </row>
    <row r="40" spans="1:3" x14ac:dyDescent="0.25">
      <c r="A40" s="80">
        <v>29</v>
      </c>
      <c r="B40" s="115">
        <v>2430</v>
      </c>
      <c r="C40" s="115">
        <v>2630</v>
      </c>
    </row>
    <row r="41" spans="1:3" x14ac:dyDescent="0.25">
      <c r="A41" s="80">
        <v>30</v>
      </c>
      <c r="B41" s="115">
        <v>2460</v>
      </c>
      <c r="C41" s="115">
        <v>2670</v>
      </c>
    </row>
    <row r="42" spans="1:3" x14ac:dyDescent="0.25">
      <c r="A42" s="80">
        <v>31</v>
      </c>
      <c r="B42" s="115">
        <v>2500</v>
      </c>
      <c r="C42" s="115">
        <v>2710</v>
      </c>
    </row>
    <row r="43" spans="1:3" x14ac:dyDescent="0.25">
      <c r="A43" s="80">
        <v>32</v>
      </c>
      <c r="B43" s="115">
        <v>2530</v>
      </c>
      <c r="C43" s="115">
        <v>2750</v>
      </c>
    </row>
    <row r="44" spans="1:3" x14ac:dyDescent="0.25">
      <c r="A44" s="80">
        <v>33</v>
      </c>
      <c r="B44" s="115">
        <v>2570</v>
      </c>
      <c r="C44" s="115">
        <v>2780</v>
      </c>
    </row>
    <row r="45" spans="1:3" x14ac:dyDescent="0.25">
      <c r="A45" s="80">
        <v>34</v>
      </c>
      <c r="B45" s="115">
        <v>2600</v>
      </c>
      <c r="C45" s="115">
        <v>2820</v>
      </c>
    </row>
    <row r="46" spans="1:3" x14ac:dyDescent="0.25">
      <c r="A46" s="80">
        <v>35</v>
      </c>
      <c r="B46" s="115">
        <v>2640</v>
      </c>
      <c r="C46" s="115">
        <v>2860</v>
      </c>
    </row>
    <row r="47" spans="1:3" x14ac:dyDescent="0.25">
      <c r="A47" s="80">
        <v>36</v>
      </c>
      <c r="B47" s="115">
        <v>2680</v>
      </c>
      <c r="C47" s="115">
        <v>2900</v>
      </c>
    </row>
    <row r="48" spans="1:3" x14ac:dyDescent="0.25">
      <c r="A48" s="80">
        <v>37</v>
      </c>
      <c r="B48" s="115">
        <v>2710</v>
      </c>
      <c r="C48" s="115">
        <v>2940</v>
      </c>
    </row>
    <row r="49" spans="1:3" x14ac:dyDescent="0.25">
      <c r="A49" s="80">
        <v>38</v>
      </c>
      <c r="B49" s="115">
        <v>2750</v>
      </c>
      <c r="C49" s="115">
        <v>2980</v>
      </c>
    </row>
    <row r="50" spans="1:3" x14ac:dyDescent="0.25">
      <c r="A50" s="80">
        <v>39</v>
      </c>
      <c r="B50" s="115">
        <v>2790</v>
      </c>
      <c r="C50" s="115">
        <v>3020</v>
      </c>
    </row>
    <row r="51" spans="1:3" x14ac:dyDescent="0.25">
      <c r="A51" s="80">
        <v>40</v>
      </c>
      <c r="B51" s="115">
        <v>2830</v>
      </c>
      <c r="C51" s="115">
        <v>3060</v>
      </c>
    </row>
    <row r="52" spans="1:3" x14ac:dyDescent="0.25">
      <c r="A52" s="80">
        <v>41</v>
      </c>
      <c r="B52" s="115">
        <v>2870</v>
      </c>
      <c r="C52" s="115">
        <v>3100</v>
      </c>
    </row>
    <row r="53" spans="1:3" x14ac:dyDescent="0.25">
      <c r="A53" s="80">
        <v>42</v>
      </c>
      <c r="B53" s="115">
        <v>2910</v>
      </c>
      <c r="C53" s="115">
        <v>3150</v>
      </c>
    </row>
    <row r="54" spans="1:3" x14ac:dyDescent="0.25">
      <c r="A54" s="80">
        <v>43</v>
      </c>
      <c r="B54" s="115">
        <v>2950</v>
      </c>
      <c r="C54" s="115">
        <v>3190</v>
      </c>
    </row>
    <row r="55" spans="1:3" x14ac:dyDescent="0.25">
      <c r="A55" s="80">
        <v>44</v>
      </c>
      <c r="B55" s="115">
        <v>2990</v>
      </c>
      <c r="C55" s="115">
        <v>3230</v>
      </c>
    </row>
    <row r="56" spans="1:3" x14ac:dyDescent="0.25">
      <c r="A56" s="80">
        <v>45</v>
      </c>
      <c r="B56" s="115">
        <v>3030</v>
      </c>
      <c r="C56" s="115">
        <v>3270</v>
      </c>
    </row>
    <row r="57" spans="1:3" x14ac:dyDescent="0.25">
      <c r="A57" s="80">
        <v>46</v>
      </c>
      <c r="B57" s="115">
        <v>3110</v>
      </c>
      <c r="C57" s="115">
        <v>3360</v>
      </c>
    </row>
    <row r="58" spans="1:3" x14ac:dyDescent="0.25">
      <c r="A58" s="80">
        <v>47</v>
      </c>
      <c r="B58" s="115">
        <v>3190</v>
      </c>
      <c r="C58" s="115">
        <v>3440</v>
      </c>
    </row>
    <row r="59" spans="1:3" x14ac:dyDescent="0.25">
      <c r="A59" s="80">
        <v>48</v>
      </c>
      <c r="B59" s="115">
        <v>3280</v>
      </c>
      <c r="C59" s="115">
        <v>3530</v>
      </c>
    </row>
    <row r="60" spans="1:3" x14ac:dyDescent="0.25">
      <c r="A60" s="80">
        <v>49</v>
      </c>
      <c r="B60" s="115">
        <v>3360</v>
      </c>
      <c r="C60" s="115">
        <v>3610</v>
      </c>
    </row>
    <row r="61" spans="1:3" x14ac:dyDescent="0.25">
      <c r="A61" s="80">
        <v>50</v>
      </c>
      <c r="B61" s="115">
        <v>3410</v>
      </c>
      <c r="C61" s="115">
        <v>3660</v>
      </c>
    </row>
    <row r="62" spans="1:3" x14ac:dyDescent="0.25">
      <c r="A62" s="80">
        <v>51</v>
      </c>
      <c r="B62" s="115">
        <v>3460</v>
      </c>
      <c r="C62" s="115">
        <v>3710</v>
      </c>
    </row>
    <row r="63" spans="1:3" x14ac:dyDescent="0.25">
      <c r="A63" s="80">
        <v>52</v>
      </c>
      <c r="B63" s="115">
        <v>3510</v>
      </c>
      <c r="C63" s="115">
        <v>3760</v>
      </c>
    </row>
    <row r="64" spans="1:3" x14ac:dyDescent="0.25">
      <c r="A64" s="80">
        <v>53</v>
      </c>
      <c r="B64" s="115">
        <v>3560</v>
      </c>
      <c r="C64" s="115">
        <v>3810</v>
      </c>
    </row>
    <row r="65" spans="1:3" x14ac:dyDescent="0.25">
      <c r="A65" s="80">
        <v>54</v>
      </c>
      <c r="B65" s="115">
        <v>3610</v>
      </c>
      <c r="C65" s="115">
        <v>3860</v>
      </c>
    </row>
    <row r="66" spans="1:3" x14ac:dyDescent="0.25">
      <c r="A66" s="80">
        <v>55</v>
      </c>
      <c r="B66" s="115">
        <v>3660</v>
      </c>
      <c r="C66" s="115">
        <v>3920</v>
      </c>
    </row>
    <row r="67" spans="1:3" x14ac:dyDescent="0.25">
      <c r="A67" s="80">
        <v>56</v>
      </c>
      <c r="B67" s="115">
        <v>3710</v>
      </c>
      <c r="C67" s="115">
        <v>3970</v>
      </c>
    </row>
    <row r="68" spans="1:3" x14ac:dyDescent="0.25">
      <c r="A68" s="80">
        <v>57</v>
      </c>
      <c r="B68" s="115">
        <v>3760</v>
      </c>
      <c r="C68" s="115">
        <v>4020</v>
      </c>
    </row>
    <row r="69" spans="1:3" x14ac:dyDescent="0.25">
      <c r="A69" s="80">
        <v>58</v>
      </c>
      <c r="B69" s="115">
        <v>3820</v>
      </c>
      <c r="C69" s="115">
        <v>4080</v>
      </c>
    </row>
    <row r="70" spans="1:3" x14ac:dyDescent="0.25">
      <c r="A70" s="80">
        <v>59</v>
      </c>
      <c r="B70" s="115">
        <v>3870</v>
      </c>
      <c r="C70" s="115">
        <v>4130</v>
      </c>
    </row>
    <row r="71" spans="1:3" x14ac:dyDescent="0.25">
      <c r="A71" s="80">
        <v>60</v>
      </c>
      <c r="B71" s="115">
        <v>3930</v>
      </c>
      <c r="C71" s="115">
        <v>4190</v>
      </c>
    </row>
    <row r="72" spans="1:3" x14ac:dyDescent="0.25">
      <c r="A72" s="80">
        <v>61</v>
      </c>
      <c r="B72" s="115">
        <v>3990</v>
      </c>
      <c r="C72" s="115">
        <v>4250</v>
      </c>
    </row>
    <row r="73" spans="1:3" x14ac:dyDescent="0.25">
      <c r="A73" s="80">
        <v>62</v>
      </c>
      <c r="B73" s="115">
        <v>4060</v>
      </c>
      <c r="C73" s="115">
        <v>4320</v>
      </c>
    </row>
    <row r="74" spans="1:3" x14ac:dyDescent="0.25">
      <c r="A74" s="80">
        <v>63</v>
      </c>
      <c r="B74" s="115">
        <v>4180</v>
      </c>
      <c r="C74" s="115">
        <v>4440</v>
      </c>
    </row>
    <row r="75" spans="1:3" x14ac:dyDescent="0.25">
      <c r="A75" s="80">
        <v>64</v>
      </c>
      <c r="B75" s="115">
        <v>4310</v>
      </c>
      <c r="C75" s="115">
        <v>4570</v>
      </c>
    </row>
    <row r="76" spans="1:3" x14ac:dyDescent="0.25">
      <c r="A76" s="80">
        <v>65</v>
      </c>
      <c r="B76" s="115">
        <v>4450</v>
      </c>
      <c r="C76" s="115">
        <v>4700</v>
      </c>
    </row>
  </sheetData>
  <sheetProtection algorithmName="SHA-512" hashValue="O07kCV2r6OE1YvExaQ6Bq85GGlsaQZDSwTfCq0hUoRyAx683SNJXiP3GPXQNMk0yjCsHECSRW1bYvaj8pju6Pg==" saltValue="OHcFs6iybg6rpwLYOi5I6g==" spinCount="100000" sheet="1" objects="1" scenarios="1"/>
  <conditionalFormatting sqref="A6:A21">
    <cfRule type="expression" dxfId="459" priority="5" stopIfTrue="1">
      <formula>MOD(ROW(),2)=0</formula>
    </cfRule>
    <cfRule type="expression" dxfId="458" priority="6" stopIfTrue="1">
      <formula>MOD(ROW(),2)&lt;&gt;0</formula>
    </cfRule>
  </conditionalFormatting>
  <conditionalFormatting sqref="A26:A76">
    <cfRule type="expression" dxfId="457" priority="9" stopIfTrue="1">
      <formula>MOD(ROW(),2)=0</formula>
    </cfRule>
    <cfRule type="expression" dxfId="456" priority="10" stopIfTrue="1">
      <formula>MOD(ROW(),2)&lt;&gt;0</formula>
    </cfRule>
  </conditionalFormatting>
  <conditionalFormatting sqref="B17:B21">
    <cfRule type="expression" dxfId="455" priority="1" stopIfTrue="1">
      <formula>MOD(ROW(),2)=0</formula>
    </cfRule>
    <cfRule type="expression" dxfId="454" priority="2" stopIfTrue="1">
      <formula>MOD(ROW(),2)&lt;&gt;0</formula>
    </cfRule>
  </conditionalFormatting>
  <conditionalFormatting sqref="B6:C21">
    <cfRule type="expression" dxfId="453" priority="15" stopIfTrue="1">
      <formula>MOD(ROW(),2)=0</formula>
    </cfRule>
    <cfRule type="expression" dxfId="452" priority="16" stopIfTrue="1">
      <formula>MOD(ROW(),2)&lt;&gt;0</formula>
    </cfRule>
  </conditionalFormatting>
  <conditionalFormatting sqref="B26:C76">
    <cfRule type="expression" dxfId="451" priority="11" stopIfTrue="1">
      <formula>MOD(ROW(),2)=0</formula>
    </cfRule>
    <cfRule type="expression" dxfId="450" priority="12" stopIfTrue="1">
      <formula>MOD(ROW(),2)&lt;&gt;0</formula>
    </cfRule>
  </conditionalFormatting>
  <hyperlinks>
    <hyperlink ref="B24" location="Assumptions!A1" display="Assumptions" xr:uid="{41CF7447-509C-4E03-AC53-73FED34D88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4ED3-A2AF-4284-8F34-9AA0510515D9}">
  <sheetPr codeName="Sheet89"/>
  <dimension ref="A1:U69"/>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x-704</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74</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554</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1</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704</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556</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557</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237.5</v>
      </c>
      <c r="C27" s="116">
        <v>120.9</v>
      </c>
      <c r="D27" s="116">
        <v>82.1</v>
      </c>
      <c r="E27" s="116">
        <v>62.7</v>
      </c>
      <c r="F27" s="116">
        <v>51.1</v>
      </c>
      <c r="G27" s="116">
        <v>43.3</v>
      </c>
      <c r="H27" s="116">
        <v>37.799999999999997</v>
      </c>
      <c r="I27" s="116">
        <v>33.700000000000003</v>
      </c>
      <c r="J27" s="116">
        <v>30.5</v>
      </c>
      <c r="K27" s="116">
        <v>27.9</v>
      </c>
      <c r="L27" s="116">
        <v>25.8</v>
      </c>
      <c r="M27" s="116">
        <v>24.1</v>
      </c>
      <c r="N27" s="116">
        <v>22.6</v>
      </c>
      <c r="O27" s="116">
        <v>21.3</v>
      </c>
      <c r="P27" s="116">
        <v>20.3</v>
      </c>
      <c r="Q27" s="116">
        <v>19.3</v>
      </c>
      <c r="R27" s="116">
        <v>18.5</v>
      </c>
      <c r="S27" s="116">
        <v>17.7</v>
      </c>
      <c r="T27" s="116">
        <v>17.100000000000001</v>
      </c>
      <c r="U27" s="116">
        <v>16.5</v>
      </c>
    </row>
    <row r="28" spans="1:21" x14ac:dyDescent="0.25">
      <c r="A28" s="80">
        <v>17</v>
      </c>
      <c r="B28" s="116">
        <v>241.1</v>
      </c>
      <c r="C28" s="116">
        <v>122.8</v>
      </c>
      <c r="D28" s="116">
        <v>83.3</v>
      </c>
      <c r="E28" s="116">
        <v>63.6</v>
      </c>
      <c r="F28" s="116">
        <v>51.8</v>
      </c>
      <c r="G28" s="116">
        <v>44</v>
      </c>
      <c r="H28" s="116">
        <v>38.4</v>
      </c>
      <c r="I28" s="116">
        <v>34.200000000000003</v>
      </c>
      <c r="J28" s="116">
        <v>30.9</v>
      </c>
      <c r="K28" s="116">
        <v>28.3</v>
      </c>
      <c r="L28" s="116">
        <v>26.2</v>
      </c>
      <c r="M28" s="116">
        <v>24.4</v>
      </c>
      <c r="N28" s="116">
        <v>22.9</v>
      </c>
      <c r="O28" s="116">
        <v>21.7</v>
      </c>
      <c r="P28" s="116">
        <v>20.6</v>
      </c>
      <c r="Q28" s="116">
        <v>19.600000000000001</v>
      </c>
      <c r="R28" s="116">
        <v>18.8</v>
      </c>
      <c r="S28" s="116">
        <v>18</v>
      </c>
      <c r="T28" s="116">
        <v>17.3</v>
      </c>
      <c r="U28" s="116">
        <v>16.7</v>
      </c>
    </row>
    <row r="29" spans="1:21" x14ac:dyDescent="0.25">
      <c r="A29" s="80">
        <v>18</v>
      </c>
      <c r="B29" s="116">
        <v>244.7</v>
      </c>
      <c r="C29" s="116">
        <v>124.6</v>
      </c>
      <c r="D29" s="116">
        <v>84.6</v>
      </c>
      <c r="E29" s="116">
        <v>64.599999999999994</v>
      </c>
      <c r="F29" s="116">
        <v>52.6</v>
      </c>
      <c r="G29" s="116">
        <v>44.6</v>
      </c>
      <c r="H29" s="116">
        <v>39</v>
      </c>
      <c r="I29" s="116">
        <v>34.700000000000003</v>
      </c>
      <c r="J29" s="116">
        <v>31.4</v>
      </c>
      <c r="K29" s="116">
        <v>28.7</v>
      </c>
      <c r="L29" s="116">
        <v>26.6</v>
      </c>
      <c r="M29" s="116">
        <v>24.8</v>
      </c>
      <c r="N29" s="116">
        <v>23.3</v>
      </c>
      <c r="O29" s="116">
        <v>22</v>
      </c>
      <c r="P29" s="116">
        <v>20.9</v>
      </c>
      <c r="Q29" s="116">
        <v>19.899999999999999</v>
      </c>
      <c r="R29" s="116">
        <v>19</v>
      </c>
      <c r="S29" s="116">
        <v>18.3</v>
      </c>
      <c r="T29" s="116">
        <v>17.600000000000001</v>
      </c>
      <c r="U29" s="116">
        <v>17</v>
      </c>
    </row>
    <row r="30" spans="1:21" x14ac:dyDescent="0.25">
      <c r="A30" s="80">
        <v>19</v>
      </c>
      <c r="B30" s="116">
        <v>248.4</v>
      </c>
      <c r="C30" s="116">
        <v>126.5</v>
      </c>
      <c r="D30" s="116">
        <v>85.9</v>
      </c>
      <c r="E30" s="116">
        <v>65.599999999999994</v>
      </c>
      <c r="F30" s="116">
        <v>53.4</v>
      </c>
      <c r="G30" s="116">
        <v>45.3</v>
      </c>
      <c r="H30" s="116">
        <v>39.5</v>
      </c>
      <c r="I30" s="116">
        <v>35.200000000000003</v>
      </c>
      <c r="J30" s="116">
        <v>31.9</v>
      </c>
      <c r="K30" s="116">
        <v>29.2</v>
      </c>
      <c r="L30" s="116">
        <v>27</v>
      </c>
      <c r="M30" s="116">
        <v>25.2</v>
      </c>
      <c r="N30" s="116">
        <v>23.6</v>
      </c>
      <c r="O30" s="116">
        <v>22.3</v>
      </c>
      <c r="P30" s="116">
        <v>21.2</v>
      </c>
      <c r="Q30" s="116">
        <v>20.2</v>
      </c>
      <c r="R30" s="116">
        <v>19.3</v>
      </c>
      <c r="S30" s="116">
        <v>18.600000000000001</v>
      </c>
      <c r="T30" s="116">
        <v>17.899999999999999</v>
      </c>
      <c r="U30" s="116">
        <v>17.3</v>
      </c>
    </row>
    <row r="31" spans="1:21" x14ac:dyDescent="0.25">
      <c r="A31" s="80">
        <v>20</v>
      </c>
      <c r="B31" s="116">
        <v>252.1</v>
      </c>
      <c r="C31" s="116">
        <v>128.4</v>
      </c>
      <c r="D31" s="116">
        <v>87.2</v>
      </c>
      <c r="E31" s="116">
        <v>66.599999999999994</v>
      </c>
      <c r="F31" s="116">
        <v>54.2</v>
      </c>
      <c r="G31" s="116">
        <v>46</v>
      </c>
      <c r="H31" s="116">
        <v>40.1</v>
      </c>
      <c r="I31" s="116">
        <v>35.700000000000003</v>
      </c>
      <c r="J31" s="116">
        <v>32.299999999999997</v>
      </c>
      <c r="K31" s="116">
        <v>29.6</v>
      </c>
      <c r="L31" s="116">
        <v>27.4</v>
      </c>
      <c r="M31" s="116">
        <v>25.5</v>
      </c>
      <c r="N31" s="116">
        <v>24</v>
      </c>
      <c r="O31" s="116">
        <v>22.7</v>
      </c>
      <c r="P31" s="116">
        <v>21.5</v>
      </c>
      <c r="Q31" s="116">
        <v>20.5</v>
      </c>
      <c r="R31" s="116">
        <v>19.600000000000001</v>
      </c>
      <c r="S31" s="116">
        <v>18.8</v>
      </c>
      <c r="T31" s="116">
        <v>18.100000000000001</v>
      </c>
      <c r="U31" s="116">
        <v>17.5</v>
      </c>
    </row>
    <row r="32" spans="1:21" x14ac:dyDescent="0.25">
      <c r="A32" s="80">
        <v>21</v>
      </c>
      <c r="B32" s="116">
        <v>255.9</v>
      </c>
      <c r="C32" s="116">
        <v>130.30000000000001</v>
      </c>
      <c r="D32" s="116">
        <v>88.5</v>
      </c>
      <c r="E32" s="116">
        <v>67.599999999999994</v>
      </c>
      <c r="F32" s="116">
        <v>55</v>
      </c>
      <c r="G32" s="116">
        <v>46.7</v>
      </c>
      <c r="H32" s="116">
        <v>40.700000000000003</v>
      </c>
      <c r="I32" s="116">
        <v>36.299999999999997</v>
      </c>
      <c r="J32" s="116">
        <v>32.799999999999997</v>
      </c>
      <c r="K32" s="116">
        <v>30.1</v>
      </c>
      <c r="L32" s="116">
        <v>27.8</v>
      </c>
      <c r="M32" s="116">
        <v>25.9</v>
      </c>
      <c r="N32" s="116">
        <v>24.3</v>
      </c>
      <c r="O32" s="116">
        <v>23</v>
      </c>
      <c r="P32" s="116">
        <v>21.8</v>
      </c>
      <c r="Q32" s="116">
        <v>20.8</v>
      </c>
      <c r="R32" s="116">
        <v>19.899999999999999</v>
      </c>
      <c r="S32" s="116">
        <v>19.100000000000001</v>
      </c>
      <c r="T32" s="116">
        <v>18.399999999999999</v>
      </c>
      <c r="U32" s="116">
        <v>17.8</v>
      </c>
    </row>
    <row r="33" spans="1:21" x14ac:dyDescent="0.25">
      <c r="A33" s="80">
        <v>22</v>
      </c>
      <c r="B33" s="116">
        <v>259.7</v>
      </c>
      <c r="C33" s="116">
        <v>132.19999999999999</v>
      </c>
      <c r="D33" s="116">
        <v>89.8</v>
      </c>
      <c r="E33" s="116">
        <v>68.599999999999994</v>
      </c>
      <c r="F33" s="116">
        <v>55.8</v>
      </c>
      <c r="G33" s="116">
        <v>47.4</v>
      </c>
      <c r="H33" s="116">
        <v>41.3</v>
      </c>
      <c r="I33" s="116">
        <v>36.799999999999997</v>
      </c>
      <c r="J33" s="116">
        <v>33.299999999999997</v>
      </c>
      <c r="K33" s="116">
        <v>30.5</v>
      </c>
      <c r="L33" s="116">
        <v>28.2</v>
      </c>
      <c r="M33" s="116">
        <v>26.3</v>
      </c>
      <c r="N33" s="116">
        <v>24.7</v>
      </c>
      <c r="O33" s="116">
        <v>23.3</v>
      </c>
      <c r="P33" s="116">
        <v>22.2</v>
      </c>
      <c r="Q33" s="116">
        <v>21.1</v>
      </c>
      <c r="R33" s="116">
        <v>20.2</v>
      </c>
      <c r="S33" s="116">
        <v>19.399999999999999</v>
      </c>
      <c r="T33" s="116">
        <v>18.7</v>
      </c>
      <c r="U33" s="116">
        <v>18.100000000000001</v>
      </c>
    </row>
    <row r="34" spans="1:21" x14ac:dyDescent="0.25">
      <c r="A34" s="80">
        <v>23</v>
      </c>
      <c r="B34" s="116">
        <v>263.5</v>
      </c>
      <c r="C34" s="116">
        <v>134.19999999999999</v>
      </c>
      <c r="D34" s="116">
        <v>91.1</v>
      </c>
      <c r="E34" s="116">
        <v>69.599999999999994</v>
      </c>
      <c r="F34" s="116">
        <v>56.7</v>
      </c>
      <c r="G34" s="116">
        <v>48.1</v>
      </c>
      <c r="H34" s="116">
        <v>42</v>
      </c>
      <c r="I34" s="116">
        <v>37.4</v>
      </c>
      <c r="J34" s="116">
        <v>33.799999999999997</v>
      </c>
      <c r="K34" s="116">
        <v>31</v>
      </c>
      <c r="L34" s="116">
        <v>28.6</v>
      </c>
      <c r="M34" s="116">
        <v>26.7</v>
      </c>
      <c r="N34" s="116">
        <v>25.1</v>
      </c>
      <c r="O34" s="116">
        <v>23.7</v>
      </c>
      <c r="P34" s="116">
        <v>22.5</v>
      </c>
      <c r="Q34" s="116">
        <v>21.4</v>
      </c>
      <c r="R34" s="116">
        <v>20.5</v>
      </c>
      <c r="S34" s="116">
        <v>19.7</v>
      </c>
      <c r="T34" s="116">
        <v>19</v>
      </c>
      <c r="U34" s="116">
        <v>18.3</v>
      </c>
    </row>
    <row r="35" spans="1:21" x14ac:dyDescent="0.25">
      <c r="A35" s="80">
        <v>24</v>
      </c>
      <c r="B35" s="116">
        <v>267.5</v>
      </c>
      <c r="C35" s="116">
        <v>136.19999999999999</v>
      </c>
      <c r="D35" s="116">
        <v>92.5</v>
      </c>
      <c r="E35" s="116">
        <v>70.599999999999994</v>
      </c>
      <c r="F35" s="116">
        <v>57.5</v>
      </c>
      <c r="G35" s="116">
        <v>48.8</v>
      </c>
      <c r="H35" s="116">
        <v>42.6</v>
      </c>
      <c r="I35" s="116">
        <v>37.9</v>
      </c>
      <c r="J35" s="116">
        <v>34.299999999999997</v>
      </c>
      <c r="K35" s="116">
        <v>31.4</v>
      </c>
      <c r="L35" s="116">
        <v>29.1</v>
      </c>
      <c r="M35" s="116">
        <v>27.1</v>
      </c>
      <c r="N35" s="116">
        <v>25.5</v>
      </c>
      <c r="O35" s="116">
        <v>24</v>
      </c>
      <c r="P35" s="116">
        <v>22.8</v>
      </c>
      <c r="Q35" s="116">
        <v>21.8</v>
      </c>
      <c r="R35" s="116">
        <v>20.8</v>
      </c>
      <c r="S35" s="116">
        <v>20</v>
      </c>
      <c r="T35" s="116">
        <v>19.3</v>
      </c>
      <c r="U35" s="116">
        <v>18.600000000000001</v>
      </c>
    </row>
    <row r="36" spans="1:21" x14ac:dyDescent="0.25">
      <c r="A36" s="80">
        <v>25</v>
      </c>
      <c r="B36" s="116">
        <v>271.39999999999998</v>
      </c>
      <c r="C36" s="116">
        <v>138.19999999999999</v>
      </c>
      <c r="D36" s="116">
        <v>93.9</v>
      </c>
      <c r="E36" s="116">
        <v>71.7</v>
      </c>
      <c r="F36" s="116">
        <v>58.4</v>
      </c>
      <c r="G36" s="116">
        <v>49.5</v>
      </c>
      <c r="H36" s="116">
        <v>43.2</v>
      </c>
      <c r="I36" s="116">
        <v>38.5</v>
      </c>
      <c r="J36" s="116">
        <v>34.799999999999997</v>
      </c>
      <c r="K36" s="116">
        <v>31.9</v>
      </c>
      <c r="L36" s="116">
        <v>29.5</v>
      </c>
      <c r="M36" s="116">
        <v>27.5</v>
      </c>
      <c r="N36" s="116">
        <v>25.8</v>
      </c>
      <c r="O36" s="116">
        <v>24.4</v>
      </c>
      <c r="P36" s="116">
        <v>23.2</v>
      </c>
      <c r="Q36" s="116">
        <v>22.1</v>
      </c>
      <c r="R36" s="116">
        <v>21.1</v>
      </c>
      <c r="S36" s="116">
        <v>20.3</v>
      </c>
      <c r="T36" s="116">
        <v>19.600000000000001</v>
      </c>
      <c r="U36" s="116">
        <v>18.899999999999999</v>
      </c>
    </row>
    <row r="37" spans="1:21" x14ac:dyDescent="0.25">
      <c r="A37" s="80">
        <v>26</v>
      </c>
      <c r="B37" s="116">
        <v>275.5</v>
      </c>
      <c r="C37" s="116">
        <v>140.30000000000001</v>
      </c>
      <c r="D37" s="116">
        <v>95.2</v>
      </c>
      <c r="E37" s="116">
        <v>72.7</v>
      </c>
      <c r="F37" s="116">
        <v>59.3</v>
      </c>
      <c r="G37" s="116">
        <v>50.3</v>
      </c>
      <c r="H37" s="116">
        <v>43.9</v>
      </c>
      <c r="I37" s="116">
        <v>39.1</v>
      </c>
      <c r="J37" s="116">
        <v>35.299999999999997</v>
      </c>
      <c r="K37" s="116">
        <v>32.4</v>
      </c>
      <c r="L37" s="116">
        <v>29.9</v>
      </c>
      <c r="M37" s="116">
        <v>27.9</v>
      </c>
      <c r="N37" s="116">
        <v>26.2</v>
      </c>
      <c r="O37" s="116">
        <v>24.8</v>
      </c>
      <c r="P37" s="116">
        <v>23.5</v>
      </c>
      <c r="Q37" s="116">
        <v>22.4</v>
      </c>
      <c r="R37" s="116">
        <v>21.5</v>
      </c>
      <c r="S37" s="116">
        <v>20.6</v>
      </c>
      <c r="T37" s="116">
        <v>19.899999999999999</v>
      </c>
      <c r="U37" s="116">
        <v>19.2</v>
      </c>
    </row>
    <row r="38" spans="1:21" x14ac:dyDescent="0.25">
      <c r="A38" s="80">
        <v>27</v>
      </c>
      <c r="B38" s="116">
        <v>279.60000000000002</v>
      </c>
      <c r="C38" s="116">
        <v>142.4</v>
      </c>
      <c r="D38" s="116">
        <v>96.7</v>
      </c>
      <c r="E38" s="116">
        <v>73.8</v>
      </c>
      <c r="F38" s="116">
        <v>60.1</v>
      </c>
      <c r="G38" s="116">
        <v>51</v>
      </c>
      <c r="H38" s="116">
        <v>44.5</v>
      </c>
      <c r="I38" s="116">
        <v>39.6</v>
      </c>
      <c r="J38" s="116">
        <v>35.9</v>
      </c>
      <c r="K38" s="116">
        <v>32.9</v>
      </c>
      <c r="L38" s="116">
        <v>30.4</v>
      </c>
      <c r="M38" s="116">
        <v>28.3</v>
      </c>
      <c r="N38" s="116">
        <v>26.6</v>
      </c>
      <c r="O38" s="116">
        <v>25.1</v>
      </c>
      <c r="P38" s="116">
        <v>23.9</v>
      </c>
      <c r="Q38" s="116">
        <v>22.8</v>
      </c>
      <c r="R38" s="116">
        <v>21.8</v>
      </c>
      <c r="S38" s="116">
        <v>20.9</v>
      </c>
      <c r="T38" s="116">
        <v>20.2</v>
      </c>
      <c r="U38" s="116">
        <v>19.5</v>
      </c>
    </row>
    <row r="39" spans="1:21" x14ac:dyDescent="0.25">
      <c r="A39" s="80">
        <v>28</v>
      </c>
      <c r="B39" s="116">
        <v>283.7</v>
      </c>
      <c r="C39" s="116">
        <v>144.5</v>
      </c>
      <c r="D39" s="116">
        <v>98.1</v>
      </c>
      <c r="E39" s="116">
        <v>74.900000000000006</v>
      </c>
      <c r="F39" s="116">
        <v>61</v>
      </c>
      <c r="G39" s="116">
        <v>51.8</v>
      </c>
      <c r="H39" s="116">
        <v>45.2</v>
      </c>
      <c r="I39" s="116">
        <v>40.200000000000003</v>
      </c>
      <c r="J39" s="116">
        <v>36.4</v>
      </c>
      <c r="K39" s="116">
        <v>33.299999999999997</v>
      </c>
      <c r="L39" s="116">
        <v>30.9</v>
      </c>
      <c r="M39" s="116">
        <v>28.8</v>
      </c>
      <c r="N39" s="116">
        <v>27</v>
      </c>
      <c r="O39" s="116">
        <v>25.5</v>
      </c>
      <c r="P39" s="116">
        <v>24.2</v>
      </c>
      <c r="Q39" s="116">
        <v>23.1</v>
      </c>
      <c r="R39" s="116">
        <v>22.1</v>
      </c>
      <c r="S39" s="116">
        <v>21.2</v>
      </c>
      <c r="T39" s="116">
        <v>20.5</v>
      </c>
      <c r="U39" s="116">
        <v>19.8</v>
      </c>
    </row>
    <row r="40" spans="1:21" x14ac:dyDescent="0.25">
      <c r="A40" s="80">
        <v>29</v>
      </c>
      <c r="B40" s="116">
        <v>287.89999999999998</v>
      </c>
      <c r="C40" s="116">
        <v>146.6</v>
      </c>
      <c r="D40" s="116">
        <v>99.6</v>
      </c>
      <c r="E40" s="116">
        <v>76</v>
      </c>
      <c r="F40" s="116">
        <v>61.9</v>
      </c>
      <c r="G40" s="116">
        <v>52.6</v>
      </c>
      <c r="H40" s="116">
        <v>45.9</v>
      </c>
      <c r="I40" s="116">
        <v>40.799999999999997</v>
      </c>
      <c r="J40" s="116">
        <v>37</v>
      </c>
      <c r="K40" s="116">
        <v>33.799999999999997</v>
      </c>
      <c r="L40" s="116">
        <v>31.3</v>
      </c>
      <c r="M40" s="116">
        <v>29.2</v>
      </c>
      <c r="N40" s="116">
        <v>27.4</v>
      </c>
      <c r="O40" s="116">
        <v>25.9</v>
      </c>
      <c r="P40" s="116">
        <v>24.6</v>
      </c>
      <c r="Q40" s="116">
        <v>23.5</v>
      </c>
      <c r="R40" s="116">
        <v>22.5</v>
      </c>
      <c r="S40" s="116">
        <v>21.6</v>
      </c>
      <c r="T40" s="116">
        <v>20.8</v>
      </c>
      <c r="U40" s="116">
        <v>20.100000000000001</v>
      </c>
    </row>
    <row r="41" spans="1:21" x14ac:dyDescent="0.25">
      <c r="A41" s="80">
        <v>30</v>
      </c>
      <c r="B41" s="116">
        <v>292.2</v>
      </c>
      <c r="C41" s="116">
        <v>148.80000000000001</v>
      </c>
      <c r="D41" s="116">
        <v>101</v>
      </c>
      <c r="E41" s="116">
        <v>77.2</v>
      </c>
      <c r="F41" s="116">
        <v>62.9</v>
      </c>
      <c r="G41" s="116">
        <v>53.3</v>
      </c>
      <c r="H41" s="116">
        <v>46.5</v>
      </c>
      <c r="I41" s="116">
        <v>41.5</v>
      </c>
      <c r="J41" s="116">
        <v>37.5</v>
      </c>
      <c r="K41" s="116">
        <v>34.4</v>
      </c>
      <c r="L41" s="116">
        <v>31.8</v>
      </c>
      <c r="M41" s="116">
        <v>29.7</v>
      </c>
      <c r="N41" s="116">
        <v>27.8</v>
      </c>
      <c r="O41" s="116">
        <v>26.3</v>
      </c>
      <c r="P41" s="116">
        <v>25</v>
      </c>
      <c r="Q41" s="116">
        <v>23.8</v>
      </c>
      <c r="R41" s="116">
        <v>22.8</v>
      </c>
      <c r="S41" s="116">
        <v>21.9</v>
      </c>
      <c r="T41" s="116">
        <v>21.1</v>
      </c>
      <c r="U41" s="116">
        <v>20.399999999999999</v>
      </c>
    </row>
    <row r="42" spans="1:21" x14ac:dyDescent="0.25">
      <c r="A42" s="80">
        <v>31</v>
      </c>
      <c r="B42" s="116">
        <v>296.5</v>
      </c>
      <c r="C42" s="116">
        <v>151</v>
      </c>
      <c r="D42" s="116">
        <v>102.5</v>
      </c>
      <c r="E42" s="116">
        <v>78.3</v>
      </c>
      <c r="F42" s="116">
        <v>63.8</v>
      </c>
      <c r="G42" s="116">
        <v>54.1</v>
      </c>
      <c r="H42" s="116">
        <v>47.2</v>
      </c>
      <c r="I42" s="116">
        <v>42.1</v>
      </c>
      <c r="J42" s="116">
        <v>38.1</v>
      </c>
      <c r="K42" s="116">
        <v>34.9</v>
      </c>
      <c r="L42" s="116">
        <v>32.299999999999997</v>
      </c>
      <c r="M42" s="116">
        <v>30.1</v>
      </c>
      <c r="N42" s="116">
        <v>28.3</v>
      </c>
      <c r="O42" s="116">
        <v>26.7</v>
      </c>
      <c r="P42" s="116">
        <v>25.4</v>
      </c>
      <c r="Q42" s="116">
        <v>24.2</v>
      </c>
      <c r="R42" s="116">
        <v>23.2</v>
      </c>
      <c r="S42" s="116">
        <v>22.2</v>
      </c>
      <c r="T42" s="116">
        <v>21.4</v>
      </c>
      <c r="U42" s="116">
        <v>20.7</v>
      </c>
    </row>
    <row r="43" spans="1:21" x14ac:dyDescent="0.25">
      <c r="A43" s="80">
        <v>32</v>
      </c>
      <c r="B43" s="116">
        <v>300.89999999999998</v>
      </c>
      <c r="C43" s="116">
        <v>153.30000000000001</v>
      </c>
      <c r="D43" s="116">
        <v>104.1</v>
      </c>
      <c r="E43" s="116">
        <v>79.5</v>
      </c>
      <c r="F43" s="116">
        <v>64.8</v>
      </c>
      <c r="G43" s="116">
        <v>54.9</v>
      </c>
      <c r="H43" s="116">
        <v>47.9</v>
      </c>
      <c r="I43" s="116">
        <v>42.7</v>
      </c>
      <c r="J43" s="116">
        <v>38.6</v>
      </c>
      <c r="K43" s="116">
        <v>35.4</v>
      </c>
      <c r="L43" s="116">
        <v>32.799999999999997</v>
      </c>
      <c r="M43" s="116">
        <v>30.6</v>
      </c>
      <c r="N43" s="116">
        <v>28.7</v>
      </c>
      <c r="O43" s="116">
        <v>27.1</v>
      </c>
      <c r="P43" s="116">
        <v>25.7</v>
      </c>
      <c r="Q43" s="116">
        <v>24.6</v>
      </c>
      <c r="R43" s="116">
        <v>23.5</v>
      </c>
      <c r="S43" s="116">
        <v>22.6</v>
      </c>
      <c r="T43" s="116">
        <v>21.8</v>
      </c>
      <c r="U43" s="116">
        <v>21</v>
      </c>
    </row>
    <row r="44" spans="1:21" x14ac:dyDescent="0.25">
      <c r="A44" s="80">
        <v>33</v>
      </c>
      <c r="B44" s="116">
        <v>305.39999999999998</v>
      </c>
      <c r="C44" s="116">
        <v>155.5</v>
      </c>
      <c r="D44" s="116">
        <v>105.6</v>
      </c>
      <c r="E44" s="116">
        <v>80.7</v>
      </c>
      <c r="F44" s="116">
        <v>65.7</v>
      </c>
      <c r="G44" s="116">
        <v>55.8</v>
      </c>
      <c r="H44" s="116">
        <v>48.7</v>
      </c>
      <c r="I44" s="116">
        <v>43.4</v>
      </c>
      <c r="J44" s="116">
        <v>39.200000000000003</v>
      </c>
      <c r="K44" s="116">
        <v>35.9</v>
      </c>
      <c r="L44" s="116">
        <v>33.200000000000003</v>
      </c>
      <c r="M44" s="116">
        <v>31</v>
      </c>
      <c r="N44" s="116">
        <v>29.1</v>
      </c>
      <c r="O44" s="116">
        <v>27.5</v>
      </c>
      <c r="P44" s="116">
        <v>26.1</v>
      </c>
      <c r="Q44" s="116">
        <v>24.9</v>
      </c>
      <c r="R44" s="116">
        <v>23.9</v>
      </c>
      <c r="S44" s="116">
        <v>22.9</v>
      </c>
      <c r="T44" s="116">
        <v>22.1</v>
      </c>
      <c r="U44" s="116">
        <v>21.3</v>
      </c>
    </row>
    <row r="45" spans="1:21" x14ac:dyDescent="0.25">
      <c r="A45" s="80">
        <v>34</v>
      </c>
      <c r="B45" s="116">
        <v>309.89999999999998</v>
      </c>
      <c r="C45" s="116">
        <v>157.80000000000001</v>
      </c>
      <c r="D45" s="116">
        <v>107.2</v>
      </c>
      <c r="E45" s="116">
        <v>81.900000000000006</v>
      </c>
      <c r="F45" s="116">
        <v>66.7</v>
      </c>
      <c r="G45" s="116">
        <v>56.6</v>
      </c>
      <c r="H45" s="116">
        <v>49.4</v>
      </c>
      <c r="I45" s="116">
        <v>44</v>
      </c>
      <c r="J45" s="116">
        <v>39.799999999999997</v>
      </c>
      <c r="K45" s="116">
        <v>36.5</v>
      </c>
      <c r="L45" s="116">
        <v>33.700000000000003</v>
      </c>
      <c r="M45" s="116">
        <v>31.5</v>
      </c>
      <c r="N45" s="116">
        <v>29.6</v>
      </c>
      <c r="O45" s="116">
        <v>27.9</v>
      </c>
      <c r="P45" s="116">
        <v>26.5</v>
      </c>
      <c r="Q45" s="116">
        <v>25.3</v>
      </c>
      <c r="R45" s="116">
        <v>24.2</v>
      </c>
      <c r="S45" s="116">
        <v>23.3</v>
      </c>
      <c r="T45" s="116">
        <v>22.4</v>
      </c>
      <c r="U45" s="116">
        <v>21.7</v>
      </c>
    </row>
    <row r="46" spans="1:21" x14ac:dyDescent="0.25">
      <c r="A46" s="80">
        <v>35</v>
      </c>
      <c r="B46" s="116">
        <v>314.5</v>
      </c>
      <c r="C46" s="116">
        <v>160.19999999999999</v>
      </c>
      <c r="D46" s="116">
        <v>108.8</v>
      </c>
      <c r="E46" s="116">
        <v>83.1</v>
      </c>
      <c r="F46" s="116">
        <v>67.7</v>
      </c>
      <c r="G46" s="116">
        <v>57.4</v>
      </c>
      <c r="H46" s="116">
        <v>50.1</v>
      </c>
      <c r="I46" s="116">
        <v>44.7</v>
      </c>
      <c r="J46" s="116">
        <v>40.4</v>
      </c>
      <c r="K46" s="116">
        <v>37</v>
      </c>
      <c r="L46" s="116">
        <v>34.299999999999997</v>
      </c>
      <c r="M46" s="116">
        <v>32</v>
      </c>
      <c r="N46" s="116">
        <v>30</v>
      </c>
      <c r="O46" s="116">
        <v>28.4</v>
      </c>
      <c r="P46" s="116">
        <v>26.9</v>
      </c>
      <c r="Q46" s="116">
        <v>25.7</v>
      </c>
      <c r="R46" s="116">
        <v>24.6</v>
      </c>
      <c r="S46" s="116">
        <v>23.6</v>
      </c>
      <c r="T46" s="116">
        <v>22.8</v>
      </c>
      <c r="U46" s="116">
        <v>22</v>
      </c>
    </row>
    <row r="47" spans="1:21" x14ac:dyDescent="0.25">
      <c r="A47" s="80">
        <v>36</v>
      </c>
      <c r="B47" s="116">
        <v>319.10000000000002</v>
      </c>
      <c r="C47" s="116">
        <v>162.5</v>
      </c>
      <c r="D47" s="116">
        <v>110.4</v>
      </c>
      <c r="E47" s="116">
        <v>84.3</v>
      </c>
      <c r="F47" s="116">
        <v>68.7</v>
      </c>
      <c r="G47" s="116">
        <v>58.3</v>
      </c>
      <c r="H47" s="116">
        <v>50.9</v>
      </c>
      <c r="I47" s="116">
        <v>45.3</v>
      </c>
      <c r="J47" s="116">
        <v>41</v>
      </c>
      <c r="K47" s="116">
        <v>37.6</v>
      </c>
      <c r="L47" s="116">
        <v>34.799999999999997</v>
      </c>
      <c r="M47" s="116">
        <v>32.5</v>
      </c>
      <c r="N47" s="116">
        <v>30.5</v>
      </c>
      <c r="O47" s="116">
        <v>28.8</v>
      </c>
      <c r="P47" s="116">
        <v>27.4</v>
      </c>
      <c r="Q47" s="116">
        <v>26.1</v>
      </c>
      <c r="R47" s="116">
        <v>25</v>
      </c>
      <c r="S47" s="116">
        <v>24</v>
      </c>
      <c r="T47" s="116">
        <v>23.1</v>
      </c>
      <c r="U47" s="116">
        <v>22.4</v>
      </c>
    </row>
    <row r="48" spans="1:21" x14ac:dyDescent="0.25">
      <c r="A48" s="80">
        <v>37</v>
      </c>
      <c r="B48" s="116">
        <v>323.8</v>
      </c>
      <c r="C48" s="116">
        <v>165</v>
      </c>
      <c r="D48" s="116">
        <v>112</v>
      </c>
      <c r="E48" s="116">
        <v>85.6</v>
      </c>
      <c r="F48" s="116">
        <v>69.7</v>
      </c>
      <c r="G48" s="116">
        <v>59.2</v>
      </c>
      <c r="H48" s="116">
        <v>51.6</v>
      </c>
      <c r="I48" s="116">
        <v>46</v>
      </c>
      <c r="J48" s="116">
        <v>41.6</v>
      </c>
      <c r="K48" s="116">
        <v>38.200000000000003</v>
      </c>
      <c r="L48" s="116">
        <v>35.299999999999997</v>
      </c>
      <c r="M48" s="116">
        <v>32.9</v>
      </c>
      <c r="N48" s="116">
        <v>31</v>
      </c>
      <c r="O48" s="116">
        <v>29.3</v>
      </c>
      <c r="P48" s="116">
        <v>27.8</v>
      </c>
      <c r="Q48" s="116">
        <v>26.5</v>
      </c>
      <c r="R48" s="116">
        <v>25.4</v>
      </c>
      <c r="S48" s="116">
        <v>24.4</v>
      </c>
      <c r="T48" s="116">
        <v>23.5</v>
      </c>
      <c r="U48" s="116">
        <v>22.7</v>
      </c>
    </row>
    <row r="49" spans="1:21" x14ac:dyDescent="0.25">
      <c r="A49" s="80">
        <v>38</v>
      </c>
      <c r="B49" s="116">
        <v>328.6</v>
      </c>
      <c r="C49" s="116">
        <v>167.4</v>
      </c>
      <c r="D49" s="116">
        <v>113.7</v>
      </c>
      <c r="E49" s="116">
        <v>86.9</v>
      </c>
      <c r="F49" s="116">
        <v>70.8</v>
      </c>
      <c r="G49" s="116">
        <v>60.1</v>
      </c>
      <c r="H49" s="116">
        <v>52.4</v>
      </c>
      <c r="I49" s="116">
        <v>46.7</v>
      </c>
      <c r="J49" s="116">
        <v>42.3</v>
      </c>
      <c r="K49" s="116">
        <v>38.700000000000003</v>
      </c>
      <c r="L49" s="116">
        <v>35.799999999999997</v>
      </c>
      <c r="M49" s="116">
        <v>33.5</v>
      </c>
      <c r="N49" s="116">
        <v>31.4</v>
      </c>
      <c r="O49" s="116">
        <v>29.7</v>
      </c>
      <c r="P49" s="116">
        <v>28.2</v>
      </c>
      <c r="Q49" s="116">
        <v>26.9</v>
      </c>
      <c r="R49" s="116">
        <v>25.8</v>
      </c>
      <c r="S49" s="116">
        <v>24.8</v>
      </c>
      <c r="T49" s="116">
        <v>23.9</v>
      </c>
      <c r="U49" s="116">
        <v>23.1</v>
      </c>
    </row>
    <row r="50" spans="1:21" x14ac:dyDescent="0.25">
      <c r="A50" s="80">
        <v>39</v>
      </c>
      <c r="B50" s="116">
        <v>333.5</v>
      </c>
      <c r="C50" s="116">
        <v>169.9</v>
      </c>
      <c r="D50" s="116">
        <v>115.4</v>
      </c>
      <c r="E50" s="116">
        <v>88.2</v>
      </c>
      <c r="F50" s="116">
        <v>71.8</v>
      </c>
      <c r="G50" s="116">
        <v>61</v>
      </c>
      <c r="H50" s="116">
        <v>53.2</v>
      </c>
      <c r="I50" s="116">
        <v>47.4</v>
      </c>
      <c r="J50" s="116">
        <v>42.9</v>
      </c>
      <c r="K50" s="116">
        <v>39.299999999999997</v>
      </c>
      <c r="L50" s="116">
        <v>36.4</v>
      </c>
      <c r="M50" s="116">
        <v>34</v>
      </c>
      <c r="N50" s="116">
        <v>31.9</v>
      </c>
      <c r="O50" s="116">
        <v>30.2</v>
      </c>
      <c r="P50" s="116">
        <v>28.7</v>
      </c>
      <c r="Q50" s="116">
        <v>27.3</v>
      </c>
      <c r="R50" s="116">
        <v>26.2</v>
      </c>
      <c r="S50" s="116">
        <v>25.2</v>
      </c>
      <c r="T50" s="116">
        <v>24.3</v>
      </c>
      <c r="U50" s="116">
        <v>23.5</v>
      </c>
    </row>
    <row r="51" spans="1:21" x14ac:dyDescent="0.25">
      <c r="A51" s="80">
        <v>40</v>
      </c>
      <c r="B51" s="116">
        <v>338.4</v>
      </c>
      <c r="C51" s="116">
        <v>172.4</v>
      </c>
      <c r="D51" s="116">
        <v>117.1</v>
      </c>
      <c r="E51" s="116">
        <v>89.5</v>
      </c>
      <c r="F51" s="116">
        <v>72.900000000000006</v>
      </c>
      <c r="G51" s="116">
        <v>61.9</v>
      </c>
      <c r="H51" s="116">
        <v>54</v>
      </c>
      <c r="I51" s="116">
        <v>48.1</v>
      </c>
      <c r="J51" s="116">
        <v>43.6</v>
      </c>
      <c r="K51" s="116">
        <v>39.9</v>
      </c>
      <c r="L51" s="116">
        <v>37</v>
      </c>
      <c r="M51" s="116">
        <v>34.5</v>
      </c>
      <c r="N51" s="116">
        <v>32.4</v>
      </c>
      <c r="O51" s="116">
        <v>30.6</v>
      </c>
      <c r="P51" s="116">
        <v>29.1</v>
      </c>
      <c r="Q51" s="116">
        <v>27.8</v>
      </c>
      <c r="R51" s="116">
        <v>26.6</v>
      </c>
      <c r="S51" s="116">
        <v>25.6</v>
      </c>
      <c r="T51" s="116">
        <v>24.7</v>
      </c>
      <c r="U51" s="116"/>
    </row>
    <row r="52" spans="1:21" x14ac:dyDescent="0.25">
      <c r="A52" s="80">
        <v>41</v>
      </c>
      <c r="B52" s="116">
        <v>343.5</v>
      </c>
      <c r="C52" s="116">
        <v>175</v>
      </c>
      <c r="D52" s="116">
        <v>118.9</v>
      </c>
      <c r="E52" s="116">
        <v>90.8</v>
      </c>
      <c r="F52" s="116">
        <v>74</v>
      </c>
      <c r="G52" s="116">
        <v>62.8</v>
      </c>
      <c r="H52" s="116">
        <v>54.9</v>
      </c>
      <c r="I52" s="116">
        <v>48.9</v>
      </c>
      <c r="J52" s="116">
        <v>44.2</v>
      </c>
      <c r="K52" s="116">
        <v>40.5</v>
      </c>
      <c r="L52" s="116">
        <v>37.5</v>
      </c>
      <c r="M52" s="116">
        <v>35</v>
      </c>
      <c r="N52" s="116">
        <v>32.9</v>
      </c>
      <c r="O52" s="116">
        <v>31.1</v>
      </c>
      <c r="P52" s="116">
        <v>29.6</v>
      </c>
      <c r="Q52" s="116">
        <v>28.2</v>
      </c>
      <c r="R52" s="116">
        <v>27.1</v>
      </c>
      <c r="S52" s="116">
        <v>26</v>
      </c>
      <c r="T52" s="116"/>
      <c r="U52" s="116"/>
    </row>
    <row r="53" spans="1:21" x14ac:dyDescent="0.25">
      <c r="A53" s="80">
        <v>42</v>
      </c>
      <c r="B53" s="116">
        <v>348.6</v>
      </c>
      <c r="C53" s="116">
        <v>177.6</v>
      </c>
      <c r="D53" s="116">
        <v>120.6</v>
      </c>
      <c r="E53" s="116">
        <v>92.2</v>
      </c>
      <c r="F53" s="116">
        <v>75.099999999999994</v>
      </c>
      <c r="G53" s="116">
        <v>63.8</v>
      </c>
      <c r="H53" s="116">
        <v>55.7</v>
      </c>
      <c r="I53" s="116">
        <v>49.6</v>
      </c>
      <c r="J53" s="116">
        <v>44.9</v>
      </c>
      <c r="K53" s="116">
        <v>41.2</v>
      </c>
      <c r="L53" s="116">
        <v>38.1</v>
      </c>
      <c r="M53" s="116">
        <v>35.6</v>
      </c>
      <c r="N53" s="116">
        <v>33.5</v>
      </c>
      <c r="O53" s="116">
        <v>31.6</v>
      </c>
      <c r="P53" s="116">
        <v>30.1</v>
      </c>
      <c r="Q53" s="116">
        <v>28.7</v>
      </c>
      <c r="R53" s="116">
        <v>27.5</v>
      </c>
      <c r="S53" s="116"/>
      <c r="T53" s="116"/>
      <c r="U53" s="116"/>
    </row>
    <row r="54" spans="1:21" x14ac:dyDescent="0.25">
      <c r="A54" s="80">
        <v>43</v>
      </c>
      <c r="B54" s="116">
        <v>353.8</v>
      </c>
      <c r="C54" s="116">
        <v>180.3</v>
      </c>
      <c r="D54" s="116">
        <v>122.5</v>
      </c>
      <c r="E54" s="116">
        <v>93.6</v>
      </c>
      <c r="F54" s="116">
        <v>76.3</v>
      </c>
      <c r="G54" s="116">
        <v>64.8</v>
      </c>
      <c r="H54" s="116">
        <v>56.5</v>
      </c>
      <c r="I54" s="116">
        <v>50.4</v>
      </c>
      <c r="J54" s="116">
        <v>45.6</v>
      </c>
      <c r="K54" s="116">
        <v>41.8</v>
      </c>
      <c r="L54" s="116">
        <v>38.700000000000003</v>
      </c>
      <c r="M54" s="116">
        <v>36.200000000000003</v>
      </c>
      <c r="N54" s="116">
        <v>34</v>
      </c>
      <c r="O54" s="116">
        <v>32.1</v>
      </c>
      <c r="P54" s="116">
        <v>30.6</v>
      </c>
      <c r="Q54" s="116">
        <v>29.2</v>
      </c>
      <c r="R54" s="116"/>
      <c r="S54" s="116"/>
      <c r="T54" s="116"/>
      <c r="U54" s="116"/>
    </row>
    <row r="55" spans="1:21" x14ac:dyDescent="0.25">
      <c r="A55" s="80">
        <v>44</v>
      </c>
      <c r="B55" s="116">
        <v>359.1</v>
      </c>
      <c r="C55" s="116">
        <v>183</v>
      </c>
      <c r="D55" s="116">
        <v>124.3</v>
      </c>
      <c r="E55" s="116">
        <v>95</v>
      </c>
      <c r="F55" s="116">
        <v>77.400000000000006</v>
      </c>
      <c r="G55" s="116">
        <v>65.7</v>
      </c>
      <c r="H55" s="116">
        <v>57.4</v>
      </c>
      <c r="I55" s="116">
        <v>51.2</v>
      </c>
      <c r="J55" s="116">
        <v>46.3</v>
      </c>
      <c r="K55" s="116">
        <v>42.5</v>
      </c>
      <c r="L55" s="116">
        <v>39.299999999999997</v>
      </c>
      <c r="M55" s="116">
        <v>36.700000000000003</v>
      </c>
      <c r="N55" s="116">
        <v>34.5</v>
      </c>
      <c r="O55" s="116">
        <v>32.700000000000003</v>
      </c>
      <c r="P55" s="116">
        <v>31.1</v>
      </c>
      <c r="Q55" s="116"/>
      <c r="R55" s="116"/>
      <c r="S55" s="116"/>
      <c r="T55" s="116"/>
      <c r="U55" s="116"/>
    </row>
    <row r="56" spans="1:21" x14ac:dyDescent="0.25">
      <c r="A56" s="80">
        <v>45</v>
      </c>
      <c r="B56" s="116">
        <v>364.5</v>
      </c>
      <c r="C56" s="116">
        <v>185.7</v>
      </c>
      <c r="D56" s="116">
        <v>126.2</v>
      </c>
      <c r="E56" s="116">
        <v>96.4</v>
      </c>
      <c r="F56" s="116">
        <v>78.599999999999994</v>
      </c>
      <c r="G56" s="116">
        <v>66.8</v>
      </c>
      <c r="H56" s="116">
        <v>58.3</v>
      </c>
      <c r="I56" s="116">
        <v>52</v>
      </c>
      <c r="J56" s="116">
        <v>47.1</v>
      </c>
      <c r="K56" s="116">
        <v>43.2</v>
      </c>
      <c r="L56" s="116">
        <v>40</v>
      </c>
      <c r="M56" s="116">
        <v>37.299999999999997</v>
      </c>
      <c r="N56" s="116">
        <v>35.1</v>
      </c>
      <c r="O56" s="116">
        <v>33.200000000000003</v>
      </c>
      <c r="P56" s="116"/>
      <c r="Q56" s="116"/>
      <c r="R56" s="116"/>
      <c r="S56" s="116"/>
      <c r="T56" s="116"/>
      <c r="U56" s="116"/>
    </row>
    <row r="57" spans="1:21" x14ac:dyDescent="0.25">
      <c r="A57" s="80">
        <v>46</v>
      </c>
      <c r="B57" s="116">
        <v>370</v>
      </c>
      <c r="C57" s="116">
        <v>188.6</v>
      </c>
      <c r="D57" s="116">
        <v>128.1</v>
      </c>
      <c r="E57" s="116">
        <v>97.9</v>
      </c>
      <c r="F57" s="116">
        <v>79.8</v>
      </c>
      <c r="G57" s="116">
        <v>67.8</v>
      </c>
      <c r="H57" s="116">
        <v>59.2</v>
      </c>
      <c r="I57" s="116">
        <v>52.8</v>
      </c>
      <c r="J57" s="116">
        <v>47.8</v>
      </c>
      <c r="K57" s="116">
        <v>43.9</v>
      </c>
      <c r="L57" s="116">
        <v>40.6</v>
      </c>
      <c r="M57" s="116">
        <v>38</v>
      </c>
      <c r="N57" s="116">
        <v>35.700000000000003</v>
      </c>
      <c r="O57" s="116"/>
      <c r="P57" s="116"/>
      <c r="Q57" s="116"/>
      <c r="R57" s="116"/>
      <c r="S57" s="116"/>
      <c r="T57" s="116"/>
      <c r="U57" s="116"/>
    </row>
    <row r="58" spans="1:21" x14ac:dyDescent="0.25">
      <c r="A58" s="80">
        <v>47</v>
      </c>
      <c r="B58" s="116">
        <v>375.6</v>
      </c>
      <c r="C58" s="116">
        <v>191.4</v>
      </c>
      <c r="D58" s="116">
        <v>130.1</v>
      </c>
      <c r="E58" s="116">
        <v>99.4</v>
      </c>
      <c r="F58" s="116">
        <v>81.099999999999994</v>
      </c>
      <c r="G58" s="116">
        <v>68.900000000000006</v>
      </c>
      <c r="H58" s="116">
        <v>60.2</v>
      </c>
      <c r="I58" s="116">
        <v>53.6</v>
      </c>
      <c r="J58" s="116">
        <v>48.6</v>
      </c>
      <c r="K58" s="116">
        <v>44.6</v>
      </c>
      <c r="L58" s="116">
        <v>41.3</v>
      </c>
      <c r="M58" s="116">
        <v>38.6</v>
      </c>
      <c r="N58" s="116"/>
      <c r="O58" s="116"/>
      <c r="P58" s="116"/>
      <c r="Q58" s="116"/>
      <c r="R58" s="116"/>
      <c r="S58" s="116"/>
      <c r="T58" s="116"/>
      <c r="U58" s="116"/>
    </row>
    <row r="59" spans="1:21" x14ac:dyDescent="0.25">
      <c r="A59" s="80">
        <v>48</v>
      </c>
      <c r="B59" s="116">
        <v>381.3</v>
      </c>
      <c r="C59" s="116">
        <v>194.3</v>
      </c>
      <c r="D59" s="116">
        <v>132.1</v>
      </c>
      <c r="E59" s="116">
        <v>101</v>
      </c>
      <c r="F59" s="116">
        <v>82.3</v>
      </c>
      <c r="G59" s="116">
        <v>70</v>
      </c>
      <c r="H59" s="116">
        <v>61.1</v>
      </c>
      <c r="I59" s="116">
        <v>54.5</v>
      </c>
      <c r="J59" s="116">
        <v>49.4</v>
      </c>
      <c r="K59" s="116">
        <v>45.3</v>
      </c>
      <c r="L59" s="116">
        <v>42</v>
      </c>
      <c r="M59" s="116"/>
      <c r="N59" s="116"/>
      <c r="O59" s="116"/>
      <c r="P59" s="116"/>
      <c r="Q59" s="116"/>
      <c r="R59" s="116"/>
      <c r="S59" s="116"/>
      <c r="T59" s="116"/>
      <c r="U59" s="116"/>
    </row>
    <row r="60" spans="1:21" x14ac:dyDescent="0.25">
      <c r="A60" s="80">
        <v>49</v>
      </c>
      <c r="B60" s="116">
        <v>387.1</v>
      </c>
      <c r="C60" s="116">
        <v>197.3</v>
      </c>
      <c r="D60" s="116">
        <v>134.1</v>
      </c>
      <c r="E60" s="116">
        <v>102.6</v>
      </c>
      <c r="F60" s="116">
        <v>83.7</v>
      </c>
      <c r="G60" s="116">
        <v>71.099999999999994</v>
      </c>
      <c r="H60" s="116">
        <v>62.1</v>
      </c>
      <c r="I60" s="116">
        <v>55.4</v>
      </c>
      <c r="J60" s="116">
        <v>50.3</v>
      </c>
      <c r="K60" s="116">
        <v>46.1</v>
      </c>
      <c r="L60" s="116"/>
      <c r="M60" s="116"/>
      <c r="N60" s="116"/>
      <c r="O60" s="116"/>
      <c r="P60" s="116"/>
      <c r="Q60" s="116"/>
      <c r="R60" s="116"/>
      <c r="S60" s="116"/>
      <c r="T60" s="116"/>
      <c r="U60" s="116"/>
    </row>
    <row r="61" spans="1:21" x14ac:dyDescent="0.25">
      <c r="A61" s="80">
        <v>50</v>
      </c>
      <c r="B61" s="116">
        <v>393.1</v>
      </c>
      <c r="C61" s="116">
        <v>200.4</v>
      </c>
      <c r="D61" s="116">
        <v>136.30000000000001</v>
      </c>
      <c r="E61" s="116">
        <v>104.2</v>
      </c>
      <c r="F61" s="116">
        <v>85.1</v>
      </c>
      <c r="G61" s="116">
        <v>72.3</v>
      </c>
      <c r="H61" s="116">
        <v>63.2</v>
      </c>
      <c r="I61" s="116">
        <v>56.4</v>
      </c>
      <c r="J61" s="116">
        <v>51.1</v>
      </c>
      <c r="K61" s="116"/>
      <c r="L61" s="116"/>
      <c r="M61" s="116"/>
      <c r="N61" s="116"/>
      <c r="O61" s="116"/>
      <c r="P61" s="116"/>
      <c r="Q61" s="116"/>
      <c r="R61" s="116"/>
      <c r="S61" s="116"/>
      <c r="T61" s="116"/>
      <c r="U61" s="116"/>
    </row>
    <row r="62" spans="1:21" x14ac:dyDescent="0.25">
      <c r="A62" s="80">
        <v>51</v>
      </c>
      <c r="B62" s="116">
        <v>399.3</v>
      </c>
      <c r="C62" s="116">
        <v>203.6</v>
      </c>
      <c r="D62" s="116">
        <v>138.5</v>
      </c>
      <c r="E62" s="116">
        <v>106</v>
      </c>
      <c r="F62" s="116">
        <v>86.5</v>
      </c>
      <c r="G62" s="116">
        <v>73.5</v>
      </c>
      <c r="H62" s="116">
        <v>64.3</v>
      </c>
      <c r="I62" s="116">
        <v>57.4</v>
      </c>
      <c r="J62" s="116"/>
      <c r="K62" s="116"/>
      <c r="L62" s="116"/>
      <c r="M62" s="116"/>
      <c r="N62" s="116"/>
      <c r="O62" s="116"/>
      <c r="P62" s="116"/>
      <c r="Q62" s="116"/>
      <c r="R62" s="116"/>
      <c r="S62" s="116"/>
      <c r="T62" s="116"/>
      <c r="U62" s="116"/>
    </row>
    <row r="63" spans="1:21" x14ac:dyDescent="0.25">
      <c r="A63" s="80">
        <v>52</v>
      </c>
      <c r="B63" s="116">
        <v>405.6</v>
      </c>
      <c r="C63" s="116">
        <v>206.9</v>
      </c>
      <c r="D63" s="116">
        <v>140.69999999999999</v>
      </c>
      <c r="E63" s="116">
        <v>107.7</v>
      </c>
      <c r="F63" s="116">
        <v>87.9</v>
      </c>
      <c r="G63" s="116">
        <v>74.8</v>
      </c>
      <c r="H63" s="116">
        <v>65.400000000000006</v>
      </c>
      <c r="I63" s="116"/>
      <c r="J63" s="116"/>
      <c r="K63" s="116"/>
      <c r="L63" s="116"/>
      <c r="M63" s="116"/>
      <c r="N63" s="116"/>
      <c r="O63" s="116"/>
      <c r="P63" s="116"/>
      <c r="Q63" s="116"/>
      <c r="R63" s="116"/>
      <c r="S63" s="116"/>
      <c r="T63" s="116"/>
      <c r="U63" s="116"/>
    </row>
    <row r="64" spans="1:21" x14ac:dyDescent="0.25">
      <c r="A64" s="80">
        <v>53</v>
      </c>
      <c r="B64" s="116">
        <v>412</v>
      </c>
      <c r="C64" s="116">
        <v>210.2</v>
      </c>
      <c r="D64" s="116">
        <v>143.1</v>
      </c>
      <c r="E64" s="116">
        <v>109.5</v>
      </c>
      <c r="F64" s="116">
        <v>89.4</v>
      </c>
      <c r="G64" s="116">
        <v>76.099999999999994</v>
      </c>
      <c r="H64" s="116"/>
      <c r="I64" s="116"/>
      <c r="J64" s="116"/>
      <c r="K64" s="116"/>
      <c r="L64" s="116"/>
      <c r="M64" s="116"/>
      <c r="N64" s="116"/>
      <c r="O64" s="116"/>
      <c r="P64" s="116"/>
      <c r="Q64" s="116"/>
      <c r="R64" s="116"/>
      <c r="S64" s="116"/>
      <c r="T64" s="116"/>
      <c r="U64" s="116"/>
    </row>
    <row r="65" spans="1:21" x14ac:dyDescent="0.25">
      <c r="A65" s="80">
        <v>54</v>
      </c>
      <c r="B65" s="116">
        <v>418.6</v>
      </c>
      <c r="C65" s="116">
        <v>213.7</v>
      </c>
      <c r="D65" s="116">
        <v>145.4</v>
      </c>
      <c r="E65" s="116">
        <v>111.4</v>
      </c>
      <c r="F65" s="116">
        <v>91</v>
      </c>
      <c r="G65" s="116"/>
      <c r="H65" s="116"/>
      <c r="I65" s="116"/>
      <c r="J65" s="116"/>
      <c r="K65" s="116"/>
      <c r="L65" s="116"/>
      <c r="M65" s="116"/>
      <c r="N65" s="116"/>
      <c r="O65" s="116"/>
      <c r="P65" s="116"/>
      <c r="Q65" s="116"/>
      <c r="R65" s="116"/>
      <c r="S65" s="116"/>
      <c r="T65" s="116"/>
      <c r="U65" s="116"/>
    </row>
    <row r="66" spans="1:21" x14ac:dyDescent="0.25">
      <c r="A66" s="80">
        <v>55</v>
      </c>
      <c r="B66" s="116">
        <v>425.4</v>
      </c>
      <c r="C66" s="116">
        <v>217.2</v>
      </c>
      <c r="D66" s="116">
        <v>147.9</v>
      </c>
      <c r="E66" s="116">
        <v>113.3</v>
      </c>
      <c r="F66" s="116"/>
      <c r="G66" s="116"/>
      <c r="H66" s="116"/>
      <c r="I66" s="116"/>
      <c r="J66" s="116"/>
      <c r="K66" s="116"/>
      <c r="L66" s="116"/>
      <c r="M66" s="116"/>
      <c r="N66" s="116"/>
      <c r="O66" s="116"/>
      <c r="P66" s="116"/>
      <c r="Q66" s="116"/>
      <c r="R66" s="116"/>
      <c r="S66" s="116"/>
      <c r="T66" s="116"/>
      <c r="U66" s="116"/>
    </row>
    <row r="67" spans="1:21" x14ac:dyDescent="0.25">
      <c r="A67" s="80">
        <v>56</v>
      </c>
      <c r="B67" s="116">
        <v>432.4</v>
      </c>
      <c r="C67" s="116">
        <v>220.9</v>
      </c>
      <c r="D67" s="116">
        <v>150.4</v>
      </c>
      <c r="E67" s="116"/>
      <c r="F67" s="116"/>
      <c r="G67" s="116"/>
      <c r="H67" s="116"/>
      <c r="I67" s="116"/>
      <c r="J67" s="116"/>
      <c r="K67" s="116"/>
      <c r="L67" s="116"/>
      <c r="M67" s="116"/>
      <c r="N67" s="116"/>
      <c r="O67" s="116"/>
      <c r="P67" s="116"/>
      <c r="Q67" s="116"/>
      <c r="R67" s="116"/>
      <c r="S67" s="116"/>
      <c r="T67" s="116"/>
      <c r="U67" s="116"/>
    </row>
    <row r="68" spans="1:21" x14ac:dyDescent="0.25">
      <c r="A68" s="80">
        <v>57</v>
      </c>
      <c r="B68" s="116">
        <v>439.8</v>
      </c>
      <c r="C68" s="116">
        <v>224.7</v>
      </c>
      <c r="D68" s="116"/>
      <c r="E68" s="116"/>
      <c r="F68" s="116"/>
      <c r="G68" s="116"/>
      <c r="H68" s="116"/>
      <c r="I68" s="116"/>
      <c r="J68" s="116"/>
      <c r="K68" s="116"/>
      <c r="L68" s="116"/>
      <c r="M68" s="116"/>
      <c r="N68" s="116"/>
      <c r="O68" s="116"/>
      <c r="P68" s="116"/>
      <c r="Q68" s="116"/>
      <c r="R68" s="116"/>
      <c r="S68" s="116"/>
      <c r="T68" s="116"/>
      <c r="U68" s="116"/>
    </row>
    <row r="69" spans="1:21" x14ac:dyDescent="0.25">
      <c r="A69" s="80">
        <v>58</v>
      </c>
      <c r="B69" s="116">
        <v>447.5</v>
      </c>
      <c r="C69" s="116"/>
      <c r="D69" s="116"/>
      <c r="E69" s="116"/>
      <c r="F69" s="116"/>
      <c r="G69" s="116"/>
      <c r="H69" s="116"/>
      <c r="I69" s="116"/>
      <c r="J69" s="116"/>
      <c r="K69" s="116"/>
      <c r="L69" s="116"/>
      <c r="M69" s="116"/>
      <c r="N69" s="116"/>
      <c r="O69" s="116"/>
      <c r="P69" s="116"/>
      <c r="Q69" s="116"/>
      <c r="R69" s="116"/>
      <c r="S69" s="116"/>
      <c r="T69" s="116"/>
      <c r="U69" s="116"/>
    </row>
  </sheetData>
  <sheetProtection algorithmName="SHA-512" hashValue="WHIP9r8LApnMeeP6wxlI1zDquWFAqxjp8HbAvJ1iCOnvoWuxV0KCk5dEuYfLFodv8tGPiK+ixP4iEcat3nmmKw==" saltValue="akc2sHSvpRtP0IUfhh4uIg==" spinCount="100000" sheet="1" objects="1" scenarios="1"/>
  <conditionalFormatting sqref="A6:A21">
    <cfRule type="expression" dxfId="449" priority="9" stopIfTrue="1">
      <formula>MOD(ROW(),2)=0</formula>
    </cfRule>
    <cfRule type="expression" dxfId="448" priority="10" stopIfTrue="1">
      <formula>MOD(ROW(),2)&lt;&gt;0</formula>
    </cfRule>
  </conditionalFormatting>
  <conditionalFormatting sqref="A26:A69">
    <cfRule type="expression" dxfId="447" priority="11" stopIfTrue="1">
      <formula>MOD(ROW(),2)=0</formula>
    </cfRule>
    <cfRule type="expression" dxfId="446" priority="12" stopIfTrue="1">
      <formula>MOD(ROW(),2)&lt;&gt;0</formula>
    </cfRule>
  </conditionalFormatting>
  <conditionalFormatting sqref="B17:B21">
    <cfRule type="expression" dxfId="445" priority="1" stopIfTrue="1">
      <formula>MOD(ROW(),2)=0</formula>
    </cfRule>
    <cfRule type="expression" dxfId="444" priority="2" stopIfTrue="1">
      <formula>MOD(ROW(),2)&lt;&gt;0</formula>
    </cfRule>
  </conditionalFormatting>
  <conditionalFormatting sqref="B6:U21">
    <cfRule type="expression" dxfId="443" priority="17" stopIfTrue="1">
      <formula>MOD(ROW(),2)=0</formula>
    </cfRule>
    <cfRule type="expression" dxfId="442" priority="18" stopIfTrue="1">
      <formula>MOD(ROW(),2)&lt;&gt;0</formula>
    </cfRule>
  </conditionalFormatting>
  <conditionalFormatting sqref="B26:U69">
    <cfRule type="expression" dxfId="441" priority="13" stopIfTrue="1">
      <formula>MOD(ROW(),2)=0</formula>
    </cfRule>
    <cfRule type="expression" dxfId="440" priority="14" stopIfTrue="1">
      <formula>MOD(ROW(),2)&lt;&gt;0</formula>
    </cfRule>
  </conditionalFormatting>
  <hyperlinks>
    <hyperlink ref="B24" location="Assumptions!A1" display="Assumptions" xr:uid="{BBE06551-66F2-4962-8639-AA1BFA5AD43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3B36-DF38-46FA-BE7A-821C400C3C37}">
  <sheetPr codeName="Sheet90"/>
  <dimension ref="A1:U69"/>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x-705</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74</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558</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1</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705</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559</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560</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250.5</v>
      </c>
      <c r="C27" s="116">
        <v>127.6</v>
      </c>
      <c r="D27" s="116">
        <v>86.6</v>
      </c>
      <c r="E27" s="116">
        <v>66.099999999999994</v>
      </c>
      <c r="F27" s="116">
        <v>53.9</v>
      </c>
      <c r="G27" s="116">
        <v>45.7</v>
      </c>
      <c r="H27" s="116">
        <v>39.9</v>
      </c>
      <c r="I27" s="116">
        <v>35.5</v>
      </c>
      <c r="J27" s="116">
        <v>32.1</v>
      </c>
      <c r="K27" s="116">
        <v>29.4</v>
      </c>
      <c r="L27" s="116">
        <v>27.2</v>
      </c>
      <c r="M27" s="116">
        <v>25.4</v>
      </c>
      <c r="N27" s="116">
        <v>23.8</v>
      </c>
      <c r="O27" s="116">
        <v>22.5</v>
      </c>
      <c r="P27" s="116">
        <v>21.4</v>
      </c>
      <c r="Q27" s="116">
        <v>20.399999999999999</v>
      </c>
      <c r="R27" s="116">
        <v>19.5</v>
      </c>
      <c r="S27" s="116">
        <v>18.7</v>
      </c>
      <c r="T27" s="116">
        <v>18</v>
      </c>
      <c r="U27" s="116">
        <v>17.399999999999999</v>
      </c>
    </row>
    <row r="28" spans="1:21" x14ac:dyDescent="0.25">
      <c r="A28" s="80">
        <v>17</v>
      </c>
      <c r="B28" s="116">
        <v>254.6</v>
      </c>
      <c r="C28" s="116">
        <v>129.69999999999999</v>
      </c>
      <c r="D28" s="116">
        <v>88</v>
      </c>
      <c r="E28" s="116">
        <v>67.2</v>
      </c>
      <c r="F28" s="116">
        <v>54.8</v>
      </c>
      <c r="G28" s="116">
        <v>46.4</v>
      </c>
      <c r="H28" s="116">
        <v>40.5</v>
      </c>
      <c r="I28" s="116">
        <v>36.1</v>
      </c>
      <c r="J28" s="116">
        <v>32.6</v>
      </c>
      <c r="K28" s="116">
        <v>29.9</v>
      </c>
      <c r="L28" s="116">
        <v>27.7</v>
      </c>
      <c r="M28" s="116">
        <v>25.8</v>
      </c>
      <c r="N28" s="116">
        <v>24.2</v>
      </c>
      <c r="O28" s="116">
        <v>22.9</v>
      </c>
      <c r="P28" s="116">
        <v>21.7</v>
      </c>
      <c r="Q28" s="116">
        <v>20.7</v>
      </c>
      <c r="R28" s="116">
        <v>19.8</v>
      </c>
      <c r="S28" s="116">
        <v>19</v>
      </c>
      <c r="T28" s="116">
        <v>18.3</v>
      </c>
      <c r="U28" s="116">
        <v>17.7</v>
      </c>
    </row>
    <row r="29" spans="1:21" x14ac:dyDescent="0.25">
      <c r="A29" s="80">
        <v>18</v>
      </c>
      <c r="B29" s="116">
        <v>258.8</v>
      </c>
      <c r="C29" s="116">
        <v>131.80000000000001</v>
      </c>
      <c r="D29" s="116">
        <v>89.5</v>
      </c>
      <c r="E29" s="116">
        <v>68.3</v>
      </c>
      <c r="F29" s="116">
        <v>55.7</v>
      </c>
      <c r="G29" s="116">
        <v>47.2</v>
      </c>
      <c r="H29" s="116">
        <v>41.2</v>
      </c>
      <c r="I29" s="116">
        <v>36.700000000000003</v>
      </c>
      <c r="J29" s="116">
        <v>33.200000000000003</v>
      </c>
      <c r="K29" s="116">
        <v>30.4</v>
      </c>
      <c r="L29" s="116">
        <v>28.1</v>
      </c>
      <c r="M29" s="116">
        <v>26.2</v>
      </c>
      <c r="N29" s="116">
        <v>24.6</v>
      </c>
      <c r="O29" s="116">
        <v>23.3</v>
      </c>
      <c r="P29" s="116">
        <v>22.1</v>
      </c>
      <c r="Q29" s="116">
        <v>21</v>
      </c>
      <c r="R29" s="116">
        <v>20.100000000000001</v>
      </c>
      <c r="S29" s="116">
        <v>19.3</v>
      </c>
      <c r="T29" s="116">
        <v>18.600000000000001</v>
      </c>
      <c r="U29" s="116">
        <v>18</v>
      </c>
    </row>
    <row r="30" spans="1:21" x14ac:dyDescent="0.25">
      <c r="A30" s="80">
        <v>19</v>
      </c>
      <c r="B30" s="116">
        <v>263</v>
      </c>
      <c r="C30" s="116">
        <v>133.9</v>
      </c>
      <c r="D30" s="116">
        <v>90.9</v>
      </c>
      <c r="E30" s="116">
        <v>69.400000000000006</v>
      </c>
      <c r="F30" s="116">
        <v>56.6</v>
      </c>
      <c r="G30" s="116">
        <v>48</v>
      </c>
      <c r="H30" s="116">
        <v>41.9</v>
      </c>
      <c r="I30" s="116">
        <v>37.299999999999997</v>
      </c>
      <c r="J30" s="116">
        <v>33.700000000000003</v>
      </c>
      <c r="K30" s="116">
        <v>30.9</v>
      </c>
      <c r="L30" s="116">
        <v>28.6</v>
      </c>
      <c r="M30" s="116">
        <v>26.6</v>
      </c>
      <c r="N30" s="116">
        <v>25</v>
      </c>
      <c r="O30" s="116">
        <v>23.6</v>
      </c>
      <c r="P30" s="116">
        <v>22.4</v>
      </c>
      <c r="Q30" s="116">
        <v>21.4</v>
      </c>
      <c r="R30" s="116">
        <v>20.5</v>
      </c>
      <c r="S30" s="116">
        <v>19.7</v>
      </c>
      <c r="T30" s="116">
        <v>18.899999999999999</v>
      </c>
      <c r="U30" s="116">
        <v>18.3</v>
      </c>
    </row>
    <row r="31" spans="1:21" x14ac:dyDescent="0.25">
      <c r="A31" s="80">
        <v>20</v>
      </c>
      <c r="B31" s="116">
        <v>266.89999999999998</v>
      </c>
      <c r="C31" s="116">
        <v>135.9</v>
      </c>
      <c r="D31" s="116">
        <v>92.3</v>
      </c>
      <c r="E31" s="116">
        <v>70.5</v>
      </c>
      <c r="F31" s="116">
        <v>57.4</v>
      </c>
      <c r="G31" s="116">
        <v>48.7</v>
      </c>
      <c r="H31" s="116">
        <v>42.5</v>
      </c>
      <c r="I31" s="116">
        <v>37.799999999999997</v>
      </c>
      <c r="J31" s="116">
        <v>34.200000000000003</v>
      </c>
      <c r="K31" s="116">
        <v>31.3</v>
      </c>
      <c r="L31" s="116">
        <v>29</v>
      </c>
      <c r="M31" s="116">
        <v>27</v>
      </c>
      <c r="N31" s="116">
        <v>25.4</v>
      </c>
      <c r="O31" s="116">
        <v>24</v>
      </c>
      <c r="P31" s="116">
        <v>22.8</v>
      </c>
      <c r="Q31" s="116">
        <v>21.7</v>
      </c>
      <c r="R31" s="116">
        <v>20.8</v>
      </c>
      <c r="S31" s="116">
        <v>19.899999999999999</v>
      </c>
      <c r="T31" s="116">
        <v>19.2</v>
      </c>
      <c r="U31" s="116">
        <v>18.600000000000001</v>
      </c>
    </row>
    <row r="32" spans="1:21" x14ac:dyDescent="0.25">
      <c r="A32" s="80">
        <v>21</v>
      </c>
      <c r="B32" s="116">
        <v>270.8</v>
      </c>
      <c r="C32" s="116">
        <v>137.9</v>
      </c>
      <c r="D32" s="116">
        <v>93.6</v>
      </c>
      <c r="E32" s="116">
        <v>71.5</v>
      </c>
      <c r="F32" s="116">
        <v>58.2</v>
      </c>
      <c r="G32" s="116">
        <v>49.4</v>
      </c>
      <c r="H32" s="116">
        <v>43.1</v>
      </c>
      <c r="I32" s="116">
        <v>38.4</v>
      </c>
      <c r="J32" s="116">
        <v>34.700000000000003</v>
      </c>
      <c r="K32" s="116">
        <v>31.8</v>
      </c>
      <c r="L32" s="116">
        <v>29.4</v>
      </c>
      <c r="M32" s="116">
        <v>27.4</v>
      </c>
      <c r="N32" s="116">
        <v>25.8</v>
      </c>
      <c r="O32" s="116">
        <v>24.3</v>
      </c>
      <c r="P32" s="116">
        <v>23.1</v>
      </c>
      <c r="Q32" s="116">
        <v>22</v>
      </c>
      <c r="R32" s="116">
        <v>21.1</v>
      </c>
      <c r="S32" s="116">
        <v>20.2</v>
      </c>
      <c r="T32" s="116">
        <v>19.5</v>
      </c>
      <c r="U32" s="116">
        <v>18.8</v>
      </c>
    </row>
    <row r="33" spans="1:21" x14ac:dyDescent="0.25">
      <c r="A33" s="80">
        <v>22</v>
      </c>
      <c r="B33" s="116">
        <v>274.8</v>
      </c>
      <c r="C33" s="116">
        <v>140</v>
      </c>
      <c r="D33" s="116">
        <v>95</v>
      </c>
      <c r="E33" s="116">
        <v>72.599999999999994</v>
      </c>
      <c r="F33" s="116">
        <v>59.1</v>
      </c>
      <c r="G33" s="116">
        <v>50.1</v>
      </c>
      <c r="H33" s="116">
        <v>43.8</v>
      </c>
      <c r="I33" s="116">
        <v>39</v>
      </c>
      <c r="J33" s="116">
        <v>35.299999999999997</v>
      </c>
      <c r="K33" s="116">
        <v>32.299999999999997</v>
      </c>
      <c r="L33" s="116">
        <v>29.9</v>
      </c>
      <c r="M33" s="116">
        <v>27.9</v>
      </c>
      <c r="N33" s="116">
        <v>26.2</v>
      </c>
      <c r="O33" s="116">
        <v>24.7</v>
      </c>
      <c r="P33" s="116">
        <v>23.4</v>
      </c>
      <c r="Q33" s="116">
        <v>22.4</v>
      </c>
      <c r="R33" s="116">
        <v>21.4</v>
      </c>
      <c r="S33" s="116">
        <v>20.5</v>
      </c>
      <c r="T33" s="116">
        <v>19.8</v>
      </c>
      <c r="U33" s="116">
        <v>19.100000000000001</v>
      </c>
    </row>
    <row r="34" spans="1:21" x14ac:dyDescent="0.25">
      <c r="A34" s="80">
        <v>23</v>
      </c>
      <c r="B34" s="116">
        <v>278.89999999999998</v>
      </c>
      <c r="C34" s="116">
        <v>142</v>
      </c>
      <c r="D34" s="116">
        <v>96.4</v>
      </c>
      <c r="E34" s="116">
        <v>73.599999999999994</v>
      </c>
      <c r="F34" s="116">
        <v>60</v>
      </c>
      <c r="G34" s="116">
        <v>50.9</v>
      </c>
      <c r="H34" s="116">
        <v>44.4</v>
      </c>
      <c r="I34" s="116">
        <v>39.5</v>
      </c>
      <c r="J34" s="116">
        <v>35.799999999999997</v>
      </c>
      <c r="K34" s="116">
        <v>32.799999999999997</v>
      </c>
      <c r="L34" s="116">
        <v>30.3</v>
      </c>
      <c r="M34" s="116">
        <v>28.3</v>
      </c>
      <c r="N34" s="116">
        <v>26.5</v>
      </c>
      <c r="O34" s="116">
        <v>25.1</v>
      </c>
      <c r="P34" s="116">
        <v>23.8</v>
      </c>
      <c r="Q34" s="116">
        <v>22.7</v>
      </c>
      <c r="R34" s="116">
        <v>21.7</v>
      </c>
      <c r="S34" s="116">
        <v>20.9</v>
      </c>
      <c r="T34" s="116">
        <v>20.100000000000001</v>
      </c>
      <c r="U34" s="116">
        <v>19.399999999999999</v>
      </c>
    </row>
    <row r="35" spans="1:21" x14ac:dyDescent="0.25">
      <c r="A35" s="80">
        <v>24</v>
      </c>
      <c r="B35" s="116">
        <v>283</v>
      </c>
      <c r="C35" s="116">
        <v>144.1</v>
      </c>
      <c r="D35" s="116">
        <v>97.9</v>
      </c>
      <c r="E35" s="116">
        <v>74.7</v>
      </c>
      <c r="F35" s="116">
        <v>60.9</v>
      </c>
      <c r="G35" s="116">
        <v>51.6</v>
      </c>
      <c r="H35" s="116">
        <v>45.1</v>
      </c>
      <c r="I35" s="116">
        <v>40.1</v>
      </c>
      <c r="J35" s="116">
        <v>36.299999999999997</v>
      </c>
      <c r="K35" s="116">
        <v>33.299999999999997</v>
      </c>
      <c r="L35" s="116">
        <v>30.8</v>
      </c>
      <c r="M35" s="116">
        <v>28.7</v>
      </c>
      <c r="N35" s="116">
        <v>26.9</v>
      </c>
      <c r="O35" s="116">
        <v>25.4</v>
      </c>
      <c r="P35" s="116">
        <v>24.2</v>
      </c>
      <c r="Q35" s="116">
        <v>23</v>
      </c>
      <c r="R35" s="116">
        <v>22</v>
      </c>
      <c r="S35" s="116">
        <v>21.2</v>
      </c>
      <c r="T35" s="116">
        <v>20.399999999999999</v>
      </c>
      <c r="U35" s="116">
        <v>19.7</v>
      </c>
    </row>
    <row r="36" spans="1:21" x14ac:dyDescent="0.25">
      <c r="A36" s="80">
        <v>25</v>
      </c>
      <c r="B36" s="116">
        <v>287.2</v>
      </c>
      <c r="C36" s="116">
        <v>146.30000000000001</v>
      </c>
      <c r="D36" s="116">
        <v>99.3</v>
      </c>
      <c r="E36" s="116">
        <v>75.8</v>
      </c>
      <c r="F36" s="116">
        <v>61.8</v>
      </c>
      <c r="G36" s="116">
        <v>52.4</v>
      </c>
      <c r="H36" s="116">
        <v>45.7</v>
      </c>
      <c r="I36" s="116">
        <v>40.700000000000003</v>
      </c>
      <c r="J36" s="116">
        <v>36.799999999999997</v>
      </c>
      <c r="K36" s="116">
        <v>33.700000000000003</v>
      </c>
      <c r="L36" s="116">
        <v>31.2</v>
      </c>
      <c r="M36" s="116">
        <v>29.1</v>
      </c>
      <c r="N36" s="116">
        <v>27.3</v>
      </c>
      <c r="O36" s="116">
        <v>25.8</v>
      </c>
      <c r="P36" s="116">
        <v>24.5</v>
      </c>
      <c r="Q36" s="116">
        <v>23.4</v>
      </c>
      <c r="R36" s="116">
        <v>22.4</v>
      </c>
      <c r="S36" s="116">
        <v>21.5</v>
      </c>
      <c r="T36" s="116">
        <v>20.7</v>
      </c>
      <c r="U36" s="116">
        <v>20</v>
      </c>
    </row>
    <row r="37" spans="1:21" x14ac:dyDescent="0.25">
      <c r="A37" s="80">
        <v>26</v>
      </c>
      <c r="B37" s="116">
        <v>291.39999999999998</v>
      </c>
      <c r="C37" s="116">
        <v>148.4</v>
      </c>
      <c r="D37" s="116">
        <v>100.8</v>
      </c>
      <c r="E37" s="116">
        <v>77</v>
      </c>
      <c r="F37" s="116">
        <v>62.7</v>
      </c>
      <c r="G37" s="116">
        <v>53.2</v>
      </c>
      <c r="H37" s="116">
        <v>46.4</v>
      </c>
      <c r="I37" s="116">
        <v>41.3</v>
      </c>
      <c r="J37" s="116">
        <v>37.4</v>
      </c>
      <c r="K37" s="116">
        <v>34.200000000000003</v>
      </c>
      <c r="L37" s="116">
        <v>31.7</v>
      </c>
      <c r="M37" s="116">
        <v>29.5</v>
      </c>
      <c r="N37" s="116">
        <v>27.7</v>
      </c>
      <c r="O37" s="116">
        <v>26.2</v>
      </c>
      <c r="P37" s="116">
        <v>24.9</v>
      </c>
      <c r="Q37" s="116">
        <v>23.7</v>
      </c>
      <c r="R37" s="116">
        <v>22.7</v>
      </c>
      <c r="S37" s="116">
        <v>21.8</v>
      </c>
      <c r="T37" s="116">
        <v>21</v>
      </c>
      <c r="U37" s="116">
        <v>20.3</v>
      </c>
    </row>
    <row r="38" spans="1:21" x14ac:dyDescent="0.25">
      <c r="A38" s="80">
        <v>27</v>
      </c>
      <c r="B38" s="116">
        <v>295.7</v>
      </c>
      <c r="C38" s="116">
        <v>150.6</v>
      </c>
      <c r="D38" s="116">
        <v>102.3</v>
      </c>
      <c r="E38" s="116">
        <v>78.099999999999994</v>
      </c>
      <c r="F38" s="116">
        <v>63.6</v>
      </c>
      <c r="G38" s="116">
        <v>54</v>
      </c>
      <c r="H38" s="116">
        <v>47.1</v>
      </c>
      <c r="I38" s="116">
        <v>41.9</v>
      </c>
      <c r="J38" s="116">
        <v>37.9</v>
      </c>
      <c r="K38" s="116">
        <v>34.799999999999997</v>
      </c>
      <c r="L38" s="116">
        <v>32.200000000000003</v>
      </c>
      <c r="M38" s="116">
        <v>30</v>
      </c>
      <c r="N38" s="116">
        <v>28.2</v>
      </c>
      <c r="O38" s="116">
        <v>26.6</v>
      </c>
      <c r="P38" s="116">
        <v>25.3</v>
      </c>
      <c r="Q38" s="116">
        <v>24.1</v>
      </c>
      <c r="R38" s="116">
        <v>23.1</v>
      </c>
      <c r="S38" s="116">
        <v>22.1</v>
      </c>
      <c r="T38" s="116">
        <v>21.3</v>
      </c>
      <c r="U38" s="116">
        <v>20.6</v>
      </c>
    </row>
    <row r="39" spans="1:21" x14ac:dyDescent="0.25">
      <c r="A39" s="80">
        <v>28</v>
      </c>
      <c r="B39" s="116">
        <v>300.10000000000002</v>
      </c>
      <c r="C39" s="116">
        <v>152.80000000000001</v>
      </c>
      <c r="D39" s="116">
        <v>103.8</v>
      </c>
      <c r="E39" s="116">
        <v>79.2</v>
      </c>
      <c r="F39" s="116">
        <v>64.599999999999994</v>
      </c>
      <c r="G39" s="116">
        <v>54.8</v>
      </c>
      <c r="H39" s="116">
        <v>47.8</v>
      </c>
      <c r="I39" s="116">
        <v>42.6</v>
      </c>
      <c r="J39" s="116">
        <v>38.5</v>
      </c>
      <c r="K39" s="116">
        <v>35.299999999999997</v>
      </c>
      <c r="L39" s="116">
        <v>32.6</v>
      </c>
      <c r="M39" s="116">
        <v>30.4</v>
      </c>
      <c r="N39" s="116">
        <v>28.6</v>
      </c>
      <c r="O39" s="116">
        <v>27</v>
      </c>
      <c r="P39" s="116">
        <v>25.6</v>
      </c>
      <c r="Q39" s="116">
        <v>24.4</v>
      </c>
      <c r="R39" s="116">
        <v>23.4</v>
      </c>
      <c r="S39" s="116">
        <v>22.5</v>
      </c>
      <c r="T39" s="116">
        <v>21.6</v>
      </c>
      <c r="U39" s="116">
        <v>20.9</v>
      </c>
    </row>
    <row r="40" spans="1:21" x14ac:dyDescent="0.25">
      <c r="A40" s="80">
        <v>29</v>
      </c>
      <c r="B40" s="116">
        <v>304.5</v>
      </c>
      <c r="C40" s="116">
        <v>155.1</v>
      </c>
      <c r="D40" s="116">
        <v>105.3</v>
      </c>
      <c r="E40" s="116">
        <v>80.400000000000006</v>
      </c>
      <c r="F40" s="116">
        <v>65.5</v>
      </c>
      <c r="G40" s="116">
        <v>55.6</v>
      </c>
      <c r="H40" s="116">
        <v>48.5</v>
      </c>
      <c r="I40" s="116">
        <v>43.2</v>
      </c>
      <c r="J40" s="116">
        <v>39.1</v>
      </c>
      <c r="K40" s="116">
        <v>35.799999999999997</v>
      </c>
      <c r="L40" s="116">
        <v>33.1</v>
      </c>
      <c r="M40" s="116">
        <v>30.9</v>
      </c>
      <c r="N40" s="116">
        <v>29</v>
      </c>
      <c r="O40" s="116">
        <v>27.4</v>
      </c>
      <c r="P40" s="116">
        <v>26</v>
      </c>
      <c r="Q40" s="116">
        <v>24.8</v>
      </c>
      <c r="R40" s="116">
        <v>23.8</v>
      </c>
      <c r="S40" s="116">
        <v>22.8</v>
      </c>
      <c r="T40" s="116">
        <v>22</v>
      </c>
      <c r="U40" s="116">
        <v>21.2</v>
      </c>
    </row>
    <row r="41" spans="1:21" x14ac:dyDescent="0.25">
      <c r="A41" s="80">
        <v>30</v>
      </c>
      <c r="B41" s="116">
        <v>309</v>
      </c>
      <c r="C41" s="116">
        <v>157.4</v>
      </c>
      <c r="D41" s="116">
        <v>106.8</v>
      </c>
      <c r="E41" s="116">
        <v>81.599999999999994</v>
      </c>
      <c r="F41" s="116">
        <v>66.5</v>
      </c>
      <c r="G41" s="116">
        <v>56.4</v>
      </c>
      <c r="H41" s="116">
        <v>49.2</v>
      </c>
      <c r="I41" s="116">
        <v>43.8</v>
      </c>
      <c r="J41" s="116">
        <v>39.700000000000003</v>
      </c>
      <c r="K41" s="116">
        <v>36.299999999999997</v>
      </c>
      <c r="L41" s="116">
        <v>33.6</v>
      </c>
      <c r="M41" s="116">
        <v>31.4</v>
      </c>
      <c r="N41" s="116">
        <v>29.5</v>
      </c>
      <c r="O41" s="116">
        <v>27.8</v>
      </c>
      <c r="P41" s="116">
        <v>26.4</v>
      </c>
      <c r="Q41" s="116">
        <v>25.2</v>
      </c>
      <c r="R41" s="116">
        <v>24.1</v>
      </c>
      <c r="S41" s="116">
        <v>23.2</v>
      </c>
      <c r="T41" s="116">
        <v>22.3</v>
      </c>
      <c r="U41" s="116">
        <v>21.6</v>
      </c>
    </row>
    <row r="42" spans="1:21" x14ac:dyDescent="0.25">
      <c r="A42" s="80">
        <v>31</v>
      </c>
      <c r="B42" s="116">
        <v>313.5</v>
      </c>
      <c r="C42" s="116">
        <v>159.69999999999999</v>
      </c>
      <c r="D42" s="116">
        <v>108.4</v>
      </c>
      <c r="E42" s="116">
        <v>82.8</v>
      </c>
      <c r="F42" s="116">
        <v>67.5</v>
      </c>
      <c r="G42" s="116">
        <v>57.2</v>
      </c>
      <c r="H42" s="116">
        <v>50</v>
      </c>
      <c r="I42" s="116">
        <v>44.5</v>
      </c>
      <c r="J42" s="116">
        <v>40.299999999999997</v>
      </c>
      <c r="K42" s="116">
        <v>36.9</v>
      </c>
      <c r="L42" s="116">
        <v>34.1</v>
      </c>
      <c r="M42" s="116">
        <v>31.8</v>
      </c>
      <c r="N42" s="116">
        <v>29.9</v>
      </c>
      <c r="O42" s="116">
        <v>28.2</v>
      </c>
      <c r="P42" s="116">
        <v>26.8</v>
      </c>
      <c r="Q42" s="116">
        <v>25.6</v>
      </c>
      <c r="R42" s="116">
        <v>24.5</v>
      </c>
      <c r="S42" s="116">
        <v>23.5</v>
      </c>
      <c r="T42" s="116">
        <v>22.7</v>
      </c>
      <c r="U42" s="116">
        <v>21.9</v>
      </c>
    </row>
    <row r="43" spans="1:21" x14ac:dyDescent="0.25">
      <c r="A43" s="80">
        <v>32</v>
      </c>
      <c r="B43" s="116">
        <v>318.10000000000002</v>
      </c>
      <c r="C43" s="116">
        <v>162</v>
      </c>
      <c r="D43" s="116">
        <v>110</v>
      </c>
      <c r="E43" s="116">
        <v>84</v>
      </c>
      <c r="F43" s="116">
        <v>68.5</v>
      </c>
      <c r="G43" s="116">
        <v>58.1</v>
      </c>
      <c r="H43" s="116">
        <v>50.7</v>
      </c>
      <c r="I43" s="116">
        <v>45.2</v>
      </c>
      <c r="J43" s="116">
        <v>40.9</v>
      </c>
      <c r="K43" s="116">
        <v>37.4</v>
      </c>
      <c r="L43" s="116">
        <v>34.6</v>
      </c>
      <c r="M43" s="116">
        <v>32.299999999999997</v>
      </c>
      <c r="N43" s="116">
        <v>30.3</v>
      </c>
      <c r="O43" s="116">
        <v>28.7</v>
      </c>
      <c r="P43" s="116">
        <v>27.2</v>
      </c>
      <c r="Q43" s="116">
        <v>26</v>
      </c>
      <c r="R43" s="116">
        <v>24.9</v>
      </c>
      <c r="S43" s="116">
        <v>23.9</v>
      </c>
      <c r="T43" s="116">
        <v>23</v>
      </c>
      <c r="U43" s="116">
        <v>22.2</v>
      </c>
    </row>
    <row r="44" spans="1:21" x14ac:dyDescent="0.25">
      <c r="A44" s="80">
        <v>33</v>
      </c>
      <c r="B44" s="116">
        <v>322.8</v>
      </c>
      <c r="C44" s="116">
        <v>164.4</v>
      </c>
      <c r="D44" s="116">
        <v>111.6</v>
      </c>
      <c r="E44" s="116">
        <v>85.3</v>
      </c>
      <c r="F44" s="116">
        <v>69.5</v>
      </c>
      <c r="G44" s="116">
        <v>59</v>
      </c>
      <c r="H44" s="116">
        <v>51.4</v>
      </c>
      <c r="I44" s="116">
        <v>45.8</v>
      </c>
      <c r="J44" s="116">
        <v>41.5</v>
      </c>
      <c r="K44" s="116">
        <v>38</v>
      </c>
      <c r="L44" s="116">
        <v>35.1</v>
      </c>
      <c r="M44" s="116">
        <v>32.799999999999997</v>
      </c>
      <c r="N44" s="116">
        <v>30.8</v>
      </c>
      <c r="O44" s="116">
        <v>29.1</v>
      </c>
      <c r="P44" s="116">
        <v>27.6</v>
      </c>
      <c r="Q44" s="116">
        <v>26.4</v>
      </c>
      <c r="R44" s="116">
        <v>25.2</v>
      </c>
      <c r="S44" s="116">
        <v>24.2</v>
      </c>
      <c r="T44" s="116">
        <v>23.4</v>
      </c>
      <c r="U44" s="116">
        <v>22.6</v>
      </c>
    </row>
    <row r="45" spans="1:21" x14ac:dyDescent="0.25">
      <c r="A45" s="80">
        <v>34</v>
      </c>
      <c r="B45" s="116">
        <v>327.5</v>
      </c>
      <c r="C45" s="116">
        <v>166.8</v>
      </c>
      <c r="D45" s="116">
        <v>113.3</v>
      </c>
      <c r="E45" s="116">
        <v>86.5</v>
      </c>
      <c r="F45" s="116">
        <v>70.5</v>
      </c>
      <c r="G45" s="116">
        <v>59.8</v>
      </c>
      <c r="H45" s="116">
        <v>52.2</v>
      </c>
      <c r="I45" s="116">
        <v>46.5</v>
      </c>
      <c r="J45" s="116">
        <v>42.1</v>
      </c>
      <c r="K45" s="116">
        <v>38.6</v>
      </c>
      <c r="L45" s="116">
        <v>35.700000000000003</v>
      </c>
      <c r="M45" s="116">
        <v>33.299999999999997</v>
      </c>
      <c r="N45" s="116">
        <v>31.3</v>
      </c>
      <c r="O45" s="116">
        <v>29.5</v>
      </c>
      <c r="P45" s="116">
        <v>28.1</v>
      </c>
      <c r="Q45" s="116">
        <v>26.8</v>
      </c>
      <c r="R45" s="116">
        <v>25.6</v>
      </c>
      <c r="S45" s="116">
        <v>24.6</v>
      </c>
      <c r="T45" s="116">
        <v>23.7</v>
      </c>
      <c r="U45" s="116">
        <v>22.9</v>
      </c>
    </row>
    <row r="46" spans="1:21" x14ac:dyDescent="0.25">
      <c r="A46" s="80">
        <v>35</v>
      </c>
      <c r="B46" s="116">
        <v>332.3</v>
      </c>
      <c r="C46" s="116">
        <v>169.3</v>
      </c>
      <c r="D46" s="116">
        <v>114.9</v>
      </c>
      <c r="E46" s="116">
        <v>87.8</v>
      </c>
      <c r="F46" s="116">
        <v>71.5</v>
      </c>
      <c r="G46" s="116">
        <v>60.7</v>
      </c>
      <c r="H46" s="116">
        <v>53</v>
      </c>
      <c r="I46" s="116">
        <v>47.2</v>
      </c>
      <c r="J46" s="116">
        <v>42.7</v>
      </c>
      <c r="K46" s="116">
        <v>39.1</v>
      </c>
      <c r="L46" s="116">
        <v>36.200000000000003</v>
      </c>
      <c r="M46" s="116">
        <v>33.799999999999997</v>
      </c>
      <c r="N46" s="116">
        <v>31.7</v>
      </c>
      <c r="O46" s="116">
        <v>30</v>
      </c>
      <c r="P46" s="116">
        <v>28.5</v>
      </c>
      <c r="Q46" s="116">
        <v>27.2</v>
      </c>
      <c r="R46" s="116">
        <v>26</v>
      </c>
      <c r="S46" s="116">
        <v>25</v>
      </c>
      <c r="T46" s="116">
        <v>24.1</v>
      </c>
      <c r="U46" s="116">
        <v>23.3</v>
      </c>
    </row>
    <row r="47" spans="1:21" x14ac:dyDescent="0.25">
      <c r="A47" s="80">
        <v>36</v>
      </c>
      <c r="B47" s="116">
        <v>337.2</v>
      </c>
      <c r="C47" s="116">
        <v>171.8</v>
      </c>
      <c r="D47" s="116">
        <v>116.6</v>
      </c>
      <c r="E47" s="116">
        <v>89.1</v>
      </c>
      <c r="F47" s="116">
        <v>72.599999999999994</v>
      </c>
      <c r="G47" s="116">
        <v>61.6</v>
      </c>
      <c r="H47" s="116">
        <v>53.8</v>
      </c>
      <c r="I47" s="116">
        <v>47.9</v>
      </c>
      <c r="J47" s="116">
        <v>43.3</v>
      </c>
      <c r="K47" s="116">
        <v>39.700000000000003</v>
      </c>
      <c r="L47" s="116">
        <v>36.799999999999997</v>
      </c>
      <c r="M47" s="116">
        <v>34.299999999999997</v>
      </c>
      <c r="N47" s="116">
        <v>32.200000000000003</v>
      </c>
      <c r="O47" s="116">
        <v>30.4</v>
      </c>
      <c r="P47" s="116">
        <v>28.9</v>
      </c>
      <c r="Q47" s="116">
        <v>27.6</v>
      </c>
      <c r="R47" s="116">
        <v>26.4</v>
      </c>
      <c r="S47" s="116">
        <v>25.4</v>
      </c>
      <c r="T47" s="116">
        <v>24.5</v>
      </c>
      <c r="U47" s="116">
        <v>23.6</v>
      </c>
    </row>
    <row r="48" spans="1:21" x14ac:dyDescent="0.25">
      <c r="A48" s="80">
        <v>37</v>
      </c>
      <c r="B48" s="116">
        <v>342.1</v>
      </c>
      <c r="C48" s="116">
        <v>174.3</v>
      </c>
      <c r="D48" s="116">
        <v>118.3</v>
      </c>
      <c r="E48" s="116">
        <v>90.4</v>
      </c>
      <c r="F48" s="116">
        <v>73.7</v>
      </c>
      <c r="G48" s="116">
        <v>62.5</v>
      </c>
      <c r="H48" s="116">
        <v>54.6</v>
      </c>
      <c r="I48" s="116">
        <v>48.6</v>
      </c>
      <c r="J48" s="116">
        <v>44</v>
      </c>
      <c r="K48" s="116">
        <v>40.299999999999997</v>
      </c>
      <c r="L48" s="116">
        <v>37.299999999999997</v>
      </c>
      <c r="M48" s="116">
        <v>34.799999999999997</v>
      </c>
      <c r="N48" s="116">
        <v>32.700000000000003</v>
      </c>
      <c r="O48" s="116">
        <v>30.9</v>
      </c>
      <c r="P48" s="116">
        <v>29.4</v>
      </c>
      <c r="Q48" s="116">
        <v>28</v>
      </c>
      <c r="R48" s="116">
        <v>26.8</v>
      </c>
      <c r="S48" s="116">
        <v>25.8</v>
      </c>
      <c r="T48" s="116">
        <v>24.8</v>
      </c>
      <c r="U48" s="116">
        <v>24</v>
      </c>
    </row>
    <row r="49" spans="1:21" x14ac:dyDescent="0.25">
      <c r="A49" s="80">
        <v>38</v>
      </c>
      <c r="B49" s="116">
        <v>347.1</v>
      </c>
      <c r="C49" s="116">
        <v>176.8</v>
      </c>
      <c r="D49" s="116">
        <v>120.1</v>
      </c>
      <c r="E49" s="116">
        <v>91.7</v>
      </c>
      <c r="F49" s="116">
        <v>74.8</v>
      </c>
      <c r="G49" s="116">
        <v>63.4</v>
      </c>
      <c r="H49" s="116">
        <v>55.4</v>
      </c>
      <c r="I49" s="116">
        <v>49.3</v>
      </c>
      <c r="J49" s="116">
        <v>44.7</v>
      </c>
      <c r="K49" s="116">
        <v>40.9</v>
      </c>
      <c r="L49" s="116">
        <v>37.9</v>
      </c>
      <c r="M49" s="116">
        <v>35.299999999999997</v>
      </c>
      <c r="N49" s="116">
        <v>33.200000000000003</v>
      </c>
      <c r="O49" s="116">
        <v>31.4</v>
      </c>
      <c r="P49" s="116">
        <v>29.8</v>
      </c>
      <c r="Q49" s="116">
        <v>28.4</v>
      </c>
      <c r="R49" s="116">
        <v>27.2</v>
      </c>
      <c r="S49" s="116">
        <v>26.2</v>
      </c>
      <c r="T49" s="116">
        <v>25.2</v>
      </c>
      <c r="U49" s="116">
        <v>24.4</v>
      </c>
    </row>
    <row r="50" spans="1:21" x14ac:dyDescent="0.25">
      <c r="A50" s="80">
        <v>39</v>
      </c>
      <c r="B50" s="116">
        <v>352.2</v>
      </c>
      <c r="C50" s="116">
        <v>179.4</v>
      </c>
      <c r="D50" s="116">
        <v>121.9</v>
      </c>
      <c r="E50" s="116">
        <v>93.1</v>
      </c>
      <c r="F50" s="116">
        <v>75.900000000000006</v>
      </c>
      <c r="G50" s="116">
        <v>64.400000000000006</v>
      </c>
      <c r="H50" s="116">
        <v>56.2</v>
      </c>
      <c r="I50" s="116">
        <v>50.1</v>
      </c>
      <c r="J50" s="116">
        <v>45.3</v>
      </c>
      <c r="K50" s="116">
        <v>41.5</v>
      </c>
      <c r="L50" s="116">
        <v>38.4</v>
      </c>
      <c r="M50" s="116">
        <v>35.9</v>
      </c>
      <c r="N50" s="116">
        <v>33.700000000000003</v>
      </c>
      <c r="O50" s="116">
        <v>31.9</v>
      </c>
      <c r="P50" s="116">
        <v>30.3</v>
      </c>
      <c r="Q50" s="116">
        <v>28.9</v>
      </c>
      <c r="R50" s="116">
        <v>27.7</v>
      </c>
      <c r="S50" s="116">
        <v>26.6</v>
      </c>
      <c r="T50" s="116">
        <v>25.6</v>
      </c>
      <c r="U50" s="116">
        <v>24.8</v>
      </c>
    </row>
    <row r="51" spans="1:21" x14ac:dyDescent="0.25">
      <c r="A51" s="80">
        <v>40</v>
      </c>
      <c r="B51" s="116">
        <v>357.4</v>
      </c>
      <c r="C51" s="116">
        <v>182.1</v>
      </c>
      <c r="D51" s="116">
        <v>123.7</v>
      </c>
      <c r="E51" s="116">
        <v>94.5</v>
      </c>
      <c r="F51" s="116">
        <v>77</v>
      </c>
      <c r="G51" s="116">
        <v>65.3</v>
      </c>
      <c r="H51" s="116">
        <v>57</v>
      </c>
      <c r="I51" s="116">
        <v>50.8</v>
      </c>
      <c r="J51" s="116">
        <v>46</v>
      </c>
      <c r="K51" s="116">
        <v>42.2</v>
      </c>
      <c r="L51" s="116">
        <v>39</v>
      </c>
      <c r="M51" s="116">
        <v>36.4</v>
      </c>
      <c r="N51" s="116">
        <v>34.200000000000003</v>
      </c>
      <c r="O51" s="116">
        <v>32.4</v>
      </c>
      <c r="P51" s="116">
        <v>30.7</v>
      </c>
      <c r="Q51" s="116">
        <v>29.3</v>
      </c>
      <c r="R51" s="116">
        <v>28.1</v>
      </c>
      <c r="S51" s="116">
        <v>27</v>
      </c>
      <c r="T51" s="116">
        <v>26.1</v>
      </c>
      <c r="U51" s="116"/>
    </row>
    <row r="52" spans="1:21" x14ac:dyDescent="0.25">
      <c r="A52" s="80">
        <v>41</v>
      </c>
      <c r="B52" s="116">
        <v>362.6</v>
      </c>
      <c r="C52" s="116">
        <v>184.7</v>
      </c>
      <c r="D52" s="116">
        <v>125.5</v>
      </c>
      <c r="E52" s="116">
        <v>95.9</v>
      </c>
      <c r="F52" s="116">
        <v>78.099999999999994</v>
      </c>
      <c r="G52" s="116">
        <v>66.3</v>
      </c>
      <c r="H52" s="116">
        <v>57.9</v>
      </c>
      <c r="I52" s="116">
        <v>51.6</v>
      </c>
      <c r="J52" s="116">
        <v>46.7</v>
      </c>
      <c r="K52" s="116">
        <v>42.8</v>
      </c>
      <c r="L52" s="116">
        <v>39.6</v>
      </c>
      <c r="M52" s="116">
        <v>37</v>
      </c>
      <c r="N52" s="116">
        <v>34.799999999999997</v>
      </c>
      <c r="O52" s="116">
        <v>32.9</v>
      </c>
      <c r="P52" s="116">
        <v>31.2</v>
      </c>
      <c r="Q52" s="116">
        <v>29.8</v>
      </c>
      <c r="R52" s="116">
        <v>28.6</v>
      </c>
      <c r="S52" s="116">
        <v>27.5</v>
      </c>
      <c r="T52" s="116"/>
      <c r="U52" s="116"/>
    </row>
    <row r="53" spans="1:21" x14ac:dyDescent="0.25">
      <c r="A53" s="80">
        <v>42</v>
      </c>
      <c r="B53" s="116">
        <v>367.9</v>
      </c>
      <c r="C53" s="116">
        <v>187.4</v>
      </c>
      <c r="D53" s="116">
        <v>127.3</v>
      </c>
      <c r="E53" s="116">
        <v>97.3</v>
      </c>
      <c r="F53" s="116">
        <v>79.3</v>
      </c>
      <c r="G53" s="116">
        <v>67.3</v>
      </c>
      <c r="H53" s="116">
        <v>58.8</v>
      </c>
      <c r="I53" s="116">
        <v>52.4</v>
      </c>
      <c r="J53" s="116">
        <v>47.4</v>
      </c>
      <c r="K53" s="116">
        <v>43.5</v>
      </c>
      <c r="L53" s="116">
        <v>40.200000000000003</v>
      </c>
      <c r="M53" s="116">
        <v>37.6</v>
      </c>
      <c r="N53" s="116">
        <v>35.299999999999997</v>
      </c>
      <c r="O53" s="116">
        <v>33.4</v>
      </c>
      <c r="P53" s="116">
        <v>31.7</v>
      </c>
      <c r="Q53" s="116">
        <v>30.3</v>
      </c>
      <c r="R53" s="116">
        <v>29</v>
      </c>
      <c r="S53" s="116"/>
      <c r="T53" s="116"/>
      <c r="U53" s="116"/>
    </row>
    <row r="54" spans="1:21" x14ac:dyDescent="0.25">
      <c r="A54" s="80">
        <v>43</v>
      </c>
      <c r="B54" s="116">
        <v>373.3</v>
      </c>
      <c r="C54" s="116">
        <v>190.2</v>
      </c>
      <c r="D54" s="116">
        <v>129.19999999999999</v>
      </c>
      <c r="E54" s="116">
        <v>98.7</v>
      </c>
      <c r="F54" s="116">
        <v>80.5</v>
      </c>
      <c r="G54" s="116">
        <v>68.3</v>
      </c>
      <c r="H54" s="116">
        <v>59.7</v>
      </c>
      <c r="I54" s="116">
        <v>53.2</v>
      </c>
      <c r="J54" s="116">
        <v>48.1</v>
      </c>
      <c r="K54" s="116">
        <v>44.1</v>
      </c>
      <c r="L54" s="116">
        <v>40.9</v>
      </c>
      <c r="M54" s="116">
        <v>38.1</v>
      </c>
      <c r="N54" s="116">
        <v>35.9</v>
      </c>
      <c r="O54" s="116">
        <v>33.9</v>
      </c>
      <c r="P54" s="116">
        <v>32.200000000000003</v>
      </c>
      <c r="Q54" s="116">
        <v>30.8</v>
      </c>
      <c r="R54" s="116"/>
      <c r="S54" s="116"/>
      <c r="T54" s="116"/>
      <c r="U54" s="116"/>
    </row>
    <row r="55" spans="1:21" x14ac:dyDescent="0.25">
      <c r="A55" s="80">
        <v>44</v>
      </c>
      <c r="B55" s="116">
        <v>378.8</v>
      </c>
      <c r="C55" s="116">
        <v>193</v>
      </c>
      <c r="D55" s="116">
        <v>131.1</v>
      </c>
      <c r="E55" s="116">
        <v>100.2</v>
      </c>
      <c r="F55" s="116">
        <v>81.7</v>
      </c>
      <c r="G55" s="116">
        <v>69.3</v>
      </c>
      <c r="H55" s="116">
        <v>60.6</v>
      </c>
      <c r="I55" s="116">
        <v>54</v>
      </c>
      <c r="J55" s="116">
        <v>48.9</v>
      </c>
      <c r="K55" s="116">
        <v>44.8</v>
      </c>
      <c r="L55" s="116">
        <v>41.5</v>
      </c>
      <c r="M55" s="116">
        <v>38.700000000000003</v>
      </c>
      <c r="N55" s="116">
        <v>36.4</v>
      </c>
      <c r="O55" s="116">
        <v>34.5</v>
      </c>
      <c r="P55" s="116">
        <v>32.799999999999997</v>
      </c>
      <c r="Q55" s="116"/>
      <c r="R55" s="116"/>
      <c r="S55" s="116"/>
      <c r="T55" s="116"/>
      <c r="U55" s="116"/>
    </row>
    <row r="56" spans="1:21" x14ac:dyDescent="0.25">
      <c r="A56" s="80">
        <v>45</v>
      </c>
      <c r="B56" s="116">
        <v>384.3</v>
      </c>
      <c r="C56" s="116">
        <v>195.9</v>
      </c>
      <c r="D56" s="116">
        <v>133.1</v>
      </c>
      <c r="E56" s="116">
        <v>101.7</v>
      </c>
      <c r="F56" s="116">
        <v>82.9</v>
      </c>
      <c r="G56" s="116">
        <v>70.400000000000006</v>
      </c>
      <c r="H56" s="116">
        <v>61.5</v>
      </c>
      <c r="I56" s="116">
        <v>54.8</v>
      </c>
      <c r="J56" s="116">
        <v>49.6</v>
      </c>
      <c r="K56" s="116">
        <v>45.5</v>
      </c>
      <c r="L56" s="116">
        <v>42.2</v>
      </c>
      <c r="M56" s="116">
        <v>39.4</v>
      </c>
      <c r="N56" s="116">
        <v>37</v>
      </c>
      <c r="O56" s="116">
        <v>35</v>
      </c>
      <c r="P56" s="116"/>
      <c r="Q56" s="116"/>
      <c r="R56" s="116"/>
      <c r="S56" s="116"/>
      <c r="T56" s="116"/>
      <c r="U56" s="116"/>
    </row>
    <row r="57" spans="1:21" x14ac:dyDescent="0.25">
      <c r="A57" s="80">
        <v>46</v>
      </c>
      <c r="B57" s="116">
        <v>390</v>
      </c>
      <c r="C57" s="116">
        <v>198.7</v>
      </c>
      <c r="D57" s="116">
        <v>135</v>
      </c>
      <c r="E57" s="116">
        <v>103.2</v>
      </c>
      <c r="F57" s="116">
        <v>84.1</v>
      </c>
      <c r="G57" s="116">
        <v>71.5</v>
      </c>
      <c r="H57" s="116">
        <v>62.4</v>
      </c>
      <c r="I57" s="116">
        <v>55.7</v>
      </c>
      <c r="J57" s="116">
        <v>50.4</v>
      </c>
      <c r="K57" s="116">
        <v>46.2</v>
      </c>
      <c r="L57" s="116">
        <v>42.8</v>
      </c>
      <c r="M57" s="116">
        <v>40</v>
      </c>
      <c r="N57" s="116">
        <v>37.6</v>
      </c>
      <c r="O57" s="116"/>
      <c r="P57" s="116"/>
      <c r="Q57" s="116"/>
      <c r="R57" s="116"/>
      <c r="S57" s="116"/>
      <c r="T57" s="116"/>
      <c r="U57" s="116"/>
    </row>
    <row r="58" spans="1:21" x14ac:dyDescent="0.25">
      <c r="A58" s="80">
        <v>47</v>
      </c>
      <c r="B58" s="116">
        <v>395.7</v>
      </c>
      <c r="C58" s="116">
        <v>201.7</v>
      </c>
      <c r="D58" s="116">
        <v>137.1</v>
      </c>
      <c r="E58" s="116">
        <v>104.8</v>
      </c>
      <c r="F58" s="116">
        <v>85.4</v>
      </c>
      <c r="G58" s="116">
        <v>72.599999999999994</v>
      </c>
      <c r="H58" s="116">
        <v>63.4</v>
      </c>
      <c r="I58" s="116">
        <v>56.5</v>
      </c>
      <c r="J58" s="116">
        <v>51.2</v>
      </c>
      <c r="K58" s="116">
        <v>47</v>
      </c>
      <c r="L58" s="116">
        <v>43.5</v>
      </c>
      <c r="M58" s="116">
        <v>40.700000000000003</v>
      </c>
      <c r="N58" s="116"/>
      <c r="O58" s="116"/>
      <c r="P58" s="116"/>
      <c r="Q58" s="116"/>
      <c r="R58" s="116"/>
      <c r="S58" s="116"/>
      <c r="T58" s="116"/>
      <c r="U58" s="116"/>
    </row>
    <row r="59" spans="1:21" x14ac:dyDescent="0.25">
      <c r="A59" s="80">
        <v>48</v>
      </c>
      <c r="B59" s="116">
        <v>401.6</v>
      </c>
      <c r="C59" s="116">
        <v>204.7</v>
      </c>
      <c r="D59" s="116">
        <v>139.1</v>
      </c>
      <c r="E59" s="116">
        <v>106.4</v>
      </c>
      <c r="F59" s="116">
        <v>86.7</v>
      </c>
      <c r="G59" s="116">
        <v>73.7</v>
      </c>
      <c r="H59" s="116">
        <v>64.400000000000006</v>
      </c>
      <c r="I59" s="116">
        <v>57.4</v>
      </c>
      <c r="J59" s="116">
        <v>52.1</v>
      </c>
      <c r="K59" s="116">
        <v>47.8</v>
      </c>
      <c r="L59" s="116">
        <v>44.3</v>
      </c>
      <c r="M59" s="116"/>
      <c r="N59" s="116"/>
      <c r="O59" s="116"/>
      <c r="P59" s="116"/>
      <c r="Q59" s="116"/>
      <c r="R59" s="116"/>
      <c r="S59" s="116"/>
      <c r="T59" s="116"/>
      <c r="U59" s="116"/>
    </row>
    <row r="60" spans="1:21" x14ac:dyDescent="0.25">
      <c r="A60" s="80">
        <v>49</v>
      </c>
      <c r="B60" s="116">
        <v>407.6</v>
      </c>
      <c r="C60" s="116">
        <v>207.8</v>
      </c>
      <c r="D60" s="116">
        <v>141.19999999999999</v>
      </c>
      <c r="E60" s="116">
        <v>108</v>
      </c>
      <c r="F60" s="116">
        <v>88.1</v>
      </c>
      <c r="G60" s="116">
        <v>74.900000000000006</v>
      </c>
      <c r="H60" s="116">
        <v>65.400000000000006</v>
      </c>
      <c r="I60" s="116">
        <v>58.4</v>
      </c>
      <c r="J60" s="116">
        <v>52.9</v>
      </c>
      <c r="K60" s="116">
        <v>48.6</v>
      </c>
      <c r="L60" s="116"/>
      <c r="M60" s="116"/>
      <c r="N60" s="116"/>
      <c r="O60" s="116"/>
      <c r="P60" s="116"/>
      <c r="Q60" s="116"/>
      <c r="R60" s="116"/>
      <c r="S60" s="116"/>
      <c r="T60" s="116"/>
      <c r="U60" s="116"/>
    </row>
    <row r="61" spans="1:21" x14ac:dyDescent="0.25">
      <c r="A61" s="80">
        <v>50</v>
      </c>
      <c r="B61" s="116">
        <v>413.7</v>
      </c>
      <c r="C61" s="116">
        <v>211</v>
      </c>
      <c r="D61" s="116">
        <v>143.4</v>
      </c>
      <c r="E61" s="116">
        <v>109.7</v>
      </c>
      <c r="F61" s="116">
        <v>89.5</v>
      </c>
      <c r="G61" s="116">
        <v>76.099999999999994</v>
      </c>
      <c r="H61" s="116">
        <v>66.5</v>
      </c>
      <c r="I61" s="116">
        <v>59.4</v>
      </c>
      <c r="J61" s="116">
        <v>53.8</v>
      </c>
      <c r="K61" s="116"/>
      <c r="L61" s="116"/>
      <c r="M61" s="116"/>
      <c r="N61" s="116"/>
      <c r="O61" s="116"/>
      <c r="P61" s="116"/>
      <c r="Q61" s="116"/>
      <c r="R61" s="116"/>
      <c r="S61" s="116"/>
      <c r="T61" s="116"/>
      <c r="U61" s="116"/>
    </row>
    <row r="62" spans="1:21" x14ac:dyDescent="0.25">
      <c r="A62" s="80">
        <v>51</v>
      </c>
      <c r="B62" s="116">
        <v>420</v>
      </c>
      <c r="C62" s="116">
        <v>214.2</v>
      </c>
      <c r="D62" s="116">
        <v>145.69999999999999</v>
      </c>
      <c r="E62" s="116">
        <v>111.5</v>
      </c>
      <c r="F62" s="116">
        <v>91</v>
      </c>
      <c r="G62" s="116">
        <v>77.3</v>
      </c>
      <c r="H62" s="116">
        <v>67.599999999999994</v>
      </c>
      <c r="I62" s="116">
        <v>60.4</v>
      </c>
      <c r="J62" s="116"/>
      <c r="K62" s="116"/>
      <c r="L62" s="116"/>
      <c r="M62" s="116"/>
      <c r="N62" s="116"/>
      <c r="O62" s="116"/>
      <c r="P62" s="116"/>
      <c r="Q62" s="116"/>
      <c r="R62" s="116"/>
      <c r="S62" s="116"/>
      <c r="T62" s="116"/>
      <c r="U62" s="116"/>
    </row>
    <row r="63" spans="1:21" x14ac:dyDescent="0.25">
      <c r="A63" s="80">
        <v>52</v>
      </c>
      <c r="B63" s="116">
        <v>426.4</v>
      </c>
      <c r="C63" s="116">
        <v>217.6</v>
      </c>
      <c r="D63" s="116">
        <v>148</v>
      </c>
      <c r="E63" s="116">
        <v>113.3</v>
      </c>
      <c r="F63" s="116">
        <v>92.5</v>
      </c>
      <c r="G63" s="116">
        <v>78.599999999999994</v>
      </c>
      <c r="H63" s="116">
        <v>68.8</v>
      </c>
      <c r="I63" s="116"/>
      <c r="J63" s="116"/>
      <c r="K63" s="116"/>
      <c r="L63" s="116"/>
      <c r="M63" s="116"/>
      <c r="N63" s="116"/>
      <c r="O63" s="116"/>
      <c r="P63" s="116"/>
      <c r="Q63" s="116"/>
      <c r="R63" s="116"/>
      <c r="S63" s="116"/>
      <c r="T63" s="116"/>
      <c r="U63" s="116"/>
    </row>
    <row r="64" spans="1:21" x14ac:dyDescent="0.25">
      <c r="A64" s="80">
        <v>53</v>
      </c>
      <c r="B64" s="116">
        <v>433</v>
      </c>
      <c r="C64" s="116">
        <v>221</v>
      </c>
      <c r="D64" s="116">
        <v>150.30000000000001</v>
      </c>
      <c r="E64" s="116">
        <v>115.1</v>
      </c>
      <c r="F64" s="116">
        <v>94</v>
      </c>
      <c r="G64" s="116">
        <v>79.900000000000006</v>
      </c>
      <c r="H64" s="116"/>
      <c r="I64" s="116"/>
      <c r="J64" s="116"/>
      <c r="K64" s="116"/>
      <c r="L64" s="116"/>
      <c r="M64" s="116"/>
      <c r="N64" s="116"/>
      <c r="O64" s="116"/>
      <c r="P64" s="116"/>
      <c r="Q64" s="116"/>
      <c r="R64" s="116"/>
      <c r="S64" s="116"/>
      <c r="T64" s="116"/>
      <c r="U64" s="116"/>
    </row>
    <row r="65" spans="1:21" x14ac:dyDescent="0.25">
      <c r="A65" s="80">
        <v>54</v>
      </c>
      <c r="B65" s="116">
        <v>439.7</v>
      </c>
      <c r="C65" s="116">
        <v>224.4</v>
      </c>
      <c r="D65" s="116">
        <v>152.80000000000001</v>
      </c>
      <c r="E65" s="116">
        <v>117</v>
      </c>
      <c r="F65" s="116">
        <v>95.5</v>
      </c>
      <c r="G65" s="116"/>
      <c r="H65" s="116"/>
      <c r="I65" s="116"/>
      <c r="J65" s="116"/>
      <c r="K65" s="116"/>
      <c r="L65" s="116"/>
      <c r="M65" s="116"/>
      <c r="N65" s="116"/>
      <c r="O65" s="116"/>
      <c r="P65" s="116"/>
      <c r="Q65" s="116"/>
      <c r="R65" s="116"/>
      <c r="S65" s="116"/>
      <c r="T65" s="116"/>
      <c r="U65" s="116"/>
    </row>
    <row r="66" spans="1:21" x14ac:dyDescent="0.25">
      <c r="A66" s="80">
        <v>55</v>
      </c>
      <c r="B66" s="116">
        <v>446.5</v>
      </c>
      <c r="C66" s="116">
        <v>228</v>
      </c>
      <c r="D66" s="116">
        <v>155.19999999999999</v>
      </c>
      <c r="E66" s="116">
        <v>118.9</v>
      </c>
      <c r="F66" s="116"/>
      <c r="G66" s="116"/>
      <c r="H66" s="116"/>
      <c r="I66" s="116"/>
      <c r="J66" s="116"/>
      <c r="K66" s="116"/>
      <c r="L66" s="116"/>
      <c r="M66" s="116"/>
      <c r="N66" s="116"/>
      <c r="O66" s="116"/>
      <c r="P66" s="116"/>
      <c r="Q66" s="116"/>
      <c r="R66" s="116"/>
      <c r="S66" s="116"/>
      <c r="T66" s="116"/>
      <c r="U66" s="116"/>
    </row>
    <row r="67" spans="1:21" x14ac:dyDescent="0.25">
      <c r="A67" s="80">
        <v>56</v>
      </c>
      <c r="B67" s="116">
        <v>453.6</v>
      </c>
      <c r="C67" s="116">
        <v>231.7</v>
      </c>
      <c r="D67" s="116">
        <v>157.80000000000001</v>
      </c>
      <c r="E67" s="116"/>
      <c r="F67" s="116"/>
      <c r="G67" s="116"/>
      <c r="H67" s="116"/>
      <c r="I67" s="116"/>
      <c r="J67" s="116"/>
      <c r="K67" s="116"/>
      <c r="L67" s="116"/>
      <c r="M67" s="116"/>
      <c r="N67" s="116"/>
      <c r="O67" s="116"/>
      <c r="P67" s="116"/>
      <c r="Q67" s="116"/>
      <c r="R67" s="116"/>
      <c r="S67" s="116"/>
      <c r="T67" s="116"/>
      <c r="U67" s="116"/>
    </row>
    <row r="68" spans="1:21" x14ac:dyDescent="0.25">
      <c r="A68" s="80">
        <v>57</v>
      </c>
      <c r="B68" s="116">
        <v>461</v>
      </c>
      <c r="C68" s="116">
        <v>235.5</v>
      </c>
      <c r="D68" s="116"/>
      <c r="E68" s="116"/>
      <c r="F68" s="116"/>
      <c r="G68" s="116"/>
      <c r="H68" s="116"/>
      <c r="I68" s="116"/>
      <c r="J68" s="116"/>
      <c r="K68" s="116"/>
      <c r="L68" s="116"/>
      <c r="M68" s="116"/>
      <c r="N68" s="116"/>
      <c r="O68" s="116"/>
      <c r="P68" s="116"/>
      <c r="Q68" s="116"/>
      <c r="R68" s="116"/>
      <c r="S68" s="116"/>
      <c r="T68" s="116"/>
      <c r="U68" s="116"/>
    </row>
    <row r="69" spans="1:21" x14ac:dyDescent="0.25">
      <c r="A69" s="80">
        <v>58</v>
      </c>
      <c r="B69" s="116">
        <v>468.7</v>
      </c>
      <c r="C69" s="116"/>
      <c r="D69" s="116"/>
      <c r="E69" s="116"/>
      <c r="F69" s="116"/>
      <c r="G69" s="116"/>
      <c r="H69" s="116"/>
      <c r="I69" s="116"/>
      <c r="J69" s="116"/>
      <c r="K69" s="116"/>
      <c r="L69" s="116"/>
      <c r="M69" s="116"/>
      <c r="N69" s="116"/>
      <c r="O69" s="116"/>
      <c r="P69" s="116"/>
      <c r="Q69" s="116"/>
      <c r="R69" s="116"/>
      <c r="S69" s="116"/>
      <c r="T69" s="116"/>
      <c r="U69" s="116"/>
    </row>
  </sheetData>
  <sheetProtection algorithmName="SHA-512" hashValue="p/vLUqQeUBdWhkUcQodVI8GavSQvyg6M6fP8iQXzfJ3mWNPKY8O8VWnQpfqTSUr51IG7Bm27CrhK38ExrrLQ/A==" saltValue="LcTUSXfOxU8HHl/9HgeOog==" spinCount="100000" sheet="1" objects="1" scenarios="1"/>
  <conditionalFormatting sqref="A6:A21">
    <cfRule type="expression" dxfId="439" priority="9" stopIfTrue="1">
      <formula>MOD(ROW(),2)=0</formula>
    </cfRule>
    <cfRule type="expression" dxfId="438" priority="10" stopIfTrue="1">
      <formula>MOD(ROW(),2)&lt;&gt;0</formula>
    </cfRule>
  </conditionalFormatting>
  <conditionalFormatting sqref="A26:A69">
    <cfRule type="expression" dxfId="437" priority="11" stopIfTrue="1">
      <formula>MOD(ROW(),2)=0</formula>
    </cfRule>
    <cfRule type="expression" dxfId="436" priority="12" stopIfTrue="1">
      <formula>MOD(ROW(),2)&lt;&gt;0</formula>
    </cfRule>
  </conditionalFormatting>
  <conditionalFormatting sqref="B17:B21">
    <cfRule type="expression" dxfId="435" priority="1" stopIfTrue="1">
      <formula>MOD(ROW(),2)=0</formula>
    </cfRule>
    <cfRule type="expression" dxfId="434" priority="2" stopIfTrue="1">
      <formula>MOD(ROW(),2)&lt;&gt;0</formula>
    </cfRule>
  </conditionalFormatting>
  <conditionalFormatting sqref="B6:U21">
    <cfRule type="expression" dxfId="433" priority="17" stopIfTrue="1">
      <formula>MOD(ROW(),2)=0</formula>
    </cfRule>
    <cfRule type="expression" dxfId="432" priority="18" stopIfTrue="1">
      <formula>MOD(ROW(),2)&lt;&gt;0</formula>
    </cfRule>
  </conditionalFormatting>
  <conditionalFormatting sqref="B26:U69">
    <cfRule type="expression" dxfId="431" priority="13" stopIfTrue="1">
      <formula>MOD(ROW(),2)=0</formula>
    </cfRule>
    <cfRule type="expression" dxfId="430" priority="14" stopIfTrue="1">
      <formula>MOD(ROW(),2)&lt;&gt;0</formula>
    </cfRule>
  </conditionalFormatting>
  <hyperlinks>
    <hyperlink ref="B24" location="Assumptions!A1" display="Assumptions" xr:uid="{D3841C80-7DE5-404C-ACF4-1A55D22C12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33C6-75FA-4C2E-BD9E-21A3FBC3F377}">
  <sheetPr codeName="Sheet91"/>
  <dimension ref="A1:U74"/>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x-706</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74</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561</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2</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706</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562</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563</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192.2</v>
      </c>
      <c r="C27" s="116">
        <v>97.9</v>
      </c>
      <c r="D27" s="116">
        <v>66.400000000000006</v>
      </c>
      <c r="E27" s="116">
        <v>50.7</v>
      </c>
      <c r="F27" s="116">
        <v>41.3</v>
      </c>
      <c r="G27" s="116">
        <v>35.1</v>
      </c>
      <c r="H27" s="116">
        <v>30.6</v>
      </c>
      <c r="I27" s="116">
        <v>27.2</v>
      </c>
      <c r="J27" s="116">
        <v>24.6</v>
      </c>
      <c r="K27" s="116">
        <v>22.6</v>
      </c>
      <c r="L27" s="116">
        <v>20.9</v>
      </c>
      <c r="M27" s="116">
        <v>19.5</v>
      </c>
      <c r="N27" s="116">
        <v>18.3</v>
      </c>
      <c r="O27" s="116">
        <v>17.3</v>
      </c>
      <c r="P27" s="116">
        <v>16.399999999999999</v>
      </c>
      <c r="Q27" s="116">
        <v>15.6</v>
      </c>
      <c r="R27" s="116">
        <v>15</v>
      </c>
      <c r="S27" s="116">
        <v>14.4</v>
      </c>
      <c r="T27" s="116">
        <v>13.8</v>
      </c>
      <c r="U27" s="116">
        <v>13.4</v>
      </c>
    </row>
    <row r="28" spans="1:21" x14ac:dyDescent="0.25">
      <c r="A28" s="80">
        <v>17</v>
      </c>
      <c r="B28" s="116">
        <v>195</v>
      </c>
      <c r="C28" s="116">
        <v>99.3</v>
      </c>
      <c r="D28" s="116">
        <v>67.400000000000006</v>
      </c>
      <c r="E28" s="116">
        <v>51.5</v>
      </c>
      <c r="F28" s="116">
        <v>41.9</v>
      </c>
      <c r="G28" s="116">
        <v>35.6</v>
      </c>
      <c r="H28" s="116">
        <v>31</v>
      </c>
      <c r="I28" s="116">
        <v>27.6</v>
      </c>
      <c r="J28" s="116">
        <v>25</v>
      </c>
      <c r="K28" s="116">
        <v>22.9</v>
      </c>
      <c r="L28" s="116">
        <v>21.2</v>
      </c>
      <c r="M28" s="116">
        <v>19.8</v>
      </c>
      <c r="N28" s="116">
        <v>18.600000000000001</v>
      </c>
      <c r="O28" s="116">
        <v>17.5</v>
      </c>
      <c r="P28" s="116">
        <v>16.600000000000001</v>
      </c>
      <c r="Q28" s="116">
        <v>15.9</v>
      </c>
      <c r="R28" s="116">
        <v>15.2</v>
      </c>
      <c r="S28" s="116">
        <v>14.6</v>
      </c>
      <c r="T28" s="116">
        <v>14</v>
      </c>
      <c r="U28" s="116">
        <v>13.6</v>
      </c>
    </row>
    <row r="29" spans="1:21" x14ac:dyDescent="0.25">
      <c r="A29" s="80">
        <v>18</v>
      </c>
      <c r="B29" s="116">
        <v>197.9</v>
      </c>
      <c r="C29" s="116">
        <v>100.8</v>
      </c>
      <c r="D29" s="116">
        <v>68.400000000000006</v>
      </c>
      <c r="E29" s="116">
        <v>52.3</v>
      </c>
      <c r="F29" s="116">
        <v>42.6</v>
      </c>
      <c r="G29" s="116">
        <v>36.1</v>
      </c>
      <c r="H29" s="116">
        <v>31.5</v>
      </c>
      <c r="I29" s="116">
        <v>28.1</v>
      </c>
      <c r="J29" s="116">
        <v>25.4</v>
      </c>
      <c r="K29" s="116">
        <v>23.2</v>
      </c>
      <c r="L29" s="116">
        <v>21.5</v>
      </c>
      <c r="M29" s="116">
        <v>20</v>
      </c>
      <c r="N29" s="116">
        <v>18.8</v>
      </c>
      <c r="O29" s="116">
        <v>17.8</v>
      </c>
      <c r="P29" s="116">
        <v>16.899999999999999</v>
      </c>
      <c r="Q29" s="116">
        <v>16.100000000000001</v>
      </c>
      <c r="R29" s="116">
        <v>15.4</v>
      </c>
      <c r="S29" s="116">
        <v>14.8</v>
      </c>
      <c r="T29" s="116">
        <v>14.2</v>
      </c>
      <c r="U29" s="116">
        <v>13.8</v>
      </c>
    </row>
    <row r="30" spans="1:21" x14ac:dyDescent="0.25">
      <c r="A30" s="80">
        <v>19</v>
      </c>
      <c r="B30" s="116">
        <v>200.8</v>
      </c>
      <c r="C30" s="116">
        <v>102.3</v>
      </c>
      <c r="D30" s="116">
        <v>69.400000000000006</v>
      </c>
      <c r="E30" s="116">
        <v>53</v>
      </c>
      <c r="F30" s="116">
        <v>43.2</v>
      </c>
      <c r="G30" s="116">
        <v>36.6</v>
      </c>
      <c r="H30" s="116">
        <v>32</v>
      </c>
      <c r="I30" s="116">
        <v>28.5</v>
      </c>
      <c r="J30" s="116">
        <v>25.8</v>
      </c>
      <c r="K30" s="116">
        <v>23.6</v>
      </c>
      <c r="L30" s="116">
        <v>21.8</v>
      </c>
      <c r="M30" s="116">
        <v>20.3</v>
      </c>
      <c r="N30" s="116">
        <v>19.100000000000001</v>
      </c>
      <c r="O30" s="116">
        <v>18</v>
      </c>
      <c r="P30" s="116">
        <v>17.100000000000001</v>
      </c>
      <c r="Q30" s="116">
        <v>16.3</v>
      </c>
      <c r="R30" s="116">
        <v>15.6</v>
      </c>
      <c r="S30" s="116">
        <v>15</v>
      </c>
      <c r="T30" s="116">
        <v>14.5</v>
      </c>
      <c r="U30" s="116">
        <v>14</v>
      </c>
    </row>
    <row r="31" spans="1:21" x14ac:dyDescent="0.25">
      <c r="A31" s="80">
        <v>20</v>
      </c>
      <c r="B31" s="116">
        <v>203.7</v>
      </c>
      <c r="C31" s="116">
        <v>103.7</v>
      </c>
      <c r="D31" s="116">
        <v>70.400000000000006</v>
      </c>
      <c r="E31" s="116">
        <v>53.8</v>
      </c>
      <c r="F31" s="116">
        <v>43.8</v>
      </c>
      <c r="G31" s="116">
        <v>37.200000000000003</v>
      </c>
      <c r="H31" s="116">
        <v>32.4</v>
      </c>
      <c r="I31" s="116">
        <v>28.9</v>
      </c>
      <c r="J31" s="116">
        <v>26.1</v>
      </c>
      <c r="K31" s="116">
        <v>23.9</v>
      </c>
      <c r="L31" s="116">
        <v>22.1</v>
      </c>
      <c r="M31" s="116">
        <v>20.6</v>
      </c>
      <c r="N31" s="116">
        <v>19.399999999999999</v>
      </c>
      <c r="O31" s="116">
        <v>18.3</v>
      </c>
      <c r="P31" s="116">
        <v>17.399999999999999</v>
      </c>
      <c r="Q31" s="116">
        <v>16.600000000000001</v>
      </c>
      <c r="R31" s="116">
        <v>15.9</v>
      </c>
      <c r="S31" s="116">
        <v>15.2</v>
      </c>
      <c r="T31" s="116">
        <v>14.7</v>
      </c>
      <c r="U31" s="116">
        <v>14.2</v>
      </c>
    </row>
    <row r="32" spans="1:21" x14ac:dyDescent="0.25">
      <c r="A32" s="80">
        <v>21</v>
      </c>
      <c r="B32" s="116">
        <v>206.7</v>
      </c>
      <c r="C32" s="116">
        <v>105.2</v>
      </c>
      <c r="D32" s="116">
        <v>71.5</v>
      </c>
      <c r="E32" s="116">
        <v>54.6</v>
      </c>
      <c r="F32" s="116">
        <v>44.4</v>
      </c>
      <c r="G32" s="116">
        <v>37.700000000000003</v>
      </c>
      <c r="H32" s="116">
        <v>32.9</v>
      </c>
      <c r="I32" s="116">
        <v>29.3</v>
      </c>
      <c r="J32" s="116">
        <v>26.5</v>
      </c>
      <c r="K32" s="116">
        <v>24.3</v>
      </c>
      <c r="L32" s="116">
        <v>22.5</v>
      </c>
      <c r="M32" s="116">
        <v>20.9</v>
      </c>
      <c r="N32" s="116">
        <v>19.7</v>
      </c>
      <c r="O32" s="116">
        <v>18.600000000000001</v>
      </c>
      <c r="P32" s="116">
        <v>17.600000000000001</v>
      </c>
      <c r="Q32" s="116">
        <v>16.8</v>
      </c>
      <c r="R32" s="116">
        <v>16.100000000000001</v>
      </c>
      <c r="S32" s="116">
        <v>15.4</v>
      </c>
      <c r="T32" s="116">
        <v>14.9</v>
      </c>
      <c r="U32" s="116">
        <v>14.4</v>
      </c>
    </row>
    <row r="33" spans="1:21" x14ac:dyDescent="0.25">
      <c r="A33" s="80">
        <v>22</v>
      </c>
      <c r="B33" s="116">
        <v>209.7</v>
      </c>
      <c r="C33" s="116">
        <v>106.8</v>
      </c>
      <c r="D33" s="116">
        <v>72.5</v>
      </c>
      <c r="E33" s="116">
        <v>55.4</v>
      </c>
      <c r="F33" s="116">
        <v>45.1</v>
      </c>
      <c r="G33" s="116">
        <v>38.299999999999997</v>
      </c>
      <c r="H33" s="116">
        <v>33.4</v>
      </c>
      <c r="I33" s="116">
        <v>29.7</v>
      </c>
      <c r="J33" s="116">
        <v>26.9</v>
      </c>
      <c r="K33" s="116">
        <v>24.6</v>
      </c>
      <c r="L33" s="116">
        <v>22.8</v>
      </c>
      <c r="M33" s="116">
        <v>21.2</v>
      </c>
      <c r="N33" s="116">
        <v>20</v>
      </c>
      <c r="O33" s="116">
        <v>18.8</v>
      </c>
      <c r="P33" s="116">
        <v>17.899999999999999</v>
      </c>
      <c r="Q33" s="116">
        <v>17.100000000000001</v>
      </c>
      <c r="R33" s="116">
        <v>16.3</v>
      </c>
      <c r="S33" s="116">
        <v>15.7</v>
      </c>
      <c r="T33" s="116">
        <v>15.1</v>
      </c>
      <c r="U33" s="116">
        <v>14.6</v>
      </c>
    </row>
    <row r="34" spans="1:21" x14ac:dyDescent="0.25">
      <c r="A34" s="80">
        <v>23</v>
      </c>
      <c r="B34" s="116">
        <v>212.7</v>
      </c>
      <c r="C34" s="116">
        <v>108.3</v>
      </c>
      <c r="D34" s="116">
        <v>73.5</v>
      </c>
      <c r="E34" s="116">
        <v>56.2</v>
      </c>
      <c r="F34" s="116">
        <v>45.7</v>
      </c>
      <c r="G34" s="116">
        <v>38.799999999999997</v>
      </c>
      <c r="H34" s="116">
        <v>33.9</v>
      </c>
      <c r="I34" s="116">
        <v>30.2</v>
      </c>
      <c r="J34" s="116">
        <v>27.3</v>
      </c>
      <c r="K34" s="116">
        <v>25</v>
      </c>
      <c r="L34" s="116">
        <v>23.1</v>
      </c>
      <c r="M34" s="116">
        <v>21.6</v>
      </c>
      <c r="N34" s="116">
        <v>20.2</v>
      </c>
      <c r="O34" s="116">
        <v>19.100000000000001</v>
      </c>
      <c r="P34" s="116">
        <v>18.2</v>
      </c>
      <c r="Q34" s="116">
        <v>17.3</v>
      </c>
      <c r="R34" s="116">
        <v>16.600000000000001</v>
      </c>
      <c r="S34" s="116">
        <v>15.9</v>
      </c>
      <c r="T34" s="116">
        <v>15.3</v>
      </c>
      <c r="U34" s="116">
        <v>14.8</v>
      </c>
    </row>
    <row r="35" spans="1:21" x14ac:dyDescent="0.25">
      <c r="A35" s="80">
        <v>24</v>
      </c>
      <c r="B35" s="116">
        <v>215.8</v>
      </c>
      <c r="C35" s="116">
        <v>109.9</v>
      </c>
      <c r="D35" s="116">
        <v>74.599999999999994</v>
      </c>
      <c r="E35" s="116">
        <v>57</v>
      </c>
      <c r="F35" s="116">
        <v>46.4</v>
      </c>
      <c r="G35" s="116">
        <v>39.4</v>
      </c>
      <c r="H35" s="116">
        <v>34.4</v>
      </c>
      <c r="I35" s="116">
        <v>30.6</v>
      </c>
      <c r="J35" s="116">
        <v>27.7</v>
      </c>
      <c r="K35" s="116">
        <v>25.4</v>
      </c>
      <c r="L35" s="116">
        <v>23.4</v>
      </c>
      <c r="M35" s="116">
        <v>21.9</v>
      </c>
      <c r="N35" s="116">
        <v>20.5</v>
      </c>
      <c r="O35" s="116">
        <v>19.399999999999999</v>
      </c>
      <c r="P35" s="116">
        <v>18.399999999999999</v>
      </c>
      <c r="Q35" s="116">
        <v>17.600000000000001</v>
      </c>
      <c r="R35" s="116">
        <v>16.8</v>
      </c>
      <c r="S35" s="116">
        <v>16.100000000000001</v>
      </c>
      <c r="T35" s="116">
        <v>15.5</v>
      </c>
      <c r="U35" s="116">
        <v>15</v>
      </c>
    </row>
    <row r="36" spans="1:21" x14ac:dyDescent="0.25">
      <c r="A36" s="80">
        <v>25</v>
      </c>
      <c r="B36" s="116">
        <v>218.9</v>
      </c>
      <c r="C36" s="116">
        <v>111.5</v>
      </c>
      <c r="D36" s="116">
        <v>75.7</v>
      </c>
      <c r="E36" s="116">
        <v>57.8</v>
      </c>
      <c r="F36" s="116">
        <v>47.1</v>
      </c>
      <c r="G36" s="116">
        <v>39.9</v>
      </c>
      <c r="H36" s="116">
        <v>34.9</v>
      </c>
      <c r="I36" s="116">
        <v>31</v>
      </c>
      <c r="J36" s="116">
        <v>28.1</v>
      </c>
      <c r="K36" s="116">
        <v>25.7</v>
      </c>
      <c r="L36" s="116">
        <v>23.8</v>
      </c>
      <c r="M36" s="116">
        <v>22.2</v>
      </c>
      <c r="N36" s="116">
        <v>20.8</v>
      </c>
      <c r="O36" s="116">
        <v>19.7</v>
      </c>
      <c r="P36" s="116">
        <v>18.7</v>
      </c>
      <c r="Q36" s="116">
        <v>17.8</v>
      </c>
      <c r="R36" s="116">
        <v>17.100000000000001</v>
      </c>
      <c r="S36" s="116">
        <v>16.399999999999999</v>
      </c>
      <c r="T36" s="116">
        <v>15.8</v>
      </c>
      <c r="U36" s="116">
        <v>15.2</v>
      </c>
    </row>
    <row r="37" spans="1:21" x14ac:dyDescent="0.25">
      <c r="A37" s="80">
        <v>26</v>
      </c>
      <c r="B37" s="116">
        <v>222</v>
      </c>
      <c r="C37" s="116">
        <v>113.1</v>
      </c>
      <c r="D37" s="116">
        <v>76.8</v>
      </c>
      <c r="E37" s="116">
        <v>58.6</v>
      </c>
      <c r="F37" s="116">
        <v>47.8</v>
      </c>
      <c r="G37" s="116">
        <v>40.5</v>
      </c>
      <c r="H37" s="116">
        <v>35.4</v>
      </c>
      <c r="I37" s="116">
        <v>31.5</v>
      </c>
      <c r="J37" s="116">
        <v>28.5</v>
      </c>
      <c r="K37" s="116">
        <v>26.1</v>
      </c>
      <c r="L37" s="116">
        <v>24.1</v>
      </c>
      <c r="M37" s="116">
        <v>22.5</v>
      </c>
      <c r="N37" s="116">
        <v>21.1</v>
      </c>
      <c r="O37" s="116">
        <v>20</v>
      </c>
      <c r="P37" s="116">
        <v>19</v>
      </c>
      <c r="Q37" s="116">
        <v>18.100000000000001</v>
      </c>
      <c r="R37" s="116">
        <v>17.3</v>
      </c>
      <c r="S37" s="116">
        <v>16.600000000000001</v>
      </c>
      <c r="T37" s="116">
        <v>16</v>
      </c>
      <c r="U37" s="116">
        <v>15.5</v>
      </c>
    </row>
    <row r="38" spans="1:21" x14ac:dyDescent="0.25">
      <c r="A38" s="80">
        <v>27</v>
      </c>
      <c r="B38" s="116">
        <v>225.2</v>
      </c>
      <c r="C38" s="116">
        <v>114.7</v>
      </c>
      <c r="D38" s="116">
        <v>77.900000000000006</v>
      </c>
      <c r="E38" s="116">
        <v>59.5</v>
      </c>
      <c r="F38" s="116">
        <v>48.4</v>
      </c>
      <c r="G38" s="116">
        <v>41.1</v>
      </c>
      <c r="H38" s="116">
        <v>35.9</v>
      </c>
      <c r="I38" s="116">
        <v>31.9</v>
      </c>
      <c r="J38" s="116">
        <v>28.9</v>
      </c>
      <c r="K38" s="116">
        <v>26.5</v>
      </c>
      <c r="L38" s="116">
        <v>24.5</v>
      </c>
      <c r="M38" s="116">
        <v>22.8</v>
      </c>
      <c r="N38" s="116">
        <v>21.4</v>
      </c>
      <c r="O38" s="116">
        <v>20.3</v>
      </c>
      <c r="P38" s="116">
        <v>19.2</v>
      </c>
      <c r="Q38" s="116">
        <v>18.3</v>
      </c>
      <c r="R38" s="116">
        <v>17.600000000000001</v>
      </c>
      <c r="S38" s="116">
        <v>16.899999999999999</v>
      </c>
      <c r="T38" s="116">
        <v>16.2</v>
      </c>
      <c r="U38" s="116">
        <v>15.7</v>
      </c>
    </row>
    <row r="39" spans="1:21" x14ac:dyDescent="0.25">
      <c r="A39" s="80">
        <v>28</v>
      </c>
      <c r="B39" s="116">
        <v>228.5</v>
      </c>
      <c r="C39" s="116">
        <v>116.4</v>
      </c>
      <c r="D39" s="116">
        <v>79</v>
      </c>
      <c r="E39" s="116">
        <v>60.3</v>
      </c>
      <c r="F39" s="116">
        <v>49.1</v>
      </c>
      <c r="G39" s="116">
        <v>41.7</v>
      </c>
      <c r="H39" s="116">
        <v>36.4</v>
      </c>
      <c r="I39" s="116">
        <v>32.4</v>
      </c>
      <c r="J39" s="116">
        <v>29.3</v>
      </c>
      <c r="K39" s="116">
        <v>26.9</v>
      </c>
      <c r="L39" s="116">
        <v>24.8</v>
      </c>
      <c r="M39" s="116">
        <v>23.2</v>
      </c>
      <c r="N39" s="116">
        <v>21.8</v>
      </c>
      <c r="O39" s="116">
        <v>20.6</v>
      </c>
      <c r="P39" s="116">
        <v>19.5</v>
      </c>
      <c r="Q39" s="116">
        <v>18.600000000000001</v>
      </c>
      <c r="R39" s="116">
        <v>17.8</v>
      </c>
      <c r="S39" s="116">
        <v>17.100000000000001</v>
      </c>
      <c r="T39" s="116">
        <v>16.5</v>
      </c>
      <c r="U39" s="116">
        <v>15.9</v>
      </c>
    </row>
    <row r="40" spans="1:21" x14ac:dyDescent="0.25">
      <c r="A40" s="80">
        <v>29</v>
      </c>
      <c r="B40" s="116">
        <v>231.8</v>
      </c>
      <c r="C40" s="116">
        <v>118</v>
      </c>
      <c r="D40" s="116">
        <v>80.099999999999994</v>
      </c>
      <c r="E40" s="116">
        <v>61.2</v>
      </c>
      <c r="F40" s="116">
        <v>49.9</v>
      </c>
      <c r="G40" s="116">
        <v>42.3</v>
      </c>
      <c r="H40" s="116">
        <v>36.9</v>
      </c>
      <c r="I40" s="116">
        <v>32.9</v>
      </c>
      <c r="J40" s="116">
        <v>29.7</v>
      </c>
      <c r="K40" s="116">
        <v>27.2</v>
      </c>
      <c r="L40" s="116">
        <v>25.2</v>
      </c>
      <c r="M40" s="116">
        <v>23.5</v>
      </c>
      <c r="N40" s="116">
        <v>22.1</v>
      </c>
      <c r="O40" s="116">
        <v>20.9</v>
      </c>
      <c r="P40" s="116">
        <v>19.8</v>
      </c>
      <c r="Q40" s="116">
        <v>18.899999999999999</v>
      </c>
      <c r="R40" s="116">
        <v>18.100000000000001</v>
      </c>
      <c r="S40" s="116">
        <v>17.399999999999999</v>
      </c>
      <c r="T40" s="116">
        <v>16.7</v>
      </c>
      <c r="U40" s="116">
        <v>16.2</v>
      </c>
    </row>
    <row r="41" spans="1:21" x14ac:dyDescent="0.25">
      <c r="A41" s="80">
        <v>30</v>
      </c>
      <c r="B41" s="116">
        <v>235.1</v>
      </c>
      <c r="C41" s="116">
        <v>119.7</v>
      </c>
      <c r="D41" s="116">
        <v>81.3</v>
      </c>
      <c r="E41" s="116">
        <v>62.1</v>
      </c>
      <c r="F41" s="116">
        <v>50.6</v>
      </c>
      <c r="G41" s="116">
        <v>42.9</v>
      </c>
      <c r="H41" s="116">
        <v>37.4</v>
      </c>
      <c r="I41" s="116">
        <v>33.4</v>
      </c>
      <c r="J41" s="116">
        <v>30.2</v>
      </c>
      <c r="K41" s="116">
        <v>27.6</v>
      </c>
      <c r="L41" s="116">
        <v>25.6</v>
      </c>
      <c r="M41" s="116">
        <v>23.9</v>
      </c>
      <c r="N41" s="116">
        <v>22.4</v>
      </c>
      <c r="O41" s="116">
        <v>21.2</v>
      </c>
      <c r="P41" s="116">
        <v>20.100000000000001</v>
      </c>
      <c r="Q41" s="116">
        <v>19.2</v>
      </c>
      <c r="R41" s="116">
        <v>18.3</v>
      </c>
      <c r="S41" s="116">
        <v>17.600000000000001</v>
      </c>
      <c r="T41" s="116">
        <v>17</v>
      </c>
      <c r="U41" s="116">
        <v>16.399999999999999</v>
      </c>
    </row>
    <row r="42" spans="1:21" x14ac:dyDescent="0.25">
      <c r="A42" s="80">
        <v>31</v>
      </c>
      <c r="B42" s="116">
        <v>238.5</v>
      </c>
      <c r="C42" s="116">
        <v>121.4</v>
      </c>
      <c r="D42" s="116">
        <v>82.5</v>
      </c>
      <c r="E42" s="116">
        <v>63</v>
      </c>
      <c r="F42" s="116">
        <v>51.3</v>
      </c>
      <c r="G42" s="116">
        <v>43.5</v>
      </c>
      <c r="H42" s="116">
        <v>38</v>
      </c>
      <c r="I42" s="116">
        <v>33.799999999999997</v>
      </c>
      <c r="J42" s="116">
        <v>30.6</v>
      </c>
      <c r="K42" s="116">
        <v>28</v>
      </c>
      <c r="L42" s="116">
        <v>25.9</v>
      </c>
      <c r="M42" s="116">
        <v>24.2</v>
      </c>
      <c r="N42" s="116">
        <v>22.7</v>
      </c>
      <c r="O42" s="116">
        <v>21.5</v>
      </c>
      <c r="P42" s="116">
        <v>20.399999999999999</v>
      </c>
      <c r="Q42" s="116">
        <v>19.399999999999999</v>
      </c>
      <c r="R42" s="116">
        <v>18.600000000000001</v>
      </c>
      <c r="S42" s="116">
        <v>17.899999999999999</v>
      </c>
      <c r="T42" s="116">
        <v>17.2</v>
      </c>
      <c r="U42" s="116">
        <v>16.600000000000001</v>
      </c>
    </row>
    <row r="43" spans="1:21" x14ac:dyDescent="0.25">
      <c r="A43" s="80">
        <v>32</v>
      </c>
      <c r="B43" s="116">
        <v>241.9</v>
      </c>
      <c r="C43" s="116">
        <v>123.2</v>
      </c>
      <c r="D43" s="116">
        <v>83.6</v>
      </c>
      <c r="E43" s="116">
        <v>63.9</v>
      </c>
      <c r="F43" s="116">
        <v>52</v>
      </c>
      <c r="G43" s="116">
        <v>44.2</v>
      </c>
      <c r="H43" s="116">
        <v>38.5</v>
      </c>
      <c r="I43" s="116">
        <v>34.299999999999997</v>
      </c>
      <c r="J43" s="116">
        <v>31.1</v>
      </c>
      <c r="K43" s="116">
        <v>28.5</v>
      </c>
      <c r="L43" s="116">
        <v>26.3</v>
      </c>
      <c r="M43" s="116">
        <v>24.6</v>
      </c>
      <c r="N43" s="116">
        <v>23.1</v>
      </c>
      <c r="O43" s="116">
        <v>21.8</v>
      </c>
      <c r="P43" s="116">
        <v>20.7</v>
      </c>
      <c r="Q43" s="116">
        <v>19.7</v>
      </c>
      <c r="R43" s="116">
        <v>18.899999999999999</v>
      </c>
      <c r="S43" s="116">
        <v>18.2</v>
      </c>
      <c r="T43" s="116">
        <v>17.5</v>
      </c>
      <c r="U43" s="116">
        <v>16.899999999999999</v>
      </c>
    </row>
    <row r="44" spans="1:21" x14ac:dyDescent="0.25">
      <c r="A44" s="80">
        <v>33</v>
      </c>
      <c r="B44" s="116">
        <v>245.3</v>
      </c>
      <c r="C44" s="116">
        <v>125</v>
      </c>
      <c r="D44" s="116">
        <v>84.8</v>
      </c>
      <c r="E44" s="116">
        <v>64.8</v>
      </c>
      <c r="F44" s="116">
        <v>52.8</v>
      </c>
      <c r="G44" s="116">
        <v>44.8</v>
      </c>
      <c r="H44" s="116">
        <v>39.1</v>
      </c>
      <c r="I44" s="116">
        <v>34.799999999999997</v>
      </c>
      <c r="J44" s="116">
        <v>31.5</v>
      </c>
      <c r="K44" s="116">
        <v>28.9</v>
      </c>
      <c r="L44" s="116">
        <v>26.7</v>
      </c>
      <c r="M44" s="116">
        <v>24.9</v>
      </c>
      <c r="N44" s="116">
        <v>23.4</v>
      </c>
      <c r="O44" s="116">
        <v>22.1</v>
      </c>
      <c r="P44" s="116">
        <v>21</v>
      </c>
      <c r="Q44" s="116">
        <v>20</v>
      </c>
      <c r="R44" s="116">
        <v>19.2</v>
      </c>
      <c r="S44" s="116">
        <v>18.399999999999999</v>
      </c>
      <c r="T44" s="116">
        <v>17.7</v>
      </c>
      <c r="U44" s="116">
        <v>17.100000000000001</v>
      </c>
    </row>
    <row r="45" spans="1:21" x14ac:dyDescent="0.25">
      <c r="A45" s="80">
        <v>34</v>
      </c>
      <c r="B45" s="116">
        <v>248.8</v>
      </c>
      <c r="C45" s="116">
        <v>126.7</v>
      </c>
      <c r="D45" s="116">
        <v>86.1</v>
      </c>
      <c r="E45" s="116">
        <v>65.7</v>
      </c>
      <c r="F45" s="116">
        <v>53.6</v>
      </c>
      <c r="G45" s="116">
        <v>45.4</v>
      </c>
      <c r="H45" s="116">
        <v>39.700000000000003</v>
      </c>
      <c r="I45" s="116">
        <v>35.299999999999997</v>
      </c>
      <c r="J45" s="116">
        <v>32</v>
      </c>
      <c r="K45" s="116">
        <v>29.3</v>
      </c>
      <c r="L45" s="116">
        <v>27.1</v>
      </c>
      <c r="M45" s="116">
        <v>25.3</v>
      </c>
      <c r="N45" s="116">
        <v>23.8</v>
      </c>
      <c r="O45" s="116">
        <v>22.4</v>
      </c>
      <c r="P45" s="116">
        <v>21.3</v>
      </c>
      <c r="Q45" s="116">
        <v>20.3</v>
      </c>
      <c r="R45" s="116">
        <v>19.5</v>
      </c>
      <c r="S45" s="116">
        <v>18.7</v>
      </c>
      <c r="T45" s="116">
        <v>18</v>
      </c>
      <c r="U45" s="116">
        <v>17.399999999999999</v>
      </c>
    </row>
    <row r="46" spans="1:21" x14ac:dyDescent="0.25">
      <c r="A46" s="80">
        <v>35</v>
      </c>
      <c r="B46" s="116">
        <v>252.4</v>
      </c>
      <c r="C46" s="116">
        <v>128.6</v>
      </c>
      <c r="D46" s="116">
        <v>87.3</v>
      </c>
      <c r="E46" s="116">
        <v>66.7</v>
      </c>
      <c r="F46" s="116">
        <v>54.3</v>
      </c>
      <c r="G46" s="116">
        <v>46.1</v>
      </c>
      <c r="H46" s="116">
        <v>40.200000000000003</v>
      </c>
      <c r="I46" s="116">
        <v>35.799999999999997</v>
      </c>
      <c r="J46" s="116">
        <v>32.4</v>
      </c>
      <c r="K46" s="116">
        <v>29.7</v>
      </c>
      <c r="L46" s="116">
        <v>27.5</v>
      </c>
      <c r="M46" s="116">
        <v>25.7</v>
      </c>
      <c r="N46" s="116">
        <v>24.1</v>
      </c>
      <c r="O46" s="116">
        <v>22.8</v>
      </c>
      <c r="P46" s="116">
        <v>21.6</v>
      </c>
      <c r="Q46" s="116">
        <v>20.6</v>
      </c>
      <c r="R46" s="116">
        <v>19.8</v>
      </c>
      <c r="S46" s="116">
        <v>19</v>
      </c>
      <c r="T46" s="116">
        <v>18.3</v>
      </c>
      <c r="U46" s="116">
        <v>17.7</v>
      </c>
    </row>
    <row r="47" spans="1:21" x14ac:dyDescent="0.25">
      <c r="A47" s="80">
        <v>36</v>
      </c>
      <c r="B47" s="116">
        <v>256</v>
      </c>
      <c r="C47" s="116">
        <v>130.4</v>
      </c>
      <c r="D47" s="116">
        <v>88.5</v>
      </c>
      <c r="E47" s="116">
        <v>67.599999999999994</v>
      </c>
      <c r="F47" s="116">
        <v>55.1</v>
      </c>
      <c r="G47" s="116">
        <v>46.8</v>
      </c>
      <c r="H47" s="116">
        <v>40.799999999999997</v>
      </c>
      <c r="I47" s="116">
        <v>36.4</v>
      </c>
      <c r="J47" s="116">
        <v>32.9</v>
      </c>
      <c r="K47" s="116">
        <v>30.2</v>
      </c>
      <c r="L47" s="116">
        <v>27.9</v>
      </c>
      <c r="M47" s="116">
        <v>26</v>
      </c>
      <c r="N47" s="116">
        <v>24.5</v>
      </c>
      <c r="O47" s="116">
        <v>23.1</v>
      </c>
      <c r="P47" s="116">
        <v>21.9</v>
      </c>
      <c r="Q47" s="116">
        <v>20.9</v>
      </c>
      <c r="R47" s="116">
        <v>20</v>
      </c>
      <c r="S47" s="116">
        <v>19.3</v>
      </c>
      <c r="T47" s="116">
        <v>18.600000000000001</v>
      </c>
      <c r="U47" s="116">
        <v>17.899999999999999</v>
      </c>
    </row>
    <row r="48" spans="1:21" x14ac:dyDescent="0.25">
      <c r="A48" s="80">
        <v>37</v>
      </c>
      <c r="B48" s="116">
        <v>259.60000000000002</v>
      </c>
      <c r="C48" s="116">
        <v>132.19999999999999</v>
      </c>
      <c r="D48" s="116">
        <v>89.8</v>
      </c>
      <c r="E48" s="116">
        <v>68.599999999999994</v>
      </c>
      <c r="F48" s="116">
        <v>55.9</v>
      </c>
      <c r="G48" s="116">
        <v>47.4</v>
      </c>
      <c r="H48" s="116">
        <v>41.4</v>
      </c>
      <c r="I48" s="116">
        <v>36.9</v>
      </c>
      <c r="J48" s="116">
        <v>33.4</v>
      </c>
      <c r="K48" s="116">
        <v>30.6</v>
      </c>
      <c r="L48" s="116">
        <v>28.3</v>
      </c>
      <c r="M48" s="116">
        <v>26.4</v>
      </c>
      <c r="N48" s="116">
        <v>24.8</v>
      </c>
      <c r="O48" s="116">
        <v>23.5</v>
      </c>
      <c r="P48" s="116">
        <v>22.3</v>
      </c>
      <c r="Q48" s="116">
        <v>21.2</v>
      </c>
      <c r="R48" s="116">
        <v>20.399999999999999</v>
      </c>
      <c r="S48" s="116">
        <v>19.600000000000001</v>
      </c>
      <c r="T48" s="116">
        <v>18.899999999999999</v>
      </c>
      <c r="U48" s="116">
        <v>18.2</v>
      </c>
    </row>
    <row r="49" spans="1:21" x14ac:dyDescent="0.25">
      <c r="A49" s="80">
        <v>38</v>
      </c>
      <c r="B49" s="116">
        <v>263.3</v>
      </c>
      <c r="C49" s="116">
        <v>134.1</v>
      </c>
      <c r="D49" s="116">
        <v>91.1</v>
      </c>
      <c r="E49" s="116">
        <v>69.599999999999994</v>
      </c>
      <c r="F49" s="116">
        <v>56.7</v>
      </c>
      <c r="G49" s="116">
        <v>48.1</v>
      </c>
      <c r="H49" s="116">
        <v>42</v>
      </c>
      <c r="I49" s="116">
        <v>37.4</v>
      </c>
      <c r="J49" s="116">
        <v>33.9</v>
      </c>
      <c r="K49" s="116">
        <v>31</v>
      </c>
      <c r="L49" s="116">
        <v>28.7</v>
      </c>
      <c r="M49" s="116">
        <v>26.8</v>
      </c>
      <c r="N49" s="116">
        <v>25.2</v>
      </c>
      <c r="O49" s="116">
        <v>23.8</v>
      </c>
      <c r="P49" s="116">
        <v>22.6</v>
      </c>
      <c r="Q49" s="116">
        <v>21.6</v>
      </c>
      <c r="R49" s="116">
        <v>20.7</v>
      </c>
      <c r="S49" s="116">
        <v>19.899999999999999</v>
      </c>
      <c r="T49" s="116">
        <v>19.100000000000001</v>
      </c>
      <c r="U49" s="116">
        <v>18.5</v>
      </c>
    </row>
    <row r="50" spans="1:21" x14ac:dyDescent="0.25">
      <c r="A50" s="80">
        <v>39</v>
      </c>
      <c r="B50" s="116">
        <v>267.10000000000002</v>
      </c>
      <c r="C50" s="116">
        <v>136</v>
      </c>
      <c r="D50" s="116">
        <v>92.4</v>
      </c>
      <c r="E50" s="116">
        <v>70.599999999999994</v>
      </c>
      <c r="F50" s="116">
        <v>57.5</v>
      </c>
      <c r="G50" s="116">
        <v>48.8</v>
      </c>
      <c r="H50" s="116">
        <v>42.6</v>
      </c>
      <c r="I50" s="116">
        <v>38</v>
      </c>
      <c r="J50" s="116">
        <v>34.4</v>
      </c>
      <c r="K50" s="116">
        <v>31.5</v>
      </c>
      <c r="L50" s="116">
        <v>29.1</v>
      </c>
      <c r="M50" s="116">
        <v>27.2</v>
      </c>
      <c r="N50" s="116">
        <v>25.6</v>
      </c>
      <c r="O50" s="116">
        <v>24.2</v>
      </c>
      <c r="P50" s="116">
        <v>23</v>
      </c>
      <c r="Q50" s="116">
        <v>21.9</v>
      </c>
      <c r="R50" s="116">
        <v>21</v>
      </c>
      <c r="S50" s="116">
        <v>20.2</v>
      </c>
      <c r="T50" s="116">
        <v>19.399999999999999</v>
      </c>
      <c r="U50" s="116">
        <v>18.8</v>
      </c>
    </row>
    <row r="51" spans="1:21" x14ac:dyDescent="0.25">
      <c r="A51" s="80">
        <v>40</v>
      </c>
      <c r="B51" s="116">
        <v>270.89999999999998</v>
      </c>
      <c r="C51" s="116">
        <v>138</v>
      </c>
      <c r="D51" s="116">
        <v>93.7</v>
      </c>
      <c r="E51" s="116">
        <v>71.599999999999994</v>
      </c>
      <c r="F51" s="116">
        <v>58.4</v>
      </c>
      <c r="G51" s="116">
        <v>49.5</v>
      </c>
      <c r="H51" s="116">
        <v>43.2</v>
      </c>
      <c r="I51" s="116">
        <v>38.5</v>
      </c>
      <c r="J51" s="116">
        <v>34.9</v>
      </c>
      <c r="K51" s="116">
        <v>32</v>
      </c>
      <c r="L51" s="116">
        <v>29.6</v>
      </c>
      <c r="M51" s="116">
        <v>27.6</v>
      </c>
      <c r="N51" s="116">
        <v>25.9</v>
      </c>
      <c r="O51" s="116">
        <v>24.5</v>
      </c>
      <c r="P51" s="116">
        <v>23.3</v>
      </c>
      <c r="Q51" s="116">
        <v>22.2</v>
      </c>
      <c r="R51" s="116">
        <v>21.3</v>
      </c>
      <c r="S51" s="116">
        <v>20.5</v>
      </c>
      <c r="T51" s="116">
        <v>19.8</v>
      </c>
      <c r="U51" s="116">
        <v>19.100000000000001</v>
      </c>
    </row>
    <row r="52" spans="1:21" x14ac:dyDescent="0.25">
      <c r="A52" s="80">
        <v>41</v>
      </c>
      <c r="B52" s="116">
        <v>274.7</v>
      </c>
      <c r="C52" s="116">
        <v>140</v>
      </c>
      <c r="D52" s="116">
        <v>95.1</v>
      </c>
      <c r="E52" s="116">
        <v>72.599999999999994</v>
      </c>
      <c r="F52" s="116">
        <v>59.2</v>
      </c>
      <c r="G52" s="116">
        <v>50.3</v>
      </c>
      <c r="H52" s="116">
        <v>43.9</v>
      </c>
      <c r="I52" s="116">
        <v>39.1</v>
      </c>
      <c r="J52" s="116">
        <v>35.4</v>
      </c>
      <c r="K52" s="116">
        <v>32.4</v>
      </c>
      <c r="L52" s="116">
        <v>30</v>
      </c>
      <c r="M52" s="116">
        <v>28</v>
      </c>
      <c r="N52" s="116">
        <v>26.3</v>
      </c>
      <c r="O52" s="116">
        <v>24.9</v>
      </c>
      <c r="P52" s="116">
        <v>23.7</v>
      </c>
      <c r="Q52" s="116">
        <v>22.6</v>
      </c>
      <c r="R52" s="116">
        <v>21.6</v>
      </c>
      <c r="S52" s="116">
        <v>20.8</v>
      </c>
      <c r="T52" s="116">
        <v>20.100000000000001</v>
      </c>
      <c r="U52" s="116">
        <v>19.399999999999999</v>
      </c>
    </row>
    <row r="53" spans="1:21" x14ac:dyDescent="0.25">
      <c r="A53" s="80">
        <v>42</v>
      </c>
      <c r="B53" s="116">
        <v>278.60000000000002</v>
      </c>
      <c r="C53" s="116">
        <v>142</v>
      </c>
      <c r="D53" s="116">
        <v>96.4</v>
      </c>
      <c r="E53" s="116">
        <v>73.7</v>
      </c>
      <c r="F53" s="116">
        <v>60.1</v>
      </c>
      <c r="G53" s="116">
        <v>51</v>
      </c>
      <c r="H53" s="116">
        <v>44.5</v>
      </c>
      <c r="I53" s="116">
        <v>39.700000000000003</v>
      </c>
      <c r="J53" s="116">
        <v>35.9</v>
      </c>
      <c r="K53" s="116">
        <v>32.9</v>
      </c>
      <c r="L53" s="116">
        <v>30.5</v>
      </c>
      <c r="M53" s="116">
        <v>28.4</v>
      </c>
      <c r="N53" s="116">
        <v>26.7</v>
      </c>
      <c r="O53" s="116">
        <v>25.3</v>
      </c>
      <c r="P53" s="116">
        <v>24</v>
      </c>
      <c r="Q53" s="116">
        <v>22.9</v>
      </c>
      <c r="R53" s="116">
        <v>22</v>
      </c>
      <c r="S53" s="116">
        <v>21.1</v>
      </c>
      <c r="T53" s="116">
        <v>20.399999999999999</v>
      </c>
      <c r="U53" s="116">
        <v>19.7</v>
      </c>
    </row>
    <row r="54" spans="1:21" x14ac:dyDescent="0.25">
      <c r="A54" s="80">
        <v>43</v>
      </c>
      <c r="B54" s="116">
        <v>282.60000000000002</v>
      </c>
      <c r="C54" s="116">
        <v>144</v>
      </c>
      <c r="D54" s="116">
        <v>97.8</v>
      </c>
      <c r="E54" s="116">
        <v>74.8</v>
      </c>
      <c r="F54" s="116">
        <v>60.9</v>
      </c>
      <c r="G54" s="116">
        <v>51.7</v>
      </c>
      <c r="H54" s="116">
        <v>45.2</v>
      </c>
      <c r="I54" s="116">
        <v>40.299999999999997</v>
      </c>
      <c r="J54" s="116">
        <v>36.4</v>
      </c>
      <c r="K54" s="116">
        <v>33.4</v>
      </c>
      <c r="L54" s="116">
        <v>30.9</v>
      </c>
      <c r="M54" s="116">
        <v>28.9</v>
      </c>
      <c r="N54" s="116">
        <v>27.1</v>
      </c>
      <c r="O54" s="116">
        <v>25.7</v>
      </c>
      <c r="P54" s="116">
        <v>24.4</v>
      </c>
      <c r="Q54" s="116">
        <v>23.3</v>
      </c>
      <c r="R54" s="116">
        <v>22.3</v>
      </c>
      <c r="S54" s="116">
        <v>21.5</v>
      </c>
      <c r="T54" s="116">
        <v>20.7</v>
      </c>
      <c r="U54" s="116">
        <v>20.100000000000001</v>
      </c>
    </row>
    <row r="55" spans="1:21" x14ac:dyDescent="0.25">
      <c r="A55" s="80">
        <v>44</v>
      </c>
      <c r="B55" s="116">
        <v>286.60000000000002</v>
      </c>
      <c r="C55" s="116">
        <v>146.1</v>
      </c>
      <c r="D55" s="116">
        <v>99.2</v>
      </c>
      <c r="E55" s="116">
        <v>75.8</v>
      </c>
      <c r="F55" s="116">
        <v>61.8</v>
      </c>
      <c r="G55" s="116">
        <v>52.5</v>
      </c>
      <c r="H55" s="116">
        <v>45.8</v>
      </c>
      <c r="I55" s="116">
        <v>40.799999999999997</v>
      </c>
      <c r="J55" s="116">
        <v>37</v>
      </c>
      <c r="K55" s="116">
        <v>33.9</v>
      </c>
      <c r="L55" s="116">
        <v>31.4</v>
      </c>
      <c r="M55" s="116">
        <v>29.3</v>
      </c>
      <c r="N55" s="116">
        <v>27.6</v>
      </c>
      <c r="O55" s="116">
        <v>26.1</v>
      </c>
      <c r="P55" s="116">
        <v>24.8</v>
      </c>
      <c r="Q55" s="116">
        <v>23.7</v>
      </c>
      <c r="R55" s="116">
        <v>22.7</v>
      </c>
      <c r="S55" s="116">
        <v>21.8</v>
      </c>
      <c r="T55" s="116">
        <v>21.1</v>
      </c>
      <c r="U55" s="116">
        <v>20.399999999999999</v>
      </c>
    </row>
    <row r="56" spans="1:21" x14ac:dyDescent="0.25">
      <c r="A56" s="80">
        <v>45</v>
      </c>
      <c r="B56" s="116">
        <v>290.7</v>
      </c>
      <c r="C56" s="116">
        <v>148.19999999999999</v>
      </c>
      <c r="D56" s="116">
        <v>100.7</v>
      </c>
      <c r="E56" s="116">
        <v>76.900000000000006</v>
      </c>
      <c r="F56" s="116">
        <v>62.7</v>
      </c>
      <c r="G56" s="116">
        <v>53.2</v>
      </c>
      <c r="H56" s="116">
        <v>46.5</v>
      </c>
      <c r="I56" s="116">
        <v>41.5</v>
      </c>
      <c r="J56" s="116">
        <v>37.5</v>
      </c>
      <c r="K56" s="116">
        <v>34.4</v>
      </c>
      <c r="L56" s="116">
        <v>31.9</v>
      </c>
      <c r="M56" s="116">
        <v>29.8</v>
      </c>
      <c r="N56" s="116">
        <v>28</v>
      </c>
      <c r="O56" s="116">
        <v>26.5</v>
      </c>
      <c r="P56" s="116">
        <v>25.2</v>
      </c>
      <c r="Q56" s="116">
        <v>24.1</v>
      </c>
      <c r="R56" s="116">
        <v>23.1</v>
      </c>
      <c r="S56" s="116">
        <v>22.2</v>
      </c>
      <c r="T56" s="116">
        <v>21.4</v>
      </c>
      <c r="U56" s="116"/>
    </row>
    <row r="57" spans="1:21" x14ac:dyDescent="0.25">
      <c r="A57" s="80">
        <v>46</v>
      </c>
      <c r="B57" s="116">
        <v>294.89999999999998</v>
      </c>
      <c r="C57" s="116">
        <v>150.30000000000001</v>
      </c>
      <c r="D57" s="116">
        <v>102.1</v>
      </c>
      <c r="E57" s="116">
        <v>78</v>
      </c>
      <c r="F57" s="116">
        <v>63.6</v>
      </c>
      <c r="G57" s="116">
        <v>54</v>
      </c>
      <c r="H57" s="116">
        <v>47.2</v>
      </c>
      <c r="I57" s="116">
        <v>42.1</v>
      </c>
      <c r="J57" s="116">
        <v>38.1</v>
      </c>
      <c r="K57" s="116">
        <v>35</v>
      </c>
      <c r="L57" s="116">
        <v>32.4</v>
      </c>
      <c r="M57" s="116">
        <v>30.3</v>
      </c>
      <c r="N57" s="116">
        <v>28.5</v>
      </c>
      <c r="O57" s="116">
        <v>26.9</v>
      </c>
      <c r="P57" s="116">
        <v>25.6</v>
      </c>
      <c r="Q57" s="116">
        <v>24.5</v>
      </c>
      <c r="R57" s="116">
        <v>23.5</v>
      </c>
      <c r="S57" s="116">
        <v>22.6</v>
      </c>
      <c r="T57" s="116"/>
      <c r="U57" s="116"/>
    </row>
    <row r="58" spans="1:21" x14ac:dyDescent="0.25">
      <c r="A58" s="80">
        <v>47</v>
      </c>
      <c r="B58" s="116">
        <v>299.10000000000002</v>
      </c>
      <c r="C58" s="116">
        <v>152.5</v>
      </c>
      <c r="D58" s="116">
        <v>103.6</v>
      </c>
      <c r="E58" s="116">
        <v>79.2</v>
      </c>
      <c r="F58" s="116">
        <v>64.599999999999994</v>
      </c>
      <c r="G58" s="116">
        <v>54.8</v>
      </c>
      <c r="H58" s="116">
        <v>47.9</v>
      </c>
      <c r="I58" s="116">
        <v>42.7</v>
      </c>
      <c r="J58" s="116">
        <v>38.700000000000003</v>
      </c>
      <c r="K58" s="116">
        <v>35.5</v>
      </c>
      <c r="L58" s="116">
        <v>32.9</v>
      </c>
      <c r="M58" s="116">
        <v>30.7</v>
      </c>
      <c r="N58" s="116">
        <v>28.9</v>
      </c>
      <c r="O58" s="116">
        <v>27.4</v>
      </c>
      <c r="P58" s="116">
        <v>26.1</v>
      </c>
      <c r="Q58" s="116">
        <v>24.9</v>
      </c>
      <c r="R58" s="116">
        <v>23.9</v>
      </c>
      <c r="S58" s="116"/>
      <c r="T58" s="116"/>
      <c r="U58" s="116"/>
    </row>
    <row r="59" spans="1:21" x14ac:dyDescent="0.25">
      <c r="A59" s="80">
        <v>48</v>
      </c>
      <c r="B59" s="116">
        <v>303.39999999999998</v>
      </c>
      <c r="C59" s="116">
        <v>154.69999999999999</v>
      </c>
      <c r="D59" s="116">
        <v>105.1</v>
      </c>
      <c r="E59" s="116">
        <v>80.400000000000006</v>
      </c>
      <c r="F59" s="116">
        <v>65.5</v>
      </c>
      <c r="G59" s="116">
        <v>55.7</v>
      </c>
      <c r="H59" s="116">
        <v>48.6</v>
      </c>
      <c r="I59" s="116">
        <v>43.4</v>
      </c>
      <c r="J59" s="116">
        <v>39.299999999999997</v>
      </c>
      <c r="K59" s="116">
        <v>36.1</v>
      </c>
      <c r="L59" s="116">
        <v>33.4</v>
      </c>
      <c r="M59" s="116">
        <v>31.3</v>
      </c>
      <c r="N59" s="116">
        <v>29.4</v>
      </c>
      <c r="O59" s="116">
        <v>27.9</v>
      </c>
      <c r="P59" s="116">
        <v>26.5</v>
      </c>
      <c r="Q59" s="116">
        <v>25.3</v>
      </c>
      <c r="R59" s="116"/>
      <c r="S59" s="116"/>
      <c r="T59" s="116"/>
      <c r="U59" s="116"/>
    </row>
    <row r="60" spans="1:21" x14ac:dyDescent="0.25">
      <c r="A60" s="80">
        <v>49</v>
      </c>
      <c r="B60" s="116">
        <v>307.8</v>
      </c>
      <c r="C60" s="116">
        <v>156.9</v>
      </c>
      <c r="D60" s="116">
        <v>106.7</v>
      </c>
      <c r="E60" s="116">
        <v>81.599999999999994</v>
      </c>
      <c r="F60" s="116">
        <v>66.5</v>
      </c>
      <c r="G60" s="116">
        <v>56.5</v>
      </c>
      <c r="H60" s="116">
        <v>49.4</v>
      </c>
      <c r="I60" s="116">
        <v>44.1</v>
      </c>
      <c r="J60" s="116">
        <v>40</v>
      </c>
      <c r="K60" s="116">
        <v>36.700000000000003</v>
      </c>
      <c r="L60" s="116">
        <v>34</v>
      </c>
      <c r="M60" s="116">
        <v>31.8</v>
      </c>
      <c r="N60" s="116">
        <v>29.9</v>
      </c>
      <c r="O60" s="116">
        <v>28.3</v>
      </c>
      <c r="P60" s="116">
        <v>27</v>
      </c>
      <c r="Q60" s="116"/>
      <c r="R60" s="116"/>
      <c r="S60" s="116"/>
      <c r="T60" s="116"/>
      <c r="U60" s="116"/>
    </row>
    <row r="61" spans="1:21" x14ac:dyDescent="0.25">
      <c r="A61" s="80">
        <v>50</v>
      </c>
      <c r="B61" s="116">
        <v>312.39999999999998</v>
      </c>
      <c r="C61" s="116">
        <v>159.30000000000001</v>
      </c>
      <c r="D61" s="116">
        <v>108.3</v>
      </c>
      <c r="E61" s="116">
        <v>82.8</v>
      </c>
      <c r="F61" s="116">
        <v>67.599999999999994</v>
      </c>
      <c r="G61" s="116">
        <v>57.4</v>
      </c>
      <c r="H61" s="116">
        <v>50.2</v>
      </c>
      <c r="I61" s="116">
        <v>44.8</v>
      </c>
      <c r="J61" s="116">
        <v>40.6</v>
      </c>
      <c r="K61" s="116">
        <v>37.299999999999997</v>
      </c>
      <c r="L61" s="116">
        <v>34.6</v>
      </c>
      <c r="M61" s="116">
        <v>32.4</v>
      </c>
      <c r="N61" s="116">
        <v>30.5</v>
      </c>
      <c r="O61" s="116">
        <v>28.9</v>
      </c>
      <c r="P61" s="116"/>
      <c r="Q61" s="116"/>
      <c r="R61" s="116"/>
      <c r="S61" s="116"/>
      <c r="T61" s="116"/>
      <c r="U61" s="116"/>
    </row>
    <row r="62" spans="1:21" x14ac:dyDescent="0.25">
      <c r="A62" s="80">
        <v>51</v>
      </c>
      <c r="B62" s="116">
        <v>317</v>
      </c>
      <c r="C62" s="116">
        <v>161.69999999999999</v>
      </c>
      <c r="D62" s="116">
        <v>109.9</v>
      </c>
      <c r="E62" s="116">
        <v>84.1</v>
      </c>
      <c r="F62" s="116">
        <v>68.599999999999994</v>
      </c>
      <c r="G62" s="116">
        <v>58.4</v>
      </c>
      <c r="H62" s="116">
        <v>51</v>
      </c>
      <c r="I62" s="116">
        <v>45.6</v>
      </c>
      <c r="J62" s="116">
        <v>41.3</v>
      </c>
      <c r="K62" s="116">
        <v>37.9</v>
      </c>
      <c r="L62" s="116">
        <v>35.200000000000003</v>
      </c>
      <c r="M62" s="116">
        <v>32.9</v>
      </c>
      <c r="N62" s="116">
        <v>31</v>
      </c>
      <c r="O62" s="116"/>
      <c r="P62" s="116"/>
      <c r="Q62" s="116"/>
      <c r="R62" s="116"/>
      <c r="S62" s="116"/>
      <c r="T62" s="116"/>
      <c r="U62" s="116"/>
    </row>
    <row r="63" spans="1:21" x14ac:dyDescent="0.25">
      <c r="A63" s="80">
        <v>52</v>
      </c>
      <c r="B63" s="116">
        <v>321.7</v>
      </c>
      <c r="C63" s="116">
        <v>164.1</v>
      </c>
      <c r="D63" s="116">
        <v>111.6</v>
      </c>
      <c r="E63" s="116">
        <v>85.4</v>
      </c>
      <c r="F63" s="116">
        <v>69.7</v>
      </c>
      <c r="G63" s="116">
        <v>59.3</v>
      </c>
      <c r="H63" s="116">
        <v>51.9</v>
      </c>
      <c r="I63" s="116">
        <v>46.3</v>
      </c>
      <c r="J63" s="116">
        <v>42</v>
      </c>
      <c r="K63" s="116">
        <v>38.6</v>
      </c>
      <c r="L63" s="116">
        <v>35.799999999999997</v>
      </c>
      <c r="M63" s="116">
        <v>33.5</v>
      </c>
      <c r="N63" s="116"/>
      <c r="O63" s="116"/>
      <c r="P63" s="116"/>
      <c r="Q63" s="116"/>
      <c r="R63" s="116"/>
      <c r="S63" s="116"/>
      <c r="T63" s="116"/>
      <c r="U63" s="116"/>
    </row>
    <row r="64" spans="1:21" x14ac:dyDescent="0.25">
      <c r="A64" s="80">
        <v>53</v>
      </c>
      <c r="B64" s="116">
        <v>326.39999999999998</v>
      </c>
      <c r="C64" s="116">
        <v>166.6</v>
      </c>
      <c r="D64" s="116">
        <v>113.3</v>
      </c>
      <c r="E64" s="116">
        <v>86.8</v>
      </c>
      <c r="F64" s="116">
        <v>70.8</v>
      </c>
      <c r="G64" s="116">
        <v>60.3</v>
      </c>
      <c r="H64" s="116">
        <v>52.7</v>
      </c>
      <c r="I64" s="116">
        <v>47.1</v>
      </c>
      <c r="J64" s="116">
        <v>42.7</v>
      </c>
      <c r="K64" s="116">
        <v>39.299999999999997</v>
      </c>
      <c r="L64" s="116">
        <v>36.4</v>
      </c>
      <c r="M64" s="116"/>
      <c r="N64" s="116"/>
      <c r="O64" s="116"/>
      <c r="P64" s="116"/>
      <c r="Q64" s="116"/>
      <c r="R64" s="116"/>
      <c r="S64" s="116"/>
      <c r="T64" s="116"/>
      <c r="U64" s="116"/>
    </row>
    <row r="65" spans="1:21" x14ac:dyDescent="0.25">
      <c r="A65" s="80">
        <v>54</v>
      </c>
      <c r="B65" s="116">
        <v>331.3</v>
      </c>
      <c r="C65" s="116">
        <v>169.1</v>
      </c>
      <c r="D65" s="116">
        <v>115.1</v>
      </c>
      <c r="E65" s="116">
        <v>88.1</v>
      </c>
      <c r="F65" s="116">
        <v>72</v>
      </c>
      <c r="G65" s="116">
        <v>61.3</v>
      </c>
      <c r="H65" s="116">
        <v>53.6</v>
      </c>
      <c r="I65" s="116">
        <v>47.9</v>
      </c>
      <c r="J65" s="116">
        <v>43.5</v>
      </c>
      <c r="K65" s="116">
        <v>40</v>
      </c>
      <c r="L65" s="116"/>
      <c r="M65" s="116"/>
      <c r="N65" s="116"/>
      <c r="O65" s="116"/>
      <c r="P65" s="116"/>
      <c r="Q65" s="116"/>
      <c r="R65" s="116"/>
      <c r="S65" s="116"/>
      <c r="T65" s="116"/>
      <c r="U65" s="116"/>
    </row>
    <row r="66" spans="1:21" x14ac:dyDescent="0.25">
      <c r="A66" s="80">
        <v>55</v>
      </c>
      <c r="B66" s="116">
        <v>336.3</v>
      </c>
      <c r="C66" s="116">
        <v>171.7</v>
      </c>
      <c r="D66" s="116">
        <v>116.9</v>
      </c>
      <c r="E66" s="116">
        <v>89.5</v>
      </c>
      <c r="F66" s="116">
        <v>73.2</v>
      </c>
      <c r="G66" s="116">
        <v>62.3</v>
      </c>
      <c r="H66" s="116">
        <v>54.5</v>
      </c>
      <c r="I66" s="116">
        <v>48.7</v>
      </c>
      <c r="J66" s="116">
        <v>44.2</v>
      </c>
      <c r="K66" s="116"/>
      <c r="L66" s="116"/>
      <c r="M66" s="116"/>
      <c r="N66" s="116"/>
      <c r="O66" s="116"/>
      <c r="P66" s="116"/>
      <c r="Q66" s="116"/>
      <c r="R66" s="116"/>
      <c r="S66" s="116"/>
      <c r="T66" s="116"/>
      <c r="U66" s="116"/>
    </row>
    <row r="67" spans="1:21" x14ac:dyDescent="0.25">
      <c r="A67" s="80">
        <v>56</v>
      </c>
      <c r="B67" s="116">
        <v>341.4</v>
      </c>
      <c r="C67" s="116">
        <v>174.4</v>
      </c>
      <c r="D67" s="116">
        <v>118.8</v>
      </c>
      <c r="E67" s="116">
        <v>91</v>
      </c>
      <c r="F67" s="116">
        <v>74.400000000000006</v>
      </c>
      <c r="G67" s="116">
        <v>63.3</v>
      </c>
      <c r="H67" s="116">
        <v>55.5</v>
      </c>
      <c r="I67" s="116">
        <v>49.6</v>
      </c>
      <c r="J67" s="116"/>
      <c r="K67" s="116"/>
      <c r="L67" s="116"/>
      <c r="M67" s="116"/>
      <c r="N67" s="116"/>
      <c r="O67" s="116"/>
      <c r="P67" s="116"/>
      <c r="Q67" s="116"/>
      <c r="R67" s="116"/>
      <c r="S67" s="116"/>
      <c r="T67" s="116"/>
      <c r="U67" s="116"/>
    </row>
    <row r="68" spans="1:21" x14ac:dyDescent="0.25">
      <c r="A68" s="80">
        <v>57</v>
      </c>
      <c r="B68" s="116">
        <v>346.7</v>
      </c>
      <c r="C68" s="116">
        <v>177.1</v>
      </c>
      <c r="D68" s="116">
        <v>120.7</v>
      </c>
      <c r="E68" s="116">
        <v>92.5</v>
      </c>
      <c r="F68" s="116">
        <v>75.599999999999994</v>
      </c>
      <c r="G68" s="116">
        <v>64.400000000000006</v>
      </c>
      <c r="H68" s="116">
        <v>56.4</v>
      </c>
      <c r="I68" s="116"/>
      <c r="J68" s="116"/>
      <c r="K68" s="116"/>
      <c r="L68" s="116"/>
      <c r="M68" s="116"/>
      <c r="N68" s="116"/>
      <c r="O68" s="116"/>
      <c r="P68" s="116"/>
      <c r="Q68" s="116"/>
      <c r="R68" s="116"/>
      <c r="S68" s="116"/>
      <c r="T68" s="116"/>
      <c r="U68" s="116"/>
    </row>
    <row r="69" spans="1:21" x14ac:dyDescent="0.25">
      <c r="A69" s="80">
        <v>58</v>
      </c>
      <c r="B69" s="116">
        <v>352.1</v>
      </c>
      <c r="C69" s="116">
        <v>180</v>
      </c>
      <c r="D69" s="116">
        <v>122.6</v>
      </c>
      <c r="E69" s="116">
        <v>94</v>
      </c>
      <c r="F69" s="116">
        <v>76.900000000000006</v>
      </c>
      <c r="G69" s="116">
        <v>65.5</v>
      </c>
      <c r="H69" s="116"/>
      <c r="I69" s="116"/>
      <c r="J69" s="116"/>
      <c r="K69" s="116"/>
      <c r="L69" s="116"/>
      <c r="M69" s="116"/>
      <c r="N69" s="116"/>
      <c r="O69" s="116"/>
      <c r="P69" s="116"/>
      <c r="Q69" s="116"/>
      <c r="R69" s="116"/>
      <c r="S69" s="116"/>
      <c r="T69" s="116"/>
      <c r="U69" s="116"/>
    </row>
    <row r="70" spans="1:21" x14ac:dyDescent="0.25">
      <c r="A70" s="80">
        <v>59</v>
      </c>
      <c r="B70" s="116">
        <v>357.8</v>
      </c>
      <c r="C70" s="116">
        <v>182.9</v>
      </c>
      <c r="D70" s="116">
        <v>124.7</v>
      </c>
      <c r="E70" s="116">
        <v>95.6</v>
      </c>
      <c r="F70" s="116">
        <v>78.2</v>
      </c>
      <c r="G70" s="116"/>
      <c r="H70" s="116"/>
      <c r="I70" s="116"/>
      <c r="J70" s="116"/>
      <c r="K70" s="116"/>
      <c r="L70" s="116"/>
      <c r="M70" s="116"/>
      <c r="N70" s="116"/>
      <c r="O70" s="116"/>
      <c r="P70" s="116"/>
      <c r="Q70" s="116"/>
      <c r="R70" s="116"/>
      <c r="S70" s="116"/>
      <c r="T70" s="116"/>
      <c r="U70" s="116"/>
    </row>
    <row r="71" spans="1:21" x14ac:dyDescent="0.25">
      <c r="A71" s="80">
        <v>60</v>
      </c>
      <c r="B71" s="116">
        <v>363.6</v>
      </c>
      <c r="C71" s="116">
        <v>186</v>
      </c>
      <c r="D71" s="116">
        <v>126.8</v>
      </c>
      <c r="E71" s="116">
        <v>97.3</v>
      </c>
      <c r="F71" s="116"/>
      <c r="G71" s="116"/>
      <c r="H71" s="116"/>
      <c r="I71" s="116"/>
      <c r="J71" s="116"/>
      <c r="K71" s="116"/>
      <c r="L71" s="116"/>
      <c r="M71" s="116"/>
      <c r="N71" s="116"/>
      <c r="O71" s="116"/>
      <c r="P71" s="116"/>
      <c r="Q71" s="116"/>
      <c r="R71" s="116"/>
      <c r="S71" s="116"/>
      <c r="T71" s="116"/>
      <c r="U71" s="116"/>
    </row>
    <row r="72" spans="1:21" x14ac:dyDescent="0.25">
      <c r="A72" s="80">
        <v>61</v>
      </c>
      <c r="B72" s="116">
        <v>369.8</v>
      </c>
      <c r="C72" s="116">
        <v>189.2</v>
      </c>
      <c r="D72" s="116">
        <v>129</v>
      </c>
      <c r="E72" s="116"/>
      <c r="F72" s="116"/>
      <c r="G72" s="116"/>
      <c r="H72" s="116"/>
      <c r="I72" s="116"/>
      <c r="J72" s="116"/>
      <c r="K72" s="116"/>
      <c r="L72" s="116"/>
      <c r="M72" s="116"/>
      <c r="N72" s="116"/>
      <c r="O72" s="116"/>
      <c r="P72" s="116"/>
      <c r="Q72" s="116"/>
      <c r="R72" s="116"/>
      <c r="S72" s="116"/>
      <c r="T72" s="116"/>
      <c r="U72" s="116"/>
    </row>
    <row r="73" spans="1:21" x14ac:dyDescent="0.25">
      <c r="A73" s="80">
        <v>62</v>
      </c>
      <c r="B73" s="116">
        <v>376.3</v>
      </c>
      <c r="C73" s="116">
        <v>192.6</v>
      </c>
      <c r="D73" s="116"/>
      <c r="E73" s="116"/>
      <c r="F73" s="116"/>
      <c r="G73" s="116"/>
      <c r="H73" s="116"/>
      <c r="I73" s="116"/>
      <c r="J73" s="116"/>
      <c r="K73" s="116"/>
      <c r="L73" s="116"/>
      <c r="M73" s="116"/>
      <c r="N73" s="116"/>
      <c r="O73" s="116"/>
      <c r="P73" s="116"/>
      <c r="Q73" s="116"/>
      <c r="R73" s="116"/>
      <c r="S73" s="116"/>
      <c r="T73" s="116"/>
      <c r="U73" s="116"/>
    </row>
    <row r="74" spans="1:21" x14ac:dyDescent="0.25">
      <c r="A74" s="80">
        <v>63</v>
      </c>
      <c r="B74" s="116">
        <v>383.3</v>
      </c>
      <c r="C74" s="116"/>
      <c r="D74" s="116"/>
      <c r="E74" s="116"/>
      <c r="F74" s="116"/>
      <c r="G74" s="116"/>
      <c r="H74" s="116"/>
      <c r="I74" s="116"/>
      <c r="J74" s="116"/>
      <c r="K74" s="116"/>
      <c r="L74" s="116"/>
      <c r="M74" s="116"/>
      <c r="N74" s="116"/>
      <c r="O74" s="116"/>
      <c r="P74" s="116"/>
      <c r="Q74" s="116"/>
      <c r="R74" s="116"/>
      <c r="S74" s="116"/>
      <c r="T74" s="116"/>
      <c r="U74" s="116"/>
    </row>
  </sheetData>
  <sheetProtection algorithmName="SHA-512" hashValue="Rj9G2mDfdSli/p0HBIKXfArapG7QKQv3JuJlKQlDL/p/q8lqE6MurJW0lnBvUbeOHdx1FABgLp18YL2pvqB5+w==" saltValue="P/5Bk44MtXvAETP9eklPaQ==" spinCount="100000" sheet="1" objects="1" scenarios="1"/>
  <conditionalFormatting sqref="A6:A21">
    <cfRule type="expression" dxfId="429" priority="9" stopIfTrue="1">
      <formula>MOD(ROW(),2)=0</formula>
    </cfRule>
    <cfRule type="expression" dxfId="428" priority="10" stopIfTrue="1">
      <formula>MOD(ROW(),2)&lt;&gt;0</formula>
    </cfRule>
  </conditionalFormatting>
  <conditionalFormatting sqref="A26:A74">
    <cfRule type="expression" dxfId="427" priority="11" stopIfTrue="1">
      <formula>MOD(ROW(),2)=0</formula>
    </cfRule>
    <cfRule type="expression" dxfId="426" priority="12" stopIfTrue="1">
      <formula>MOD(ROW(),2)&lt;&gt;0</formula>
    </cfRule>
  </conditionalFormatting>
  <conditionalFormatting sqref="B17:B21">
    <cfRule type="expression" dxfId="425" priority="1" stopIfTrue="1">
      <formula>MOD(ROW(),2)=0</formula>
    </cfRule>
    <cfRule type="expression" dxfId="424" priority="2" stopIfTrue="1">
      <formula>MOD(ROW(),2)&lt;&gt;0</formula>
    </cfRule>
  </conditionalFormatting>
  <conditionalFormatting sqref="B6:U21">
    <cfRule type="expression" dxfId="423" priority="17" stopIfTrue="1">
      <formula>MOD(ROW(),2)=0</formula>
    </cfRule>
    <cfRule type="expression" dxfId="422" priority="18" stopIfTrue="1">
      <formula>MOD(ROW(),2)&lt;&gt;0</formula>
    </cfRule>
  </conditionalFormatting>
  <conditionalFormatting sqref="B26:U74">
    <cfRule type="expression" dxfId="421" priority="13" stopIfTrue="1">
      <formula>MOD(ROW(),2)=0</formula>
    </cfRule>
    <cfRule type="expression" dxfId="420" priority="14" stopIfTrue="1">
      <formula>MOD(ROW(),2)&lt;&gt;0</formula>
    </cfRule>
  </conditionalFormatting>
  <hyperlinks>
    <hyperlink ref="B24" location="Assumptions!A1" display="Assumptions" xr:uid="{D558C269-2BB0-4685-8469-7B10FFCF77C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E40B-79C0-4436-A6A0-4F457E7D4D28}">
  <sheetPr codeName="Sheet8">
    <tabColor rgb="FF00B0F0"/>
  </sheetPr>
  <dimension ref="A1:I56"/>
  <sheetViews>
    <sheetView showGridLines="0" zoomScale="70" zoomScaleNormal="70" workbookViewId="0"/>
  </sheetViews>
  <sheetFormatPr defaultColWidth="8.6328125" defaultRowHeight="12.5" x14ac:dyDescent="0.25"/>
  <cols>
    <col min="1" max="1" width="55.6328125" style="26" customWidth="1"/>
    <col min="2" max="2" width="61.36328125" style="26" customWidth="1"/>
    <col min="3" max="16384" width="8.6328125" style="26"/>
  </cols>
  <sheetData>
    <row r="1" spans="1:9" ht="20" x14ac:dyDescent="0.4">
      <c r="A1" s="37" t="s">
        <v>0</v>
      </c>
      <c r="B1" s="38"/>
      <c r="C1" s="38"/>
      <c r="D1" s="38"/>
      <c r="E1" s="38"/>
      <c r="F1" s="38"/>
      <c r="G1" s="38"/>
      <c r="H1" s="38"/>
      <c r="I1" s="38"/>
    </row>
    <row r="2" spans="1:9" ht="15.5" x14ac:dyDescent="0.35">
      <c r="A2" s="88" t="str">
        <f>IF(title="&gt;Cover! Enter workbook title here","Enter workbook title in Cover sheet",title)</f>
        <v>Civil Service Pension Schemes - Consolidated Factor Spreadsheet</v>
      </c>
      <c r="B2" s="40"/>
      <c r="C2" s="40"/>
      <c r="D2" s="40"/>
      <c r="E2" s="40"/>
      <c r="F2" s="40"/>
      <c r="G2" s="40"/>
      <c r="H2" s="40"/>
      <c r="I2" s="40"/>
    </row>
    <row r="3" spans="1:9" ht="15.5" x14ac:dyDescent="0.35">
      <c r="A3" s="41" t="s">
        <v>13</v>
      </c>
      <c r="B3" s="40"/>
      <c r="C3" s="40"/>
      <c r="D3" s="40"/>
      <c r="E3" s="40"/>
      <c r="F3" s="40"/>
      <c r="G3" s="40"/>
      <c r="H3" s="40"/>
      <c r="I3" s="40"/>
    </row>
    <row r="4" spans="1:9" x14ac:dyDescent="0.25">
      <c r="A4" s="42"/>
    </row>
    <row r="5" spans="1:9" x14ac:dyDescent="0.25">
      <c r="A5" s="128"/>
      <c r="B5" s="128"/>
    </row>
    <row r="6" spans="1:9" x14ac:dyDescent="0.25">
      <c r="A6" s="129"/>
      <c r="B6" s="128"/>
    </row>
    <row r="8" spans="1:9" ht="15.5" x14ac:dyDescent="0.35">
      <c r="A8" s="130" t="s">
        <v>691</v>
      </c>
      <c r="B8" s="131" t="s">
        <v>315</v>
      </c>
    </row>
    <row r="9" spans="1:9" ht="15.5" x14ac:dyDescent="0.35">
      <c r="A9" s="132"/>
      <c r="B9" s="133"/>
    </row>
    <row r="10" spans="1:9" ht="15.5" x14ac:dyDescent="0.35">
      <c r="A10" s="131" t="s">
        <v>692</v>
      </c>
      <c r="B10" s="134"/>
    </row>
    <row r="11" spans="1:9" ht="15.5" x14ac:dyDescent="0.35">
      <c r="A11" s="135" t="s">
        <v>693</v>
      </c>
      <c r="B11" s="143">
        <v>3.7339999999999998E-2</v>
      </c>
    </row>
    <row r="12" spans="1:9" ht="15.5" x14ac:dyDescent="0.35">
      <c r="A12" s="134" t="s">
        <v>694</v>
      </c>
      <c r="B12" s="137">
        <v>0.02</v>
      </c>
    </row>
    <row r="13" spans="1:9" ht="15.5" x14ac:dyDescent="0.35">
      <c r="A13" s="138" t="s">
        <v>695</v>
      </c>
      <c r="B13" s="136">
        <v>3.15E-2</v>
      </c>
    </row>
    <row r="14" spans="1:9" ht="15.5" x14ac:dyDescent="0.35">
      <c r="A14" s="134" t="s">
        <v>696</v>
      </c>
      <c r="B14" s="137">
        <v>2.1000000000000001E-2</v>
      </c>
    </row>
    <row r="15" spans="1:9" ht="15.5" x14ac:dyDescent="0.35">
      <c r="A15" s="135" t="s">
        <v>697</v>
      </c>
      <c r="B15" s="136">
        <v>1.4E-2</v>
      </c>
    </row>
    <row r="16" spans="1:9" ht="15.5" x14ac:dyDescent="0.35">
      <c r="A16" s="134" t="s">
        <v>698</v>
      </c>
      <c r="B16" s="137">
        <v>3.7999999999999999E-2</v>
      </c>
    </row>
    <row r="17" spans="1:2" ht="15.5" x14ac:dyDescent="0.35">
      <c r="A17" s="135" t="s">
        <v>699</v>
      </c>
      <c r="B17" s="136">
        <v>3.5000000000000003E-2</v>
      </c>
    </row>
    <row r="18" spans="1:2" ht="15.5" x14ac:dyDescent="0.35">
      <c r="A18" s="134" t="s">
        <v>700</v>
      </c>
      <c r="B18" s="137">
        <v>1.7000000000000001E-2</v>
      </c>
    </row>
    <row r="19" spans="1:2" ht="15.5" x14ac:dyDescent="0.35">
      <c r="A19" s="135" t="s">
        <v>701</v>
      </c>
      <c r="B19" s="143">
        <v>2.3019999999999999E-2</v>
      </c>
    </row>
    <row r="20" spans="1:2" ht="15.5" x14ac:dyDescent="0.35">
      <c r="A20" s="134" t="s">
        <v>702</v>
      </c>
      <c r="B20" s="134" t="s">
        <v>703</v>
      </c>
    </row>
    <row r="21" spans="1:2" ht="15.5" x14ac:dyDescent="0.35">
      <c r="A21" s="135" t="s">
        <v>704</v>
      </c>
      <c r="B21" s="139" t="s">
        <v>705</v>
      </c>
    </row>
    <row r="22" spans="1:2" ht="15.5" x14ac:dyDescent="0.35">
      <c r="A22" s="134"/>
      <c r="B22" s="140"/>
    </row>
    <row r="23" spans="1:2" ht="15.5" x14ac:dyDescent="0.35">
      <c r="A23" s="133" t="s">
        <v>706</v>
      </c>
      <c r="B23" s="135"/>
    </row>
    <row r="24" spans="1:2" ht="15.5" x14ac:dyDescent="0.35">
      <c r="A24" s="134" t="s">
        <v>707</v>
      </c>
      <c r="B24" s="134" t="s">
        <v>708</v>
      </c>
    </row>
    <row r="25" spans="1:2" ht="15.5" x14ac:dyDescent="0.35">
      <c r="A25" s="135" t="s">
        <v>709</v>
      </c>
      <c r="B25" s="135" t="s">
        <v>710</v>
      </c>
    </row>
    <row r="26" spans="1:2" ht="15.5" x14ac:dyDescent="0.35">
      <c r="A26" s="134" t="s">
        <v>711</v>
      </c>
      <c r="B26" s="134" t="s">
        <v>712</v>
      </c>
    </row>
    <row r="27" spans="1:2" ht="15.5" x14ac:dyDescent="0.35">
      <c r="A27" s="135" t="s">
        <v>713</v>
      </c>
      <c r="B27" s="135" t="s">
        <v>714</v>
      </c>
    </row>
    <row r="28" spans="1:2" ht="15.5" x14ac:dyDescent="0.35">
      <c r="A28" s="134" t="s">
        <v>715</v>
      </c>
      <c r="B28" s="134" t="s">
        <v>716</v>
      </c>
    </row>
    <row r="29" spans="1:2" ht="15.5" x14ac:dyDescent="0.35">
      <c r="A29" s="135" t="s">
        <v>717</v>
      </c>
      <c r="B29" s="135" t="s">
        <v>718</v>
      </c>
    </row>
    <row r="30" spans="1:2" ht="15.5" x14ac:dyDescent="0.35">
      <c r="A30" s="134" t="s">
        <v>719</v>
      </c>
      <c r="B30" s="134" t="s">
        <v>720</v>
      </c>
    </row>
    <row r="31" spans="1:2" ht="77.5" x14ac:dyDescent="0.35">
      <c r="A31" s="135" t="s">
        <v>721</v>
      </c>
      <c r="B31" s="135" t="s">
        <v>722</v>
      </c>
    </row>
    <row r="32" spans="1:2" ht="31" x14ac:dyDescent="0.35">
      <c r="A32" s="134" t="s">
        <v>723</v>
      </c>
      <c r="B32" s="134" t="s">
        <v>724</v>
      </c>
    </row>
    <row r="33" spans="1:2" ht="15.5" x14ac:dyDescent="0.35">
      <c r="A33" s="135"/>
      <c r="B33" s="135"/>
    </row>
    <row r="34" spans="1:2" ht="15.5" x14ac:dyDescent="0.35">
      <c r="A34" s="131" t="s">
        <v>725</v>
      </c>
      <c r="B34" s="134"/>
    </row>
    <row r="35" spans="1:2" ht="15.5" x14ac:dyDescent="0.35">
      <c r="A35" s="135" t="s">
        <v>726</v>
      </c>
      <c r="B35" s="141">
        <v>0.3</v>
      </c>
    </row>
    <row r="36" spans="1:2" ht="15.5" x14ac:dyDescent="0.35">
      <c r="A36" s="134" t="s">
        <v>727</v>
      </c>
      <c r="B36" s="142">
        <v>0.7</v>
      </c>
    </row>
    <row r="37" spans="1:2" ht="31" x14ac:dyDescent="0.35">
      <c r="A37" s="135" t="s">
        <v>728</v>
      </c>
      <c r="B37" s="135" t="s">
        <v>729</v>
      </c>
    </row>
    <row r="38" spans="1:2" ht="31" x14ac:dyDescent="0.35">
      <c r="A38" s="134" t="s">
        <v>730</v>
      </c>
      <c r="B38" s="134" t="s">
        <v>731</v>
      </c>
    </row>
    <row r="39" spans="1:2" ht="62" x14ac:dyDescent="0.35">
      <c r="A39" s="139" t="s">
        <v>732</v>
      </c>
      <c r="B39" s="139" t="s">
        <v>733</v>
      </c>
    </row>
    <row r="40" spans="1:2" ht="15.5" x14ac:dyDescent="0.35">
      <c r="A40" s="140" t="s">
        <v>734</v>
      </c>
      <c r="B40" s="140" t="s">
        <v>735</v>
      </c>
    </row>
    <row r="41" spans="1:2" ht="15.5" x14ac:dyDescent="0.35">
      <c r="A41" s="139" t="s">
        <v>736</v>
      </c>
      <c r="B41" s="139" t="s">
        <v>703</v>
      </c>
    </row>
    <row r="42" spans="1:2" ht="15.5" x14ac:dyDescent="0.35">
      <c r="A42" s="140" t="s">
        <v>737</v>
      </c>
      <c r="B42" s="140" t="s">
        <v>703</v>
      </c>
    </row>
    <row r="43" spans="1:2" ht="15.5" x14ac:dyDescent="0.35">
      <c r="A43" s="139" t="s">
        <v>738</v>
      </c>
      <c r="B43" s="139" t="s">
        <v>739</v>
      </c>
    </row>
    <row r="44" spans="1:2" ht="15.5" x14ac:dyDescent="0.35">
      <c r="A44" s="140" t="s">
        <v>740</v>
      </c>
      <c r="B44" s="140" t="s">
        <v>741</v>
      </c>
    </row>
    <row r="45" spans="1:2" ht="15.5" x14ac:dyDescent="0.35">
      <c r="A45" s="139" t="s">
        <v>742</v>
      </c>
      <c r="B45" s="139" t="s">
        <v>703</v>
      </c>
    </row>
    <row r="46" spans="1:2" ht="15.5" x14ac:dyDescent="0.35">
      <c r="A46" s="140" t="s">
        <v>743</v>
      </c>
      <c r="B46" s="140" t="s">
        <v>741</v>
      </c>
    </row>
    <row r="47" spans="1:2" ht="15.5" x14ac:dyDescent="0.35">
      <c r="A47" s="139" t="s">
        <v>744</v>
      </c>
      <c r="B47" s="139" t="s">
        <v>703</v>
      </c>
    </row>
    <row r="48" spans="1:2" ht="15.5" x14ac:dyDescent="0.35">
      <c r="A48" s="140" t="s">
        <v>745</v>
      </c>
      <c r="B48" s="140" t="s">
        <v>746</v>
      </c>
    </row>
    <row r="49" spans="1:2" ht="15.5" x14ac:dyDescent="0.35">
      <c r="A49" s="139" t="s">
        <v>747</v>
      </c>
      <c r="B49" s="139" t="s">
        <v>748</v>
      </c>
    </row>
    <row r="50" spans="1:2" ht="93" x14ac:dyDescent="0.35">
      <c r="A50" s="134" t="s">
        <v>749</v>
      </c>
      <c r="B50" s="134" t="s">
        <v>750</v>
      </c>
    </row>
    <row r="51" spans="1:2" ht="15.5" x14ac:dyDescent="0.35">
      <c r="A51" s="135"/>
      <c r="B51" s="135"/>
    </row>
    <row r="52" spans="1:2" ht="15.5" x14ac:dyDescent="0.35">
      <c r="A52" s="131" t="s">
        <v>751</v>
      </c>
      <c r="B52" s="134"/>
    </row>
    <row r="53" spans="1:2" ht="15.5" x14ac:dyDescent="0.35">
      <c r="A53" s="139" t="s">
        <v>752</v>
      </c>
      <c r="B53" s="139" t="s">
        <v>753</v>
      </c>
    </row>
    <row r="54" spans="1:2" ht="31" x14ac:dyDescent="0.35">
      <c r="A54" s="134" t="s">
        <v>754</v>
      </c>
      <c r="B54" s="134" t="s">
        <v>755</v>
      </c>
    </row>
    <row r="55" spans="1:2" ht="31" x14ac:dyDescent="0.35">
      <c r="A55" s="139" t="s">
        <v>756</v>
      </c>
      <c r="B55" s="139" t="s">
        <v>757</v>
      </c>
    </row>
    <row r="56" spans="1:2" ht="31" x14ac:dyDescent="0.35">
      <c r="A56" s="134" t="s">
        <v>758</v>
      </c>
      <c r="B56" s="134" t="s">
        <v>759</v>
      </c>
    </row>
  </sheetData>
  <sheetProtection algorithmName="SHA-512" hashValue="JzJHERlV/GIEroHAeXjZxUmEYnjlsAgJAX76J28nsL8W9/sTGcOW8+IVfqO8PeZ7txiuwQ87vN+hpdyJGxvG3g==" saltValue="xLxQ8diay4xYFMkBctzqag=="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CF69-946E-4A82-8DD3-7C0B0B3E637C}">
  <sheetPr codeName="Sheet92"/>
  <dimension ref="A1:U74"/>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x-707</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74</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564</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2</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707</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565</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566</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205.7</v>
      </c>
      <c r="C27" s="116">
        <v>104.7</v>
      </c>
      <c r="D27" s="116">
        <v>71.099999999999994</v>
      </c>
      <c r="E27" s="116">
        <v>54.3</v>
      </c>
      <c r="F27" s="116">
        <v>44.2</v>
      </c>
      <c r="G27" s="116">
        <v>37.5</v>
      </c>
      <c r="H27" s="116">
        <v>32.700000000000003</v>
      </c>
      <c r="I27" s="116">
        <v>29.2</v>
      </c>
      <c r="J27" s="116">
        <v>26.4</v>
      </c>
      <c r="K27" s="116">
        <v>24.2</v>
      </c>
      <c r="L27" s="116">
        <v>22.3</v>
      </c>
      <c r="M27" s="116">
        <v>20.8</v>
      </c>
      <c r="N27" s="116">
        <v>19.600000000000001</v>
      </c>
      <c r="O27" s="116">
        <v>18.5</v>
      </c>
      <c r="P27" s="116">
        <v>17.5</v>
      </c>
      <c r="Q27" s="116">
        <v>16.7</v>
      </c>
      <c r="R27" s="116">
        <v>16</v>
      </c>
      <c r="S27" s="116">
        <v>15.4</v>
      </c>
      <c r="T27" s="116">
        <v>14.8</v>
      </c>
      <c r="U27" s="116">
        <v>14.3</v>
      </c>
    </row>
    <row r="28" spans="1:21" x14ac:dyDescent="0.25">
      <c r="A28" s="80">
        <v>17</v>
      </c>
      <c r="B28" s="116">
        <v>209</v>
      </c>
      <c r="C28" s="116">
        <v>106.4</v>
      </c>
      <c r="D28" s="116">
        <v>72.2</v>
      </c>
      <c r="E28" s="116">
        <v>55.2</v>
      </c>
      <c r="F28" s="116">
        <v>44.9</v>
      </c>
      <c r="G28" s="116">
        <v>38.1</v>
      </c>
      <c r="H28" s="116">
        <v>33.299999999999997</v>
      </c>
      <c r="I28" s="116">
        <v>29.6</v>
      </c>
      <c r="J28" s="116">
        <v>26.8</v>
      </c>
      <c r="K28" s="116">
        <v>24.5</v>
      </c>
      <c r="L28" s="116">
        <v>22.7</v>
      </c>
      <c r="M28" s="116">
        <v>21.2</v>
      </c>
      <c r="N28" s="116">
        <v>19.899999999999999</v>
      </c>
      <c r="O28" s="116">
        <v>18.8</v>
      </c>
      <c r="P28" s="116">
        <v>17.8</v>
      </c>
      <c r="Q28" s="116">
        <v>17</v>
      </c>
      <c r="R28" s="116">
        <v>16.3</v>
      </c>
      <c r="S28" s="116">
        <v>15.6</v>
      </c>
      <c r="T28" s="116">
        <v>15</v>
      </c>
      <c r="U28" s="116">
        <v>14.5</v>
      </c>
    </row>
    <row r="29" spans="1:21" x14ac:dyDescent="0.25">
      <c r="A29" s="80">
        <v>18</v>
      </c>
      <c r="B29" s="116">
        <v>212.5</v>
      </c>
      <c r="C29" s="116">
        <v>108.2</v>
      </c>
      <c r="D29" s="116">
        <v>73.5</v>
      </c>
      <c r="E29" s="116">
        <v>56.1</v>
      </c>
      <c r="F29" s="116">
        <v>45.7</v>
      </c>
      <c r="G29" s="116">
        <v>38.799999999999997</v>
      </c>
      <c r="H29" s="116">
        <v>33.799999999999997</v>
      </c>
      <c r="I29" s="116">
        <v>30.1</v>
      </c>
      <c r="J29" s="116">
        <v>27.2</v>
      </c>
      <c r="K29" s="116">
        <v>25</v>
      </c>
      <c r="L29" s="116">
        <v>23.1</v>
      </c>
      <c r="M29" s="116">
        <v>21.5</v>
      </c>
      <c r="N29" s="116">
        <v>20.2</v>
      </c>
      <c r="O29" s="116">
        <v>19.100000000000001</v>
      </c>
      <c r="P29" s="116">
        <v>18.100000000000001</v>
      </c>
      <c r="Q29" s="116">
        <v>17.3</v>
      </c>
      <c r="R29" s="116">
        <v>16.5</v>
      </c>
      <c r="S29" s="116">
        <v>15.9</v>
      </c>
      <c r="T29" s="116">
        <v>15.3</v>
      </c>
      <c r="U29" s="116">
        <v>14.8</v>
      </c>
    </row>
    <row r="30" spans="1:21" x14ac:dyDescent="0.25">
      <c r="A30" s="80">
        <v>19</v>
      </c>
      <c r="B30" s="116">
        <v>215.9</v>
      </c>
      <c r="C30" s="116">
        <v>109.9</v>
      </c>
      <c r="D30" s="116">
        <v>74.599999999999994</v>
      </c>
      <c r="E30" s="116">
        <v>57</v>
      </c>
      <c r="F30" s="116">
        <v>46.4</v>
      </c>
      <c r="G30" s="116">
        <v>39.4</v>
      </c>
      <c r="H30" s="116">
        <v>34.4</v>
      </c>
      <c r="I30" s="116">
        <v>30.6</v>
      </c>
      <c r="J30" s="116">
        <v>27.7</v>
      </c>
      <c r="K30" s="116">
        <v>25.4</v>
      </c>
      <c r="L30" s="116">
        <v>23.4</v>
      </c>
      <c r="M30" s="116">
        <v>21.9</v>
      </c>
      <c r="N30" s="116">
        <v>20.5</v>
      </c>
      <c r="O30" s="116">
        <v>19.399999999999999</v>
      </c>
      <c r="P30" s="116">
        <v>18.399999999999999</v>
      </c>
      <c r="Q30" s="116">
        <v>17.600000000000001</v>
      </c>
      <c r="R30" s="116">
        <v>16.8</v>
      </c>
      <c r="S30" s="116">
        <v>16.100000000000001</v>
      </c>
      <c r="T30" s="116">
        <v>15.5</v>
      </c>
      <c r="U30" s="116">
        <v>15</v>
      </c>
    </row>
    <row r="31" spans="1:21" x14ac:dyDescent="0.25">
      <c r="A31" s="80">
        <v>20</v>
      </c>
      <c r="B31" s="116">
        <v>219</v>
      </c>
      <c r="C31" s="116">
        <v>111.5</v>
      </c>
      <c r="D31" s="116">
        <v>75.7</v>
      </c>
      <c r="E31" s="116">
        <v>57.8</v>
      </c>
      <c r="F31" s="116">
        <v>47.1</v>
      </c>
      <c r="G31" s="116">
        <v>40</v>
      </c>
      <c r="H31" s="116">
        <v>34.9</v>
      </c>
      <c r="I31" s="116">
        <v>31</v>
      </c>
      <c r="J31" s="116">
        <v>28.1</v>
      </c>
      <c r="K31" s="116">
        <v>25.7</v>
      </c>
      <c r="L31" s="116">
        <v>23.8</v>
      </c>
      <c r="M31" s="116">
        <v>22.2</v>
      </c>
      <c r="N31" s="116">
        <v>20.8</v>
      </c>
      <c r="O31" s="116">
        <v>19.7</v>
      </c>
      <c r="P31" s="116">
        <v>18.7</v>
      </c>
      <c r="Q31" s="116">
        <v>17.8</v>
      </c>
      <c r="R31" s="116">
        <v>17</v>
      </c>
      <c r="S31" s="116">
        <v>16.399999999999999</v>
      </c>
      <c r="T31" s="116">
        <v>15.8</v>
      </c>
      <c r="U31" s="116">
        <v>15.2</v>
      </c>
    </row>
    <row r="32" spans="1:21" x14ac:dyDescent="0.25">
      <c r="A32" s="80">
        <v>21</v>
      </c>
      <c r="B32" s="116">
        <v>222.1</v>
      </c>
      <c r="C32" s="116">
        <v>113.1</v>
      </c>
      <c r="D32" s="116">
        <v>76.8</v>
      </c>
      <c r="E32" s="116">
        <v>58.6</v>
      </c>
      <c r="F32" s="116">
        <v>47.8</v>
      </c>
      <c r="G32" s="116">
        <v>40.5</v>
      </c>
      <c r="H32" s="116">
        <v>35.4</v>
      </c>
      <c r="I32" s="116">
        <v>31.5</v>
      </c>
      <c r="J32" s="116">
        <v>28.5</v>
      </c>
      <c r="K32" s="116">
        <v>26.1</v>
      </c>
      <c r="L32" s="116">
        <v>24.1</v>
      </c>
      <c r="M32" s="116">
        <v>22.5</v>
      </c>
      <c r="N32" s="116">
        <v>21.1</v>
      </c>
      <c r="O32" s="116">
        <v>20</v>
      </c>
      <c r="P32" s="116">
        <v>18.899999999999999</v>
      </c>
      <c r="Q32" s="116">
        <v>18.100000000000001</v>
      </c>
      <c r="R32" s="116">
        <v>17.3</v>
      </c>
      <c r="S32" s="116">
        <v>16.600000000000001</v>
      </c>
      <c r="T32" s="116">
        <v>16</v>
      </c>
      <c r="U32" s="116">
        <v>15.4</v>
      </c>
    </row>
    <row r="33" spans="1:21" x14ac:dyDescent="0.25">
      <c r="A33" s="80">
        <v>22</v>
      </c>
      <c r="B33" s="116">
        <v>225.3</v>
      </c>
      <c r="C33" s="116">
        <v>114.7</v>
      </c>
      <c r="D33" s="116">
        <v>77.900000000000006</v>
      </c>
      <c r="E33" s="116">
        <v>59.5</v>
      </c>
      <c r="F33" s="116">
        <v>48.5</v>
      </c>
      <c r="G33" s="116">
        <v>41.1</v>
      </c>
      <c r="H33" s="116">
        <v>35.9</v>
      </c>
      <c r="I33" s="116">
        <v>31.9</v>
      </c>
      <c r="J33" s="116">
        <v>28.9</v>
      </c>
      <c r="K33" s="116">
        <v>26.5</v>
      </c>
      <c r="L33" s="116">
        <v>24.5</v>
      </c>
      <c r="M33" s="116">
        <v>22.8</v>
      </c>
      <c r="N33" s="116">
        <v>21.4</v>
      </c>
      <c r="O33" s="116">
        <v>20.3</v>
      </c>
      <c r="P33" s="116">
        <v>19.2</v>
      </c>
      <c r="Q33" s="116">
        <v>18.3</v>
      </c>
      <c r="R33" s="116">
        <v>17.5</v>
      </c>
      <c r="S33" s="116">
        <v>16.8</v>
      </c>
      <c r="T33" s="116">
        <v>16.2</v>
      </c>
      <c r="U33" s="116">
        <v>15.7</v>
      </c>
    </row>
    <row r="34" spans="1:21" x14ac:dyDescent="0.25">
      <c r="A34" s="80">
        <v>23</v>
      </c>
      <c r="B34" s="116">
        <v>228.5</v>
      </c>
      <c r="C34" s="116">
        <v>116.4</v>
      </c>
      <c r="D34" s="116">
        <v>79</v>
      </c>
      <c r="E34" s="116">
        <v>60.3</v>
      </c>
      <c r="F34" s="116">
        <v>49.2</v>
      </c>
      <c r="G34" s="116">
        <v>41.7</v>
      </c>
      <c r="H34" s="116">
        <v>36.4</v>
      </c>
      <c r="I34" s="116">
        <v>32.4</v>
      </c>
      <c r="J34" s="116">
        <v>29.3</v>
      </c>
      <c r="K34" s="116">
        <v>26.8</v>
      </c>
      <c r="L34" s="116">
        <v>24.8</v>
      </c>
      <c r="M34" s="116">
        <v>23.2</v>
      </c>
      <c r="N34" s="116">
        <v>21.7</v>
      </c>
      <c r="O34" s="116">
        <v>20.5</v>
      </c>
      <c r="P34" s="116">
        <v>19.5</v>
      </c>
      <c r="Q34" s="116">
        <v>18.600000000000001</v>
      </c>
      <c r="R34" s="116">
        <v>17.8</v>
      </c>
      <c r="S34" s="116">
        <v>17.100000000000001</v>
      </c>
      <c r="T34" s="116">
        <v>16.5</v>
      </c>
      <c r="U34" s="116">
        <v>15.9</v>
      </c>
    </row>
    <row r="35" spans="1:21" x14ac:dyDescent="0.25">
      <c r="A35" s="80">
        <v>24</v>
      </c>
      <c r="B35" s="116">
        <v>231.8</v>
      </c>
      <c r="C35" s="116">
        <v>118.1</v>
      </c>
      <c r="D35" s="116">
        <v>80.099999999999994</v>
      </c>
      <c r="E35" s="116">
        <v>61.2</v>
      </c>
      <c r="F35" s="116">
        <v>49.9</v>
      </c>
      <c r="G35" s="116">
        <v>42.3</v>
      </c>
      <c r="H35" s="116">
        <v>36.9</v>
      </c>
      <c r="I35" s="116">
        <v>32.9</v>
      </c>
      <c r="J35" s="116">
        <v>29.7</v>
      </c>
      <c r="K35" s="116">
        <v>27.2</v>
      </c>
      <c r="L35" s="116">
        <v>25.2</v>
      </c>
      <c r="M35" s="116">
        <v>23.5</v>
      </c>
      <c r="N35" s="116">
        <v>22.1</v>
      </c>
      <c r="O35" s="116">
        <v>20.8</v>
      </c>
      <c r="P35" s="116">
        <v>19.8</v>
      </c>
      <c r="Q35" s="116">
        <v>18.899999999999999</v>
      </c>
      <c r="R35" s="116">
        <v>18.100000000000001</v>
      </c>
      <c r="S35" s="116">
        <v>17.3</v>
      </c>
      <c r="T35" s="116">
        <v>16.7</v>
      </c>
      <c r="U35" s="116">
        <v>16.100000000000001</v>
      </c>
    </row>
    <row r="36" spans="1:21" x14ac:dyDescent="0.25">
      <c r="A36" s="80">
        <v>25</v>
      </c>
      <c r="B36" s="116">
        <v>235.1</v>
      </c>
      <c r="C36" s="116">
        <v>119.7</v>
      </c>
      <c r="D36" s="116">
        <v>81.3</v>
      </c>
      <c r="E36" s="116">
        <v>62.1</v>
      </c>
      <c r="F36" s="116">
        <v>50.6</v>
      </c>
      <c r="G36" s="116">
        <v>42.9</v>
      </c>
      <c r="H36" s="116">
        <v>37.4</v>
      </c>
      <c r="I36" s="116">
        <v>33.299999999999997</v>
      </c>
      <c r="J36" s="116">
        <v>30.2</v>
      </c>
      <c r="K36" s="116">
        <v>27.6</v>
      </c>
      <c r="L36" s="116">
        <v>25.6</v>
      </c>
      <c r="M36" s="116">
        <v>23.8</v>
      </c>
      <c r="N36" s="116">
        <v>22.4</v>
      </c>
      <c r="O36" s="116">
        <v>21.1</v>
      </c>
      <c r="P36" s="116">
        <v>20.100000000000001</v>
      </c>
      <c r="Q36" s="116">
        <v>19.100000000000001</v>
      </c>
      <c r="R36" s="116">
        <v>18.3</v>
      </c>
      <c r="S36" s="116">
        <v>17.600000000000001</v>
      </c>
      <c r="T36" s="116">
        <v>16.899999999999999</v>
      </c>
      <c r="U36" s="116">
        <v>16.399999999999999</v>
      </c>
    </row>
    <row r="37" spans="1:21" x14ac:dyDescent="0.25">
      <c r="A37" s="80">
        <v>26</v>
      </c>
      <c r="B37" s="116">
        <v>238.5</v>
      </c>
      <c r="C37" s="116">
        <v>121.5</v>
      </c>
      <c r="D37" s="116">
        <v>82.5</v>
      </c>
      <c r="E37" s="116">
        <v>63</v>
      </c>
      <c r="F37" s="116">
        <v>51.3</v>
      </c>
      <c r="G37" s="116">
        <v>43.5</v>
      </c>
      <c r="H37" s="116">
        <v>38</v>
      </c>
      <c r="I37" s="116">
        <v>33.799999999999997</v>
      </c>
      <c r="J37" s="116">
        <v>30.6</v>
      </c>
      <c r="K37" s="116">
        <v>28</v>
      </c>
      <c r="L37" s="116">
        <v>25.9</v>
      </c>
      <c r="M37" s="116">
        <v>24.2</v>
      </c>
      <c r="N37" s="116">
        <v>22.7</v>
      </c>
      <c r="O37" s="116">
        <v>21.4</v>
      </c>
      <c r="P37" s="116">
        <v>20.399999999999999</v>
      </c>
      <c r="Q37" s="116">
        <v>19.399999999999999</v>
      </c>
      <c r="R37" s="116">
        <v>18.600000000000001</v>
      </c>
      <c r="S37" s="116">
        <v>17.8</v>
      </c>
      <c r="T37" s="116">
        <v>17.2</v>
      </c>
      <c r="U37" s="116">
        <v>16.600000000000001</v>
      </c>
    </row>
    <row r="38" spans="1:21" x14ac:dyDescent="0.25">
      <c r="A38" s="80">
        <v>27</v>
      </c>
      <c r="B38" s="116">
        <v>241.9</v>
      </c>
      <c r="C38" s="116">
        <v>123.2</v>
      </c>
      <c r="D38" s="116">
        <v>83.6</v>
      </c>
      <c r="E38" s="116">
        <v>63.9</v>
      </c>
      <c r="F38" s="116">
        <v>52</v>
      </c>
      <c r="G38" s="116">
        <v>44.1</v>
      </c>
      <c r="H38" s="116">
        <v>38.5</v>
      </c>
      <c r="I38" s="116">
        <v>34.299999999999997</v>
      </c>
      <c r="J38" s="116">
        <v>31</v>
      </c>
      <c r="K38" s="116">
        <v>28.4</v>
      </c>
      <c r="L38" s="116">
        <v>26.3</v>
      </c>
      <c r="M38" s="116">
        <v>24.5</v>
      </c>
      <c r="N38" s="116">
        <v>23</v>
      </c>
      <c r="O38" s="116">
        <v>21.8</v>
      </c>
      <c r="P38" s="116">
        <v>20.7</v>
      </c>
      <c r="Q38" s="116">
        <v>19.7</v>
      </c>
      <c r="R38" s="116">
        <v>18.899999999999999</v>
      </c>
      <c r="S38" s="116">
        <v>18.100000000000001</v>
      </c>
      <c r="T38" s="116">
        <v>17.399999999999999</v>
      </c>
      <c r="U38" s="116">
        <v>16.8</v>
      </c>
    </row>
    <row r="39" spans="1:21" x14ac:dyDescent="0.25">
      <c r="A39" s="80">
        <v>28</v>
      </c>
      <c r="B39" s="116">
        <v>245.3</v>
      </c>
      <c r="C39" s="116">
        <v>124.9</v>
      </c>
      <c r="D39" s="116">
        <v>84.8</v>
      </c>
      <c r="E39" s="116">
        <v>64.8</v>
      </c>
      <c r="F39" s="116">
        <v>52.8</v>
      </c>
      <c r="G39" s="116">
        <v>44.8</v>
      </c>
      <c r="H39" s="116">
        <v>39.1</v>
      </c>
      <c r="I39" s="116">
        <v>34.799999999999997</v>
      </c>
      <c r="J39" s="116">
        <v>31.5</v>
      </c>
      <c r="K39" s="116">
        <v>28.8</v>
      </c>
      <c r="L39" s="116">
        <v>26.7</v>
      </c>
      <c r="M39" s="116">
        <v>24.9</v>
      </c>
      <c r="N39" s="116">
        <v>23.4</v>
      </c>
      <c r="O39" s="116">
        <v>22.1</v>
      </c>
      <c r="P39" s="116">
        <v>21</v>
      </c>
      <c r="Q39" s="116">
        <v>20</v>
      </c>
      <c r="R39" s="116">
        <v>19.100000000000001</v>
      </c>
      <c r="S39" s="116">
        <v>18.399999999999999</v>
      </c>
      <c r="T39" s="116">
        <v>17.7</v>
      </c>
      <c r="U39" s="116">
        <v>17.100000000000001</v>
      </c>
    </row>
    <row r="40" spans="1:21" x14ac:dyDescent="0.25">
      <c r="A40" s="80">
        <v>29</v>
      </c>
      <c r="B40" s="116">
        <v>248.8</v>
      </c>
      <c r="C40" s="116">
        <v>126.7</v>
      </c>
      <c r="D40" s="116">
        <v>86</v>
      </c>
      <c r="E40" s="116">
        <v>65.7</v>
      </c>
      <c r="F40" s="116">
        <v>53.5</v>
      </c>
      <c r="G40" s="116">
        <v>45.4</v>
      </c>
      <c r="H40" s="116">
        <v>39.6</v>
      </c>
      <c r="I40" s="116">
        <v>35.299999999999997</v>
      </c>
      <c r="J40" s="116">
        <v>31.9</v>
      </c>
      <c r="K40" s="116">
        <v>29.3</v>
      </c>
      <c r="L40" s="116">
        <v>27.1</v>
      </c>
      <c r="M40" s="116">
        <v>25.2</v>
      </c>
      <c r="N40" s="116">
        <v>23.7</v>
      </c>
      <c r="O40" s="116">
        <v>22.4</v>
      </c>
      <c r="P40" s="116">
        <v>21.3</v>
      </c>
      <c r="Q40" s="116">
        <v>20.3</v>
      </c>
      <c r="R40" s="116">
        <v>19.399999999999999</v>
      </c>
      <c r="S40" s="116">
        <v>18.600000000000001</v>
      </c>
      <c r="T40" s="116">
        <v>18</v>
      </c>
      <c r="U40" s="116">
        <v>17.3</v>
      </c>
    </row>
    <row r="41" spans="1:21" x14ac:dyDescent="0.25">
      <c r="A41" s="80">
        <v>30</v>
      </c>
      <c r="B41" s="116">
        <v>252.4</v>
      </c>
      <c r="C41" s="116">
        <v>128.5</v>
      </c>
      <c r="D41" s="116">
        <v>87.3</v>
      </c>
      <c r="E41" s="116">
        <v>66.7</v>
      </c>
      <c r="F41" s="116">
        <v>54.3</v>
      </c>
      <c r="G41" s="116">
        <v>46.1</v>
      </c>
      <c r="H41" s="116">
        <v>40.200000000000003</v>
      </c>
      <c r="I41" s="116">
        <v>35.799999999999997</v>
      </c>
      <c r="J41" s="116">
        <v>32.4</v>
      </c>
      <c r="K41" s="116">
        <v>29.7</v>
      </c>
      <c r="L41" s="116">
        <v>27.5</v>
      </c>
      <c r="M41" s="116">
        <v>25.6</v>
      </c>
      <c r="N41" s="116">
        <v>24.1</v>
      </c>
      <c r="O41" s="116">
        <v>22.7</v>
      </c>
      <c r="P41" s="116">
        <v>21.6</v>
      </c>
      <c r="Q41" s="116">
        <v>20.6</v>
      </c>
      <c r="R41" s="116">
        <v>19.7</v>
      </c>
      <c r="S41" s="116">
        <v>18.899999999999999</v>
      </c>
      <c r="T41" s="116">
        <v>18.2</v>
      </c>
      <c r="U41" s="116">
        <v>17.600000000000001</v>
      </c>
    </row>
    <row r="42" spans="1:21" x14ac:dyDescent="0.25">
      <c r="A42" s="80">
        <v>31</v>
      </c>
      <c r="B42" s="116">
        <v>256</v>
      </c>
      <c r="C42" s="116">
        <v>130.4</v>
      </c>
      <c r="D42" s="116">
        <v>88.5</v>
      </c>
      <c r="E42" s="116">
        <v>67.599999999999994</v>
      </c>
      <c r="F42" s="116">
        <v>55.1</v>
      </c>
      <c r="G42" s="116">
        <v>46.7</v>
      </c>
      <c r="H42" s="116">
        <v>40.799999999999997</v>
      </c>
      <c r="I42" s="116">
        <v>36.299999999999997</v>
      </c>
      <c r="J42" s="116">
        <v>32.9</v>
      </c>
      <c r="K42" s="116">
        <v>30.1</v>
      </c>
      <c r="L42" s="116">
        <v>27.9</v>
      </c>
      <c r="M42" s="116">
        <v>26</v>
      </c>
      <c r="N42" s="116">
        <v>24.4</v>
      </c>
      <c r="O42" s="116">
        <v>23.1</v>
      </c>
      <c r="P42" s="116">
        <v>21.9</v>
      </c>
      <c r="Q42" s="116">
        <v>20.9</v>
      </c>
      <c r="R42" s="116">
        <v>20</v>
      </c>
      <c r="S42" s="116">
        <v>19.2</v>
      </c>
      <c r="T42" s="116">
        <v>18.5</v>
      </c>
      <c r="U42" s="116">
        <v>17.899999999999999</v>
      </c>
    </row>
    <row r="43" spans="1:21" x14ac:dyDescent="0.25">
      <c r="A43" s="80">
        <v>32</v>
      </c>
      <c r="B43" s="116">
        <v>259.60000000000002</v>
      </c>
      <c r="C43" s="116">
        <v>132.19999999999999</v>
      </c>
      <c r="D43" s="116">
        <v>89.8</v>
      </c>
      <c r="E43" s="116">
        <v>68.599999999999994</v>
      </c>
      <c r="F43" s="116">
        <v>55.9</v>
      </c>
      <c r="G43" s="116">
        <v>47.4</v>
      </c>
      <c r="H43" s="116">
        <v>41.4</v>
      </c>
      <c r="I43" s="116">
        <v>36.9</v>
      </c>
      <c r="J43" s="116">
        <v>33.299999999999997</v>
      </c>
      <c r="K43" s="116">
        <v>30.5</v>
      </c>
      <c r="L43" s="116">
        <v>28.3</v>
      </c>
      <c r="M43" s="116">
        <v>26.4</v>
      </c>
      <c r="N43" s="116">
        <v>24.8</v>
      </c>
      <c r="O43" s="116">
        <v>23.4</v>
      </c>
      <c r="P43" s="116">
        <v>22.2</v>
      </c>
      <c r="Q43" s="116">
        <v>21.2</v>
      </c>
      <c r="R43" s="116">
        <v>20.3</v>
      </c>
      <c r="S43" s="116">
        <v>19.5</v>
      </c>
      <c r="T43" s="116">
        <v>18.8</v>
      </c>
      <c r="U43" s="116">
        <v>18.100000000000001</v>
      </c>
    </row>
    <row r="44" spans="1:21" x14ac:dyDescent="0.25">
      <c r="A44" s="80">
        <v>33</v>
      </c>
      <c r="B44" s="116">
        <v>263.3</v>
      </c>
      <c r="C44" s="116">
        <v>134.1</v>
      </c>
      <c r="D44" s="116">
        <v>91.1</v>
      </c>
      <c r="E44" s="116">
        <v>69.599999999999994</v>
      </c>
      <c r="F44" s="116">
        <v>56.7</v>
      </c>
      <c r="G44" s="116">
        <v>48.1</v>
      </c>
      <c r="H44" s="116">
        <v>42</v>
      </c>
      <c r="I44" s="116">
        <v>37.4</v>
      </c>
      <c r="J44" s="116">
        <v>33.799999999999997</v>
      </c>
      <c r="K44" s="116">
        <v>31</v>
      </c>
      <c r="L44" s="116">
        <v>28.7</v>
      </c>
      <c r="M44" s="116">
        <v>26.7</v>
      </c>
      <c r="N44" s="116">
        <v>25.1</v>
      </c>
      <c r="O44" s="116">
        <v>23.7</v>
      </c>
      <c r="P44" s="116">
        <v>22.5</v>
      </c>
      <c r="Q44" s="116">
        <v>21.5</v>
      </c>
      <c r="R44" s="116">
        <v>20.6</v>
      </c>
      <c r="S44" s="116">
        <v>19.8</v>
      </c>
      <c r="T44" s="116">
        <v>19</v>
      </c>
      <c r="U44" s="116">
        <v>18.399999999999999</v>
      </c>
    </row>
    <row r="45" spans="1:21" x14ac:dyDescent="0.25">
      <c r="A45" s="80">
        <v>34</v>
      </c>
      <c r="B45" s="116">
        <v>267</v>
      </c>
      <c r="C45" s="116">
        <v>136</v>
      </c>
      <c r="D45" s="116">
        <v>92.3</v>
      </c>
      <c r="E45" s="116">
        <v>70.5</v>
      </c>
      <c r="F45" s="116">
        <v>57.5</v>
      </c>
      <c r="G45" s="116">
        <v>48.8</v>
      </c>
      <c r="H45" s="116">
        <v>42.6</v>
      </c>
      <c r="I45" s="116">
        <v>37.9</v>
      </c>
      <c r="J45" s="116">
        <v>34.299999999999997</v>
      </c>
      <c r="K45" s="116">
        <v>31.4</v>
      </c>
      <c r="L45" s="116">
        <v>29.1</v>
      </c>
      <c r="M45" s="116">
        <v>27.1</v>
      </c>
      <c r="N45" s="116">
        <v>25.5</v>
      </c>
      <c r="O45" s="116">
        <v>24.1</v>
      </c>
      <c r="P45" s="116">
        <v>22.9</v>
      </c>
      <c r="Q45" s="116">
        <v>21.8</v>
      </c>
      <c r="R45" s="116">
        <v>20.9</v>
      </c>
      <c r="S45" s="116">
        <v>20.100000000000001</v>
      </c>
      <c r="T45" s="116">
        <v>19.3</v>
      </c>
      <c r="U45" s="116">
        <v>18.7</v>
      </c>
    </row>
    <row r="46" spans="1:21" x14ac:dyDescent="0.25">
      <c r="A46" s="80">
        <v>35</v>
      </c>
      <c r="B46" s="116">
        <v>270.8</v>
      </c>
      <c r="C46" s="116">
        <v>137.9</v>
      </c>
      <c r="D46" s="116">
        <v>93.6</v>
      </c>
      <c r="E46" s="116">
        <v>71.5</v>
      </c>
      <c r="F46" s="116">
        <v>58.3</v>
      </c>
      <c r="G46" s="116">
        <v>49.5</v>
      </c>
      <c r="H46" s="116">
        <v>43.2</v>
      </c>
      <c r="I46" s="116">
        <v>38.5</v>
      </c>
      <c r="J46" s="116">
        <v>34.799999999999997</v>
      </c>
      <c r="K46" s="116">
        <v>31.9</v>
      </c>
      <c r="L46" s="116">
        <v>29.5</v>
      </c>
      <c r="M46" s="116">
        <v>27.5</v>
      </c>
      <c r="N46" s="116">
        <v>25.9</v>
      </c>
      <c r="O46" s="116">
        <v>24.4</v>
      </c>
      <c r="P46" s="116">
        <v>23.2</v>
      </c>
      <c r="Q46" s="116">
        <v>22.1</v>
      </c>
      <c r="R46" s="116">
        <v>21.2</v>
      </c>
      <c r="S46" s="116">
        <v>20.399999999999999</v>
      </c>
      <c r="T46" s="116">
        <v>19.600000000000001</v>
      </c>
      <c r="U46" s="116">
        <v>19</v>
      </c>
    </row>
    <row r="47" spans="1:21" x14ac:dyDescent="0.25">
      <c r="A47" s="80">
        <v>36</v>
      </c>
      <c r="B47" s="116">
        <v>274.60000000000002</v>
      </c>
      <c r="C47" s="116">
        <v>139.80000000000001</v>
      </c>
      <c r="D47" s="116">
        <v>95</v>
      </c>
      <c r="E47" s="116">
        <v>72.5</v>
      </c>
      <c r="F47" s="116">
        <v>59.1</v>
      </c>
      <c r="G47" s="116">
        <v>50.2</v>
      </c>
      <c r="H47" s="116">
        <v>43.8</v>
      </c>
      <c r="I47" s="116">
        <v>39</v>
      </c>
      <c r="J47" s="116">
        <v>35.299999999999997</v>
      </c>
      <c r="K47" s="116">
        <v>32.299999999999997</v>
      </c>
      <c r="L47" s="116">
        <v>29.9</v>
      </c>
      <c r="M47" s="116">
        <v>27.9</v>
      </c>
      <c r="N47" s="116">
        <v>26.2</v>
      </c>
      <c r="O47" s="116">
        <v>24.8</v>
      </c>
      <c r="P47" s="116">
        <v>23.5</v>
      </c>
      <c r="Q47" s="116">
        <v>22.5</v>
      </c>
      <c r="R47" s="116">
        <v>21.5</v>
      </c>
      <c r="S47" s="116">
        <v>20.7</v>
      </c>
      <c r="T47" s="116">
        <v>19.899999999999999</v>
      </c>
      <c r="U47" s="116">
        <v>19.2</v>
      </c>
    </row>
    <row r="48" spans="1:21" x14ac:dyDescent="0.25">
      <c r="A48" s="80">
        <v>37</v>
      </c>
      <c r="B48" s="116">
        <v>278.39999999999998</v>
      </c>
      <c r="C48" s="116">
        <v>141.80000000000001</v>
      </c>
      <c r="D48" s="116">
        <v>96.3</v>
      </c>
      <c r="E48" s="116">
        <v>73.599999999999994</v>
      </c>
      <c r="F48" s="116">
        <v>59.9</v>
      </c>
      <c r="G48" s="116">
        <v>50.9</v>
      </c>
      <c r="H48" s="116">
        <v>44.4</v>
      </c>
      <c r="I48" s="116">
        <v>39.6</v>
      </c>
      <c r="J48" s="116">
        <v>35.799999999999997</v>
      </c>
      <c r="K48" s="116">
        <v>32.799999999999997</v>
      </c>
      <c r="L48" s="116">
        <v>30.4</v>
      </c>
      <c r="M48" s="116">
        <v>28.3</v>
      </c>
      <c r="N48" s="116">
        <v>26.6</v>
      </c>
      <c r="O48" s="116">
        <v>25.1</v>
      </c>
      <c r="P48" s="116">
        <v>23.9</v>
      </c>
      <c r="Q48" s="116">
        <v>22.8</v>
      </c>
      <c r="R48" s="116">
        <v>21.8</v>
      </c>
      <c r="S48" s="116">
        <v>21</v>
      </c>
      <c r="T48" s="116">
        <v>20.2</v>
      </c>
      <c r="U48" s="116">
        <v>19.5</v>
      </c>
    </row>
    <row r="49" spans="1:21" x14ac:dyDescent="0.25">
      <c r="A49" s="80">
        <v>38</v>
      </c>
      <c r="B49" s="116">
        <v>282.3</v>
      </c>
      <c r="C49" s="116">
        <v>143.80000000000001</v>
      </c>
      <c r="D49" s="116">
        <v>97.7</v>
      </c>
      <c r="E49" s="116">
        <v>74.599999999999994</v>
      </c>
      <c r="F49" s="116">
        <v>60.8</v>
      </c>
      <c r="G49" s="116">
        <v>51.6</v>
      </c>
      <c r="H49" s="116">
        <v>45</v>
      </c>
      <c r="I49" s="116">
        <v>40.1</v>
      </c>
      <c r="J49" s="116">
        <v>36.299999999999997</v>
      </c>
      <c r="K49" s="116">
        <v>33.299999999999997</v>
      </c>
      <c r="L49" s="116">
        <v>30.8</v>
      </c>
      <c r="M49" s="116">
        <v>28.7</v>
      </c>
      <c r="N49" s="116">
        <v>27</v>
      </c>
      <c r="O49" s="116">
        <v>25.5</v>
      </c>
      <c r="P49" s="116">
        <v>24.2</v>
      </c>
      <c r="Q49" s="116">
        <v>23.1</v>
      </c>
      <c r="R49" s="116">
        <v>22.2</v>
      </c>
      <c r="S49" s="116">
        <v>21.3</v>
      </c>
      <c r="T49" s="116">
        <v>20.5</v>
      </c>
      <c r="U49" s="116">
        <v>19.8</v>
      </c>
    </row>
    <row r="50" spans="1:21" x14ac:dyDescent="0.25">
      <c r="A50" s="80">
        <v>39</v>
      </c>
      <c r="B50" s="116">
        <v>286.3</v>
      </c>
      <c r="C50" s="116">
        <v>145.80000000000001</v>
      </c>
      <c r="D50" s="116">
        <v>99</v>
      </c>
      <c r="E50" s="116">
        <v>75.7</v>
      </c>
      <c r="F50" s="116">
        <v>61.7</v>
      </c>
      <c r="G50" s="116">
        <v>52.3</v>
      </c>
      <c r="H50" s="116">
        <v>45.7</v>
      </c>
      <c r="I50" s="116">
        <v>40.700000000000003</v>
      </c>
      <c r="J50" s="116">
        <v>36.799999999999997</v>
      </c>
      <c r="K50" s="116">
        <v>33.799999999999997</v>
      </c>
      <c r="L50" s="116">
        <v>31.2</v>
      </c>
      <c r="M50" s="116">
        <v>29.2</v>
      </c>
      <c r="N50" s="116">
        <v>27.4</v>
      </c>
      <c r="O50" s="116">
        <v>25.9</v>
      </c>
      <c r="P50" s="116">
        <v>24.6</v>
      </c>
      <c r="Q50" s="116">
        <v>23.5</v>
      </c>
      <c r="R50" s="116">
        <v>22.5</v>
      </c>
      <c r="S50" s="116">
        <v>21.6</v>
      </c>
      <c r="T50" s="116">
        <v>20.8</v>
      </c>
      <c r="U50" s="116">
        <v>20.2</v>
      </c>
    </row>
    <row r="51" spans="1:21" x14ac:dyDescent="0.25">
      <c r="A51" s="80">
        <v>40</v>
      </c>
      <c r="B51" s="116">
        <v>290.3</v>
      </c>
      <c r="C51" s="116">
        <v>147.9</v>
      </c>
      <c r="D51" s="116">
        <v>100.4</v>
      </c>
      <c r="E51" s="116">
        <v>76.7</v>
      </c>
      <c r="F51" s="116">
        <v>62.5</v>
      </c>
      <c r="G51" s="116">
        <v>53.1</v>
      </c>
      <c r="H51" s="116">
        <v>46.3</v>
      </c>
      <c r="I51" s="116">
        <v>41.3</v>
      </c>
      <c r="J51" s="116">
        <v>37.4</v>
      </c>
      <c r="K51" s="116">
        <v>34.200000000000003</v>
      </c>
      <c r="L51" s="116">
        <v>31.7</v>
      </c>
      <c r="M51" s="116">
        <v>29.6</v>
      </c>
      <c r="N51" s="116">
        <v>27.8</v>
      </c>
      <c r="O51" s="116">
        <v>26.3</v>
      </c>
      <c r="P51" s="116">
        <v>25</v>
      </c>
      <c r="Q51" s="116">
        <v>23.8</v>
      </c>
      <c r="R51" s="116">
        <v>22.8</v>
      </c>
      <c r="S51" s="116">
        <v>21.9</v>
      </c>
      <c r="T51" s="116">
        <v>21.2</v>
      </c>
      <c r="U51" s="116">
        <v>20.5</v>
      </c>
    </row>
    <row r="52" spans="1:21" x14ac:dyDescent="0.25">
      <c r="A52" s="80">
        <v>41</v>
      </c>
      <c r="B52" s="116">
        <v>294.3</v>
      </c>
      <c r="C52" s="116">
        <v>150</v>
      </c>
      <c r="D52" s="116">
        <v>101.9</v>
      </c>
      <c r="E52" s="116">
        <v>77.8</v>
      </c>
      <c r="F52" s="116">
        <v>63.4</v>
      </c>
      <c r="G52" s="116">
        <v>53.8</v>
      </c>
      <c r="H52" s="116">
        <v>47</v>
      </c>
      <c r="I52" s="116">
        <v>41.9</v>
      </c>
      <c r="J52" s="116">
        <v>37.9</v>
      </c>
      <c r="K52" s="116">
        <v>34.700000000000003</v>
      </c>
      <c r="L52" s="116">
        <v>32.200000000000003</v>
      </c>
      <c r="M52" s="116">
        <v>30</v>
      </c>
      <c r="N52" s="116">
        <v>28.2</v>
      </c>
      <c r="O52" s="116">
        <v>26.7</v>
      </c>
      <c r="P52" s="116">
        <v>25.3</v>
      </c>
      <c r="Q52" s="116">
        <v>24.2</v>
      </c>
      <c r="R52" s="116">
        <v>23.2</v>
      </c>
      <c r="S52" s="116">
        <v>22.3</v>
      </c>
      <c r="T52" s="116">
        <v>21.5</v>
      </c>
      <c r="U52" s="116">
        <v>20.8</v>
      </c>
    </row>
    <row r="53" spans="1:21" x14ac:dyDescent="0.25">
      <c r="A53" s="80">
        <v>42</v>
      </c>
      <c r="B53" s="116">
        <v>298.39999999999998</v>
      </c>
      <c r="C53" s="116">
        <v>152.1</v>
      </c>
      <c r="D53" s="116">
        <v>103.3</v>
      </c>
      <c r="E53" s="116">
        <v>78.900000000000006</v>
      </c>
      <c r="F53" s="116">
        <v>64.3</v>
      </c>
      <c r="G53" s="116">
        <v>54.6</v>
      </c>
      <c r="H53" s="116">
        <v>47.7</v>
      </c>
      <c r="I53" s="116">
        <v>42.5</v>
      </c>
      <c r="J53" s="116">
        <v>38.5</v>
      </c>
      <c r="K53" s="116">
        <v>35.299999999999997</v>
      </c>
      <c r="L53" s="116">
        <v>32.6</v>
      </c>
      <c r="M53" s="116">
        <v>30.5</v>
      </c>
      <c r="N53" s="116">
        <v>28.6</v>
      </c>
      <c r="O53" s="116">
        <v>27.1</v>
      </c>
      <c r="P53" s="116">
        <v>25.7</v>
      </c>
      <c r="Q53" s="116">
        <v>24.6</v>
      </c>
      <c r="R53" s="116">
        <v>23.5</v>
      </c>
      <c r="S53" s="116">
        <v>22.6</v>
      </c>
      <c r="T53" s="116">
        <v>21.8</v>
      </c>
      <c r="U53" s="116">
        <v>21.1</v>
      </c>
    </row>
    <row r="54" spans="1:21" x14ac:dyDescent="0.25">
      <c r="A54" s="80">
        <v>43</v>
      </c>
      <c r="B54" s="116">
        <v>302.60000000000002</v>
      </c>
      <c r="C54" s="116">
        <v>154.19999999999999</v>
      </c>
      <c r="D54" s="116">
        <v>104.7</v>
      </c>
      <c r="E54" s="116">
        <v>80</v>
      </c>
      <c r="F54" s="116">
        <v>65.2</v>
      </c>
      <c r="G54" s="116">
        <v>55.4</v>
      </c>
      <c r="H54" s="116">
        <v>48.4</v>
      </c>
      <c r="I54" s="116">
        <v>43.1</v>
      </c>
      <c r="J54" s="116">
        <v>39</v>
      </c>
      <c r="K54" s="116">
        <v>35.799999999999997</v>
      </c>
      <c r="L54" s="116">
        <v>33.1</v>
      </c>
      <c r="M54" s="116">
        <v>30.9</v>
      </c>
      <c r="N54" s="116">
        <v>29.1</v>
      </c>
      <c r="O54" s="116">
        <v>27.5</v>
      </c>
      <c r="P54" s="116">
        <v>26.1</v>
      </c>
      <c r="Q54" s="116">
        <v>25</v>
      </c>
      <c r="R54" s="116">
        <v>23.9</v>
      </c>
      <c r="S54" s="116">
        <v>23</v>
      </c>
      <c r="T54" s="116">
        <v>22.2</v>
      </c>
      <c r="U54" s="116">
        <v>21.5</v>
      </c>
    </row>
    <row r="55" spans="1:21" x14ac:dyDescent="0.25">
      <c r="A55" s="80">
        <v>44</v>
      </c>
      <c r="B55" s="116">
        <v>306.8</v>
      </c>
      <c r="C55" s="116">
        <v>156.30000000000001</v>
      </c>
      <c r="D55" s="116">
        <v>106.2</v>
      </c>
      <c r="E55" s="116">
        <v>81.2</v>
      </c>
      <c r="F55" s="116">
        <v>66.2</v>
      </c>
      <c r="G55" s="116">
        <v>56.2</v>
      </c>
      <c r="H55" s="116">
        <v>49</v>
      </c>
      <c r="I55" s="116">
        <v>43.7</v>
      </c>
      <c r="J55" s="116">
        <v>39.6</v>
      </c>
      <c r="K55" s="116">
        <v>36.299999999999997</v>
      </c>
      <c r="L55" s="116">
        <v>33.6</v>
      </c>
      <c r="M55" s="116">
        <v>31.4</v>
      </c>
      <c r="N55" s="116">
        <v>29.5</v>
      </c>
      <c r="O55" s="116">
        <v>27.9</v>
      </c>
      <c r="P55" s="116">
        <v>26.5</v>
      </c>
      <c r="Q55" s="116">
        <v>25.4</v>
      </c>
      <c r="R55" s="116">
        <v>24.3</v>
      </c>
      <c r="S55" s="116">
        <v>23.4</v>
      </c>
      <c r="T55" s="116">
        <v>22.6</v>
      </c>
      <c r="U55" s="116">
        <v>21.8</v>
      </c>
    </row>
    <row r="56" spans="1:21" x14ac:dyDescent="0.25">
      <c r="A56" s="80">
        <v>45</v>
      </c>
      <c r="B56" s="116">
        <v>311.10000000000002</v>
      </c>
      <c r="C56" s="116">
        <v>158.5</v>
      </c>
      <c r="D56" s="116">
        <v>107.7</v>
      </c>
      <c r="E56" s="116">
        <v>82.3</v>
      </c>
      <c r="F56" s="116">
        <v>67.099999999999994</v>
      </c>
      <c r="G56" s="116">
        <v>57</v>
      </c>
      <c r="H56" s="116">
        <v>49.8</v>
      </c>
      <c r="I56" s="116">
        <v>44.4</v>
      </c>
      <c r="J56" s="116">
        <v>40.200000000000003</v>
      </c>
      <c r="K56" s="116">
        <v>36.799999999999997</v>
      </c>
      <c r="L56" s="116">
        <v>34.1</v>
      </c>
      <c r="M56" s="116">
        <v>31.9</v>
      </c>
      <c r="N56" s="116">
        <v>30</v>
      </c>
      <c r="O56" s="116">
        <v>28.4</v>
      </c>
      <c r="P56" s="116">
        <v>27</v>
      </c>
      <c r="Q56" s="116">
        <v>25.8</v>
      </c>
      <c r="R56" s="116">
        <v>24.7</v>
      </c>
      <c r="S56" s="116">
        <v>23.8</v>
      </c>
      <c r="T56" s="116">
        <v>22.9</v>
      </c>
      <c r="U56" s="116"/>
    </row>
    <row r="57" spans="1:21" x14ac:dyDescent="0.25">
      <c r="A57" s="80">
        <v>46</v>
      </c>
      <c r="B57" s="116">
        <v>315.39999999999998</v>
      </c>
      <c r="C57" s="116">
        <v>160.69999999999999</v>
      </c>
      <c r="D57" s="116">
        <v>109.2</v>
      </c>
      <c r="E57" s="116">
        <v>83.5</v>
      </c>
      <c r="F57" s="116">
        <v>68.099999999999994</v>
      </c>
      <c r="G57" s="116">
        <v>57.8</v>
      </c>
      <c r="H57" s="116">
        <v>50.5</v>
      </c>
      <c r="I57" s="116">
        <v>45</v>
      </c>
      <c r="J57" s="116">
        <v>40.799999999999997</v>
      </c>
      <c r="K57" s="116">
        <v>37.4</v>
      </c>
      <c r="L57" s="116">
        <v>34.6</v>
      </c>
      <c r="M57" s="116">
        <v>32.4</v>
      </c>
      <c r="N57" s="116">
        <v>30.4</v>
      </c>
      <c r="O57" s="116">
        <v>28.8</v>
      </c>
      <c r="P57" s="116">
        <v>27.4</v>
      </c>
      <c r="Q57" s="116">
        <v>26.2</v>
      </c>
      <c r="R57" s="116">
        <v>25.1</v>
      </c>
      <c r="S57" s="116">
        <v>24.2</v>
      </c>
      <c r="T57" s="116"/>
      <c r="U57" s="116"/>
    </row>
    <row r="58" spans="1:21" x14ac:dyDescent="0.25">
      <c r="A58" s="80">
        <v>47</v>
      </c>
      <c r="B58" s="116">
        <v>319.8</v>
      </c>
      <c r="C58" s="116">
        <v>163</v>
      </c>
      <c r="D58" s="116">
        <v>110.8</v>
      </c>
      <c r="E58" s="116">
        <v>84.7</v>
      </c>
      <c r="F58" s="116">
        <v>69</v>
      </c>
      <c r="G58" s="116">
        <v>58.6</v>
      </c>
      <c r="H58" s="116">
        <v>51.2</v>
      </c>
      <c r="I58" s="116">
        <v>45.7</v>
      </c>
      <c r="J58" s="116">
        <v>41.4</v>
      </c>
      <c r="K58" s="116">
        <v>38</v>
      </c>
      <c r="L58" s="116">
        <v>35.200000000000003</v>
      </c>
      <c r="M58" s="116">
        <v>32.9</v>
      </c>
      <c r="N58" s="116">
        <v>30.9</v>
      </c>
      <c r="O58" s="116">
        <v>29.3</v>
      </c>
      <c r="P58" s="116">
        <v>27.9</v>
      </c>
      <c r="Q58" s="116">
        <v>26.6</v>
      </c>
      <c r="R58" s="116">
        <v>25.5</v>
      </c>
      <c r="S58" s="116"/>
      <c r="T58" s="116"/>
      <c r="U58" s="116"/>
    </row>
    <row r="59" spans="1:21" x14ac:dyDescent="0.25">
      <c r="A59" s="80">
        <v>48</v>
      </c>
      <c r="B59" s="116">
        <v>324.3</v>
      </c>
      <c r="C59" s="116">
        <v>165.3</v>
      </c>
      <c r="D59" s="116">
        <v>112.3</v>
      </c>
      <c r="E59" s="116">
        <v>85.9</v>
      </c>
      <c r="F59" s="116">
        <v>70</v>
      </c>
      <c r="G59" s="116">
        <v>59.5</v>
      </c>
      <c r="H59" s="116">
        <v>52</v>
      </c>
      <c r="I59" s="116">
        <v>46.4</v>
      </c>
      <c r="J59" s="116">
        <v>42</v>
      </c>
      <c r="K59" s="116">
        <v>38.6</v>
      </c>
      <c r="L59" s="116">
        <v>35.700000000000003</v>
      </c>
      <c r="M59" s="116">
        <v>33.4</v>
      </c>
      <c r="N59" s="116">
        <v>31.4</v>
      </c>
      <c r="O59" s="116">
        <v>29.8</v>
      </c>
      <c r="P59" s="116">
        <v>28.3</v>
      </c>
      <c r="Q59" s="116">
        <v>27.1</v>
      </c>
      <c r="R59" s="116"/>
      <c r="S59" s="116"/>
      <c r="T59" s="116"/>
      <c r="U59" s="116"/>
    </row>
    <row r="60" spans="1:21" x14ac:dyDescent="0.25">
      <c r="A60" s="80">
        <v>49</v>
      </c>
      <c r="B60" s="116">
        <v>328.8</v>
      </c>
      <c r="C60" s="116">
        <v>167.6</v>
      </c>
      <c r="D60" s="116">
        <v>113.9</v>
      </c>
      <c r="E60" s="116">
        <v>87.1</v>
      </c>
      <c r="F60" s="116">
        <v>71.099999999999994</v>
      </c>
      <c r="G60" s="116">
        <v>60.4</v>
      </c>
      <c r="H60" s="116">
        <v>52.8</v>
      </c>
      <c r="I60" s="116">
        <v>47.1</v>
      </c>
      <c r="J60" s="116">
        <v>42.7</v>
      </c>
      <c r="K60" s="116">
        <v>39.200000000000003</v>
      </c>
      <c r="L60" s="116">
        <v>36.299999999999997</v>
      </c>
      <c r="M60" s="116">
        <v>34</v>
      </c>
      <c r="N60" s="116">
        <v>32</v>
      </c>
      <c r="O60" s="116">
        <v>30.3</v>
      </c>
      <c r="P60" s="116">
        <v>28.8</v>
      </c>
      <c r="Q60" s="116"/>
      <c r="R60" s="116"/>
      <c r="S60" s="116"/>
      <c r="T60" s="116"/>
      <c r="U60" s="116"/>
    </row>
    <row r="61" spans="1:21" x14ac:dyDescent="0.25">
      <c r="A61" s="80">
        <v>50</v>
      </c>
      <c r="B61" s="116">
        <v>333.5</v>
      </c>
      <c r="C61" s="116">
        <v>170.1</v>
      </c>
      <c r="D61" s="116">
        <v>115.6</v>
      </c>
      <c r="E61" s="116">
        <v>88.4</v>
      </c>
      <c r="F61" s="116">
        <v>72.2</v>
      </c>
      <c r="G61" s="116">
        <v>61.3</v>
      </c>
      <c r="H61" s="116">
        <v>53.6</v>
      </c>
      <c r="I61" s="116">
        <v>47.9</v>
      </c>
      <c r="J61" s="116">
        <v>43.4</v>
      </c>
      <c r="K61" s="116">
        <v>39.799999999999997</v>
      </c>
      <c r="L61" s="116">
        <v>36.9</v>
      </c>
      <c r="M61" s="116">
        <v>34.5</v>
      </c>
      <c r="N61" s="116">
        <v>32.5</v>
      </c>
      <c r="O61" s="116">
        <v>30.8</v>
      </c>
      <c r="P61" s="116"/>
      <c r="Q61" s="116"/>
      <c r="R61" s="116"/>
      <c r="S61" s="116"/>
      <c r="T61" s="116"/>
      <c r="U61" s="116"/>
    </row>
    <row r="62" spans="1:21" x14ac:dyDescent="0.25">
      <c r="A62" s="80">
        <v>51</v>
      </c>
      <c r="B62" s="116">
        <v>338.2</v>
      </c>
      <c r="C62" s="116">
        <v>172.5</v>
      </c>
      <c r="D62" s="116">
        <v>117.3</v>
      </c>
      <c r="E62" s="116">
        <v>89.8</v>
      </c>
      <c r="F62" s="116">
        <v>73.3</v>
      </c>
      <c r="G62" s="116">
        <v>62.3</v>
      </c>
      <c r="H62" s="116">
        <v>54.5</v>
      </c>
      <c r="I62" s="116">
        <v>48.6</v>
      </c>
      <c r="J62" s="116">
        <v>44.1</v>
      </c>
      <c r="K62" s="116">
        <v>40.5</v>
      </c>
      <c r="L62" s="116">
        <v>37.6</v>
      </c>
      <c r="M62" s="116">
        <v>35.1</v>
      </c>
      <c r="N62" s="116">
        <v>33.1</v>
      </c>
      <c r="O62" s="116"/>
      <c r="P62" s="116"/>
      <c r="Q62" s="116"/>
      <c r="R62" s="116"/>
      <c r="S62" s="116"/>
      <c r="T62" s="116"/>
      <c r="U62" s="116"/>
    </row>
    <row r="63" spans="1:21" x14ac:dyDescent="0.25">
      <c r="A63" s="80">
        <v>52</v>
      </c>
      <c r="B63" s="116">
        <v>343</v>
      </c>
      <c r="C63" s="116">
        <v>175</v>
      </c>
      <c r="D63" s="116">
        <v>119</v>
      </c>
      <c r="E63" s="116">
        <v>91.1</v>
      </c>
      <c r="F63" s="116">
        <v>74.400000000000006</v>
      </c>
      <c r="G63" s="116">
        <v>63.2</v>
      </c>
      <c r="H63" s="116">
        <v>55.3</v>
      </c>
      <c r="I63" s="116">
        <v>49.4</v>
      </c>
      <c r="J63" s="116">
        <v>44.8</v>
      </c>
      <c r="K63" s="116">
        <v>41.2</v>
      </c>
      <c r="L63" s="116">
        <v>38.200000000000003</v>
      </c>
      <c r="M63" s="116">
        <v>35.700000000000003</v>
      </c>
      <c r="N63" s="116"/>
      <c r="O63" s="116"/>
      <c r="P63" s="116"/>
      <c r="Q63" s="116"/>
      <c r="R63" s="116"/>
      <c r="S63" s="116"/>
      <c r="T63" s="116"/>
      <c r="U63" s="116"/>
    </row>
    <row r="64" spans="1:21" x14ac:dyDescent="0.25">
      <c r="A64" s="80">
        <v>53</v>
      </c>
      <c r="B64" s="116">
        <v>347.9</v>
      </c>
      <c r="C64" s="116">
        <v>177.5</v>
      </c>
      <c r="D64" s="116">
        <v>120.8</v>
      </c>
      <c r="E64" s="116">
        <v>92.5</v>
      </c>
      <c r="F64" s="116">
        <v>75.5</v>
      </c>
      <c r="G64" s="116">
        <v>64.2</v>
      </c>
      <c r="H64" s="116">
        <v>56.2</v>
      </c>
      <c r="I64" s="116">
        <v>50.2</v>
      </c>
      <c r="J64" s="116">
        <v>45.6</v>
      </c>
      <c r="K64" s="116">
        <v>41.9</v>
      </c>
      <c r="L64" s="116">
        <v>38.799999999999997</v>
      </c>
      <c r="M64" s="116"/>
      <c r="N64" s="116"/>
      <c r="O64" s="116"/>
      <c r="P64" s="116"/>
      <c r="Q64" s="116"/>
      <c r="R64" s="116"/>
      <c r="S64" s="116"/>
      <c r="T64" s="116"/>
      <c r="U64" s="116"/>
    </row>
    <row r="65" spans="1:21" x14ac:dyDescent="0.25">
      <c r="A65" s="80">
        <v>54</v>
      </c>
      <c r="B65" s="116">
        <v>352.9</v>
      </c>
      <c r="C65" s="116">
        <v>180.1</v>
      </c>
      <c r="D65" s="116">
        <v>122.6</v>
      </c>
      <c r="E65" s="116">
        <v>93.9</v>
      </c>
      <c r="F65" s="116">
        <v>76.7</v>
      </c>
      <c r="G65" s="116">
        <v>65.2</v>
      </c>
      <c r="H65" s="116">
        <v>57.1</v>
      </c>
      <c r="I65" s="116">
        <v>51</v>
      </c>
      <c r="J65" s="116">
        <v>46.3</v>
      </c>
      <c r="K65" s="116">
        <v>42.6</v>
      </c>
      <c r="L65" s="116"/>
      <c r="M65" s="116"/>
      <c r="N65" s="116"/>
      <c r="O65" s="116"/>
      <c r="P65" s="116"/>
      <c r="Q65" s="116"/>
      <c r="R65" s="116"/>
      <c r="S65" s="116"/>
      <c r="T65" s="116"/>
      <c r="U65" s="116"/>
    </row>
    <row r="66" spans="1:21" x14ac:dyDescent="0.25">
      <c r="A66" s="80">
        <v>55</v>
      </c>
      <c r="B66" s="116">
        <v>357.9</v>
      </c>
      <c r="C66" s="116">
        <v>182.7</v>
      </c>
      <c r="D66" s="116">
        <v>124.4</v>
      </c>
      <c r="E66" s="116">
        <v>95.3</v>
      </c>
      <c r="F66" s="116">
        <v>77.900000000000006</v>
      </c>
      <c r="G66" s="116">
        <v>66.3</v>
      </c>
      <c r="H66" s="116">
        <v>58</v>
      </c>
      <c r="I66" s="116">
        <v>51.9</v>
      </c>
      <c r="J66" s="116">
        <v>47.1</v>
      </c>
      <c r="K66" s="116"/>
      <c r="L66" s="116"/>
      <c r="M66" s="116"/>
      <c r="N66" s="116"/>
      <c r="O66" s="116"/>
      <c r="P66" s="116"/>
      <c r="Q66" s="116"/>
      <c r="R66" s="116"/>
      <c r="S66" s="116"/>
      <c r="T66" s="116"/>
      <c r="U66" s="116"/>
    </row>
    <row r="67" spans="1:21" x14ac:dyDescent="0.25">
      <c r="A67" s="80">
        <v>56</v>
      </c>
      <c r="B67" s="116">
        <v>363.1</v>
      </c>
      <c r="C67" s="116">
        <v>185.4</v>
      </c>
      <c r="D67" s="116">
        <v>126.3</v>
      </c>
      <c r="E67" s="116">
        <v>96.8</v>
      </c>
      <c r="F67" s="116">
        <v>79.099999999999994</v>
      </c>
      <c r="G67" s="116">
        <v>67.3</v>
      </c>
      <c r="H67" s="116">
        <v>59</v>
      </c>
      <c r="I67" s="116">
        <v>52.7</v>
      </c>
      <c r="J67" s="116"/>
      <c r="K67" s="116"/>
      <c r="L67" s="116"/>
      <c r="M67" s="116"/>
      <c r="N67" s="116"/>
      <c r="O67" s="116"/>
      <c r="P67" s="116"/>
      <c r="Q67" s="116"/>
      <c r="R67" s="116"/>
      <c r="S67" s="116"/>
      <c r="T67" s="116"/>
      <c r="U67" s="116"/>
    </row>
    <row r="68" spans="1:21" x14ac:dyDescent="0.25">
      <c r="A68" s="80">
        <v>57</v>
      </c>
      <c r="B68" s="116">
        <v>368.4</v>
      </c>
      <c r="C68" s="116">
        <v>188.2</v>
      </c>
      <c r="D68" s="116">
        <v>128.19999999999999</v>
      </c>
      <c r="E68" s="116">
        <v>98.3</v>
      </c>
      <c r="F68" s="116">
        <v>80.400000000000006</v>
      </c>
      <c r="G68" s="116">
        <v>68.400000000000006</v>
      </c>
      <c r="H68" s="116">
        <v>60</v>
      </c>
      <c r="I68" s="116"/>
      <c r="J68" s="116"/>
      <c r="K68" s="116"/>
      <c r="L68" s="116"/>
      <c r="M68" s="116"/>
      <c r="N68" s="116"/>
      <c r="O68" s="116"/>
      <c r="P68" s="116"/>
      <c r="Q68" s="116"/>
      <c r="R68" s="116"/>
      <c r="S68" s="116"/>
      <c r="T68" s="116"/>
      <c r="U68" s="116"/>
    </row>
    <row r="69" spans="1:21" x14ac:dyDescent="0.25">
      <c r="A69" s="80">
        <v>58</v>
      </c>
      <c r="B69" s="116">
        <v>373.9</v>
      </c>
      <c r="C69" s="116">
        <v>191.1</v>
      </c>
      <c r="D69" s="116">
        <v>130.19999999999999</v>
      </c>
      <c r="E69" s="116">
        <v>99.8</v>
      </c>
      <c r="F69" s="116">
        <v>81.7</v>
      </c>
      <c r="G69" s="116">
        <v>69.599999999999994</v>
      </c>
      <c r="H69" s="116"/>
      <c r="I69" s="116"/>
      <c r="J69" s="116"/>
      <c r="K69" s="116"/>
      <c r="L69" s="116"/>
      <c r="M69" s="116"/>
      <c r="N69" s="116"/>
      <c r="O69" s="116"/>
      <c r="P69" s="116"/>
      <c r="Q69" s="116"/>
      <c r="R69" s="116"/>
      <c r="S69" s="116"/>
      <c r="T69" s="116"/>
      <c r="U69" s="116"/>
    </row>
    <row r="70" spans="1:21" x14ac:dyDescent="0.25">
      <c r="A70" s="80">
        <v>59</v>
      </c>
      <c r="B70" s="116">
        <v>379.5</v>
      </c>
      <c r="C70" s="116">
        <v>194</v>
      </c>
      <c r="D70" s="116">
        <v>132.30000000000001</v>
      </c>
      <c r="E70" s="116">
        <v>101.4</v>
      </c>
      <c r="F70" s="116">
        <v>83</v>
      </c>
      <c r="G70" s="116"/>
      <c r="H70" s="116"/>
      <c r="I70" s="116"/>
      <c r="J70" s="116"/>
      <c r="K70" s="116"/>
      <c r="L70" s="116"/>
      <c r="M70" s="116"/>
      <c r="N70" s="116"/>
      <c r="O70" s="116"/>
      <c r="P70" s="116"/>
      <c r="Q70" s="116"/>
      <c r="R70" s="116"/>
      <c r="S70" s="116"/>
      <c r="T70" s="116"/>
      <c r="U70" s="116"/>
    </row>
    <row r="71" spans="1:21" x14ac:dyDescent="0.25">
      <c r="A71" s="80">
        <v>60</v>
      </c>
      <c r="B71" s="116">
        <v>385.4</v>
      </c>
      <c r="C71" s="116">
        <v>197.1</v>
      </c>
      <c r="D71" s="116">
        <v>134.4</v>
      </c>
      <c r="E71" s="116">
        <v>103.1</v>
      </c>
      <c r="F71" s="116"/>
      <c r="G71" s="116"/>
      <c r="H71" s="116"/>
      <c r="I71" s="116"/>
      <c r="J71" s="116"/>
      <c r="K71" s="116"/>
      <c r="L71" s="116"/>
      <c r="M71" s="116"/>
      <c r="N71" s="116"/>
      <c r="O71" s="116"/>
      <c r="P71" s="116"/>
      <c r="Q71" s="116"/>
      <c r="R71" s="116"/>
      <c r="S71" s="116"/>
      <c r="T71" s="116"/>
      <c r="U71" s="116"/>
    </row>
    <row r="72" spans="1:21" x14ac:dyDescent="0.25">
      <c r="A72" s="80">
        <v>61</v>
      </c>
      <c r="B72" s="116">
        <v>391.5</v>
      </c>
      <c r="C72" s="116">
        <v>200.3</v>
      </c>
      <c r="D72" s="116">
        <v>136.6</v>
      </c>
      <c r="E72" s="116"/>
      <c r="F72" s="116"/>
      <c r="G72" s="116"/>
      <c r="H72" s="116"/>
      <c r="I72" s="116"/>
      <c r="J72" s="116"/>
      <c r="K72" s="116"/>
      <c r="L72" s="116"/>
      <c r="M72" s="116"/>
      <c r="N72" s="116"/>
      <c r="O72" s="116"/>
      <c r="P72" s="116"/>
      <c r="Q72" s="116"/>
      <c r="R72" s="116"/>
      <c r="S72" s="116"/>
      <c r="T72" s="116"/>
      <c r="U72" s="116"/>
    </row>
    <row r="73" spans="1:21" x14ac:dyDescent="0.25">
      <c r="A73" s="80">
        <v>62</v>
      </c>
      <c r="B73" s="116">
        <v>398</v>
      </c>
      <c r="C73" s="116">
        <v>203.7</v>
      </c>
      <c r="D73" s="116"/>
      <c r="E73" s="116"/>
      <c r="F73" s="116"/>
      <c r="G73" s="116"/>
      <c r="H73" s="116"/>
      <c r="I73" s="116"/>
      <c r="J73" s="116"/>
      <c r="K73" s="116"/>
      <c r="L73" s="116"/>
      <c r="M73" s="116"/>
      <c r="N73" s="116"/>
      <c r="O73" s="116"/>
      <c r="P73" s="116"/>
      <c r="Q73" s="116"/>
      <c r="R73" s="116"/>
      <c r="S73" s="116"/>
      <c r="T73" s="116"/>
      <c r="U73" s="116"/>
    </row>
    <row r="74" spans="1:21" x14ac:dyDescent="0.25">
      <c r="A74" s="80">
        <v>63</v>
      </c>
      <c r="B74" s="116">
        <v>404.8</v>
      </c>
      <c r="C74" s="116"/>
      <c r="D74" s="116"/>
      <c r="E74" s="116"/>
      <c r="F74" s="116"/>
      <c r="G74" s="116"/>
      <c r="H74" s="116"/>
      <c r="I74" s="116"/>
      <c r="J74" s="116"/>
      <c r="K74" s="116"/>
      <c r="L74" s="116"/>
      <c r="M74" s="116"/>
      <c r="N74" s="116"/>
      <c r="O74" s="116"/>
      <c r="P74" s="116"/>
      <c r="Q74" s="116"/>
      <c r="R74" s="116"/>
      <c r="S74" s="116"/>
      <c r="T74" s="116"/>
      <c r="U74" s="116"/>
    </row>
  </sheetData>
  <sheetProtection algorithmName="SHA-512" hashValue="iW8xdUPxBkXZQkFsZuCIokH3QrvjhowVtO1gWlU69lF11lGM3y8DtR7GY3gkb0qz8IQd75P2GH+njUo9sieBmQ==" saltValue="yjjz/c3aH26p16KiA5W/Yg==" spinCount="100000" sheet="1" objects="1" scenarios="1"/>
  <conditionalFormatting sqref="A6:A21">
    <cfRule type="expression" dxfId="419" priority="9" stopIfTrue="1">
      <formula>MOD(ROW(),2)=0</formula>
    </cfRule>
    <cfRule type="expression" dxfId="418" priority="10" stopIfTrue="1">
      <formula>MOD(ROW(),2)&lt;&gt;0</formula>
    </cfRule>
  </conditionalFormatting>
  <conditionalFormatting sqref="A26:A74">
    <cfRule type="expression" dxfId="417" priority="11" stopIfTrue="1">
      <formula>MOD(ROW(),2)=0</formula>
    </cfRule>
    <cfRule type="expression" dxfId="416" priority="12" stopIfTrue="1">
      <formula>MOD(ROW(),2)&lt;&gt;0</formula>
    </cfRule>
  </conditionalFormatting>
  <conditionalFormatting sqref="B17:B21">
    <cfRule type="expression" dxfId="415" priority="1" stopIfTrue="1">
      <formula>MOD(ROW(),2)=0</formula>
    </cfRule>
    <cfRule type="expression" dxfId="414" priority="2" stopIfTrue="1">
      <formula>MOD(ROW(),2)&lt;&gt;0</formula>
    </cfRule>
  </conditionalFormatting>
  <conditionalFormatting sqref="B6:U21">
    <cfRule type="expression" dxfId="413" priority="17" stopIfTrue="1">
      <formula>MOD(ROW(),2)=0</formula>
    </cfRule>
    <cfRule type="expression" dxfId="412" priority="18" stopIfTrue="1">
      <formula>MOD(ROW(),2)&lt;&gt;0</formula>
    </cfRule>
  </conditionalFormatting>
  <conditionalFormatting sqref="B26:U74">
    <cfRule type="expression" dxfId="411" priority="13" stopIfTrue="1">
      <formula>MOD(ROW(),2)=0</formula>
    </cfRule>
    <cfRule type="expression" dxfId="410" priority="14" stopIfTrue="1">
      <formula>MOD(ROW(),2)&lt;&gt;0</formula>
    </cfRule>
  </conditionalFormatting>
  <hyperlinks>
    <hyperlink ref="B24" location="Assumptions!A1" display="Assumptions" xr:uid="{B1B1DCF7-9B1E-4A40-9B9C-2201C7BDC8F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F368-6D21-483D-87AD-62A66B99A1D0}">
  <sheetPr codeName="Sheet93"/>
  <dimension ref="A1:V157"/>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x-708</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74</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567</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1</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708</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568</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569</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261.7</v>
      </c>
      <c r="C27" s="116">
        <v>133.30000000000001</v>
      </c>
      <c r="D27" s="116">
        <v>90.5</v>
      </c>
      <c r="E27" s="116">
        <v>69.099999999999994</v>
      </c>
      <c r="F27" s="116">
        <v>56.3</v>
      </c>
      <c r="G27" s="116">
        <v>47.7</v>
      </c>
      <c r="H27" s="116">
        <v>41.7</v>
      </c>
      <c r="I27" s="116">
        <v>37.1</v>
      </c>
      <c r="J27" s="116">
        <v>33.6</v>
      </c>
      <c r="K27" s="116">
        <v>30.7</v>
      </c>
      <c r="L27" s="116">
        <v>28.4</v>
      </c>
      <c r="M27" s="116">
        <v>26.5</v>
      </c>
      <c r="N27" s="116">
        <v>24.9</v>
      </c>
      <c r="O27" s="116">
        <v>23.5</v>
      </c>
      <c r="P27" s="116">
        <v>22.3</v>
      </c>
      <c r="Q27" s="116">
        <v>21.3</v>
      </c>
      <c r="R27" s="116">
        <v>20.399999999999999</v>
      </c>
      <c r="S27" s="116">
        <v>19.5</v>
      </c>
      <c r="T27" s="116">
        <v>18.8</v>
      </c>
      <c r="U27" s="116">
        <v>18.2</v>
      </c>
    </row>
    <row r="28" spans="1:21" x14ac:dyDescent="0.25">
      <c r="A28" s="80">
        <v>17</v>
      </c>
      <c r="B28" s="116">
        <v>265.39999999999998</v>
      </c>
      <c r="C28" s="116">
        <v>135.1</v>
      </c>
      <c r="D28" s="116">
        <v>91.8</v>
      </c>
      <c r="E28" s="116">
        <v>70.099999999999994</v>
      </c>
      <c r="F28" s="116">
        <v>57.1</v>
      </c>
      <c r="G28" s="116">
        <v>48.4</v>
      </c>
      <c r="H28" s="116">
        <v>42.2</v>
      </c>
      <c r="I28" s="116">
        <v>37.6</v>
      </c>
      <c r="J28" s="116">
        <v>34</v>
      </c>
      <c r="K28" s="116">
        <v>31.2</v>
      </c>
      <c r="L28" s="116">
        <v>28.8</v>
      </c>
      <c r="M28" s="116">
        <v>26.9</v>
      </c>
      <c r="N28" s="116">
        <v>25.2</v>
      </c>
      <c r="O28" s="116">
        <v>23.8</v>
      </c>
      <c r="P28" s="116">
        <v>22.6</v>
      </c>
      <c r="Q28" s="116">
        <v>21.6</v>
      </c>
      <c r="R28" s="116">
        <v>20.6</v>
      </c>
      <c r="S28" s="116">
        <v>19.8</v>
      </c>
      <c r="T28" s="116">
        <v>19.100000000000001</v>
      </c>
      <c r="U28" s="116">
        <v>18.399999999999999</v>
      </c>
    </row>
    <row r="29" spans="1:21" x14ac:dyDescent="0.25">
      <c r="A29" s="80">
        <v>18</v>
      </c>
      <c r="B29" s="116">
        <v>269.10000000000002</v>
      </c>
      <c r="C29" s="116">
        <v>137</v>
      </c>
      <c r="D29" s="116">
        <v>93</v>
      </c>
      <c r="E29" s="116">
        <v>71.099999999999994</v>
      </c>
      <c r="F29" s="116">
        <v>57.9</v>
      </c>
      <c r="G29" s="116">
        <v>49.1</v>
      </c>
      <c r="H29" s="116">
        <v>42.8</v>
      </c>
      <c r="I29" s="116">
        <v>38.200000000000003</v>
      </c>
      <c r="J29" s="116">
        <v>34.5</v>
      </c>
      <c r="K29" s="116">
        <v>31.6</v>
      </c>
      <c r="L29" s="116">
        <v>29.2</v>
      </c>
      <c r="M29" s="116">
        <v>27.3</v>
      </c>
      <c r="N29" s="116">
        <v>25.6</v>
      </c>
      <c r="O29" s="116">
        <v>24.2</v>
      </c>
      <c r="P29" s="116">
        <v>23</v>
      </c>
      <c r="Q29" s="116">
        <v>21.9</v>
      </c>
      <c r="R29" s="116">
        <v>20.9</v>
      </c>
      <c r="S29" s="116">
        <v>20.100000000000001</v>
      </c>
      <c r="T29" s="116">
        <v>19.399999999999999</v>
      </c>
      <c r="U29" s="116">
        <v>18.7</v>
      </c>
    </row>
    <row r="30" spans="1:21" x14ac:dyDescent="0.25">
      <c r="A30" s="80">
        <v>19</v>
      </c>
      <c r="B30" s="116">
        <v>272.89999999999998</v>
      </c>
      <c r="C30" s="116">
        <v>139</v>
      </c>
      <c r="D30" s="116">
        <v>94.3</v>
      </c>
      <c r="E30" s="116">
        <v>72.099999999999994</v>
      </c>
      <c r="F30" s="116">
        <v>58.7</v>
      </c>
      <c r="G30" s="116">
        <v>49.8</v>
      </c>
      <c r="H30" s="116">
        <v>43.4</v>
      </c>
      <c r="I30" s="116">
        <v>38.700000000000003</v>
      </c>
      <c r="J30" s="116">
        <v>35</v>
      </c>
      <c r="K30" s="116">
        <v>32.1</v>
      </c>
      <c r="L30" s="116">
        <v>29.6</v>
      </c>
      <c r="M30" s="116">
        <v>27.6</v>
      </c>
      <c r="N30" s="116">
        <v>26</v>
      </c>
      <c r="O30" s="116">
        <v>24.5</v>
      </c>
      <c r="P30" s="116">
        <v>23.3</v>
      </c>
      <c r="Q30" s="116">
        <v>22.2</v>
      </c>
      <c r="R30" s="116">
        <v>21.2</v>
      </c>
      <c r="S30" s="116">
        <v>20.399999999999999</v>
      </c>
      <c r="T30" s="116">
        <v>19.600000000000001</v>
      </c>
      <c r="U30" s="116">
        <v>19</v>
      </c>
    </row>
    <row r="31" spans="1:21" x14ac:dyDescent="0.25">
      <c r="A31" s="80">
        <v>20</v>
      </c>
      <c r="B31" s="116">
        <v>276.7</v>
      </c>
      <c r="C31" s="116">
        <v>140.9</v>
      </c>
      <c r="D31" s="116">
        <v>95.7</v>
      </c>
      <c r="E31" s="116">
        <v>73.099999999999994</v>
      </c>
      <c r="F31" s="116">
        <v>59.5</v>
      </c>
      <c r="G31" s="116">
        <v>50.5</v>
      </c>
      <c r="H31" s="116">
        <v>44</v>
      </c>
      <c r="I31" s="116">
        <v>39.200000000000003</v>
      </c>
      <c r="J31" s="116">
        <v>35.5</v>
      </c>
      <c r="K31" s="116">
        <v>32.5</v>
      </c>
      <c r="L31" s="116">
        <v>30.1</v>
      </c>
      <c r="M31" s="116">
        <v>28</v>
      </c>
      <c r="N31" s="116">
        <v>26.3</v>
      </c>
      <c r="O31" s="116">
        <v>24.9</v>
      </c>
      <c r="P31" s="116">
        <v>23.6</v>
      </c>
      <c r="Q31" s="116">
        <v>22.5</v>
      </c>
      <c r="R31" s="116">
        <v>21.5</v>
      </c>
      <c r="S31" s="116">
        <v>20.7</v>
      </c>
      <c r="T31" s="116">
        <v>19.899999999999999</v>
      </c>
      <c r="U31" s="116">
        <v>19.2</v>
      </c>
    </row>
    <row r="32" spans="1:21" x14ac:dyDescent="0.25">
      <c r="A32" s="80">
        <v>21</v>
      </c>
      <c r="B32" s="116">
        <v>280.5</v>
      </c>
      <c r="C32" s="116">
        <v>142.9</v>
      </c>
      <c r="D32" s="116">
        <v>97</v>
      </c>
      <c r="E32" s="116">
        <v>74.099999999999994</v>
      </c>
      <c r="F32" s="116">
        <v>60.3</v>
      </c>
      <c r="G32" s="116">
        <v>51.2</v>
      </c>
      <c r="H32" s="116">
        <v>44.7</v>
      </c>
      <c r="I32" s="116">
        <v>39.799999999999997</v>
      </c>
      <c r="J32" s="116">
        <v>36</v>
      </c>
      <c r="K32" s="116">
        <v>33</v>
      </c>
      <c r="L32" s="116">
        <v>30.5</v>
      </c>
      <c r="M32" s="116">
        <v>28.4</v>
      </c>
      <c r="N32" s="116">
        <v>26.7</v>
      </c>
      <c r="O32" s="116">
        <v>25.2</v>
      </c>
      <c r="P32" s="116">
        <v>23.9</v>
      </c>
      <c r="Q32" s="116">
        <v>22.8</v>
      </c>
      <c r="R32" s="116">
        <v>21.8</v>
      </c>
      <c r="S32" s="116">
        <v>21</v>
      </c>
      <c r="T32" s="116">
        <v>20.2</v>
      </c>
      <c r="U32" s="116">
        <v>19.5</v>
      </c>
    </row>
    <row r="33" spans="1:21" x14ac:dyDescent="0.25">
      <c r="A33" s="80">
        <v>22</v>
      </c>
      <c r="B33" s="116">
        <v>284.39999999999998</v>
      </c>
      <c r="C33" s="116">
        <v>144.9</v>
      </c>
      <c r="D33" s="116">
        <v>98.3</v>
      </c>
      <c r="E33" s="116">
        <v>75.099999999999994</v>
      </c>
      <c r="F33" s="116">
        <v>61.2</v>
      </c>
      <c r="G33" s="116">
        <v>51.9</v>
      </c>
      <c r="H33" s="116">
        <v>45.3</v>
      </c>
      <c r="I33" s="116">
        <v>40.299999999999997</v>
      </c>
      <c r="J33" s="116">
        <v>36.5</v>
      </c>
      <c r="K33" s="116">
        <v>33.4</v>
      </c>
      <c r="L33" s="116">
        <v>30.9</v>
      </c>
      <c r="M33" s="116">
        <v>28.8</v>
      </c>
      <c r="N33" s="116">
        <v>27.1</v>
      </c>
      <c r="O33" s="116">
        <v>25.6</v>
      </c>
      <c r="P33" s="116">
        <v>24.3</v>
      </c>
      <c r="Q33" s="116">
        <v>23.1</v>
      </c>
      <c r="R33" s="116">
        <v>22.1</v>
      </c>
      <c r="S33" s="116">
        <v>21.3</v>
      </c>
      <c r="T33" s="116">
        <v>20.5</v>
      </c>
      <c r="U33" s="116">
        <v>19.8</v>
      </c>
    </row>
    <row r="34" spans="1:21" x14ac:dyDescent="0.25">
      <c r="A34" s="80">
        <v>23</v>
      </c>
      <c r="B34" s="116">
        <v>288.39999999999998</v>
      </c>
      <c r="C34" s="116">
        <v>146.9</v>
      </c>
      <c r="D34" s="116">
        <v>99.7</v>
      </c>
      <c r="E34" s="116">
        <v>76.099999999999994</v>
      </c>
      <c r="F34" s="116">
        <v>62</v>
      </c>
      <c r="G34" s="116">
        <v>52.6</v>
      </c>
      <c r="H34" s="116">
        <v>45.9</v>
      </c>
      <c r="I34" s="116">
        <v>40.9</v>
      </c>
      <c r="J34" s="116">
        <v>37</v>
      </c>
      <c r="K34" s="116">
        <v>33.9</v>
      </c>
      <c r="L34" s="116">
        <v>31.3</v>
      </c>
      <c r="M34" s="116">
        <v>29.2</v>
      </c>
      <c r="N34" s="116">
        <v>27.4</v>
      </c>
      <c r="O34" s="116">
        <v>25.9</v>
      </c>
      <c r="P34" s="116">
        <v>24.6</v>
      </c>
      <c r="Q34" s="116">
        <v>23.5</v>
      </c>
      <c r="R34" s="116">
        <v>22.5</v>
      </c>
      <c r="S34" s="116">
        <v>21.6</v>
      </c>
      <c r="T34" s="116">
        <v>20.8</v>
      </c>
      <c r="U34" s="116">
        <v>20.100000000000001</v>
      </c>
    </row>
    <row r="35" spans="1:21" x14ac:dyDescent="0.25">
      <c r="A35" s="80">
        <v>24</v>
      </c>
      <c r="B35" s="116">
        <v>292.39999999999998</v>
      </c>
      <c r="C35" s="116">
        <v>148.9</v>
      </c>
      <c r="D35" s="116">
        <v>101.1</v>
      </c>
      <c r="E35" s="116">
        <v>77.2</v>
      </c>
      <c r="F35" s="116">
        <v>62.9</v>
      </c>
      <c r="G35" s="116">
        <v>53.4</v>
      </c>
      <c r="H35" s="116">
        <v>46.6</v>
      </c>
      <c r="I35" s="116">
        <v>41.5</v>
      </c>
      <c r="J35" s="116">
        <v>37.5</v>
      </c>
      <c r="K35" s="116">
        <v>34.4</v>
      </c>
      <c r="L35" s="116">
        <v>31.8</v>
      </c>
      <c r="M35" s="116">
        <v>29.6</v>
      </c>
      <c r="N35" s="116">
        <v>27.8</v>
      </c>
      <c r="O35" s="116">
        <v>26.3</v>
      </c>
      <c r="P35" s="116">
        <v>25</v>
      </c>
      <c r="Q35" s="116">
        <v>23.8</v>
      </c>
      <c r="R35" s="116">
        <v>22.8</v>
      </c>
      <c r="S35" s="116">
        <v>21.9</v>
      </c>
      <c r="T35" s="116">
        <v>21.1</v>
      </c>
      <c r="U35" s="116">
        <v>20.3</v>
      </c>
    </row>
    <row r="36" spans="1:21" x14ac:dyDescent="0.25">
      <c r="A36" s="80">
        <v>25</v>
      </c>
      <c r="B36" s="116">
        <v>296.39999999999998</v>
      </c>
      <c r="C36" s="116">
        <v>151</v>
      </c>
      <c r="D36" s="116">
        <v>102.5</v>
      </c>
      <c r="E36" s="116">
        <v>78.3</v>
      </c>
      <c r="F36" s="116">
        <v>63.8</v>
      </c>
      <c r="G36" s="116">
        <v>54.1</v>
      </c>
      <c r="H36" s="116">
        <v>47.2</v>
      </c>
      <c r="I36" s="116">
        <v>42</v>
      </c>
      <c r="J36" s="116">
        <v>38</v>
      </c>
      <c r="K36" s="116">
        <v>34.799999999999997</v>
      </c>
      <c r="L36" s="116">
        <v>32.200000000000003</v>
      </c>
      <c r="M36" s="116">
        <v>30</v>
      </c>
      <c r="N36" s="116">
        <v>28.2</v>
      </c>
      <c r="O36" s="116">
        <v>26.7</v>
      </c>
      <c r="P36" s="116">
        <v>25.3</v>
      </c>
      <c r="Q36" s="116">
        <v>24.1</v>
      </c>
      <c r="R36" s="116">
        <v>23.1</v>
      </c>
      <c r="S36" s="116">
        <v>22.2</v>
      </c>
      <c r="T36" s="116">
        <v>21.4</v>
      </c>
      <c r="U36" s="116">
        <v>20.6</v>
      </c>
    </row>
    <row r="37" spans="1:21" x14ac:dyDescent="0.25">
      <c r="A37" s="80">
        <v>26</v>
      </c>
      <c r="B37" s="116">
        <v>300.5</v>
      </c>
      <c r="C37" s="116">
        <v>153.1</v>
      </c>
      <c r="D37" s="116">
        <v>103.9</v>
      </c>
      <c r="E37" s="116">
        <v>79.400000000000006</v>
      </c>
      <c r="F37" s="116">
        <v>64.599999999999994</v>
      </c>
      <c r="G37" s="116">
        <v>54.8</v>
      </c>
      <c r="H37" s="116">
        <v>47.9</v>
      </c>
      <c r="I37" s="116">
        <v>42.6</v>
      </c>
      <c r="J37" s="116">
        <v>38.6</v>
      </c>
      <c r="K37" s="116">
        <v>35.299999999999997</v>
      </c>
      <c r="L37" s="116">
        <v>32.700000000000003</v>
      </c>
      <c r="M37" s="116">
        <v>30.5</v>
      </c>
      <c r="N37" s="116">
        <v>28.6</v>
      </c>
      <c r="O37" s="116">
        <v>27</v>
      </c>
      <c r="P37" s="116">
        <v>25.7</v>
      </c>
      <c r="Q37" s="116">
        <v>24.5</v>
      </c>
      <c r="R37" s="116">
        <v>23.4</v>
      </c>
      <c r="S37" s="116">
        <v>22.5</v>
      </c>
      <c r="T37" s="116">
        <v>21.7</v>
      </c>
      <c r="U37" s="116">
        <v>20.9</v>
      </c>
    </row>
    <row r="38" spans="1:21" x14ac:dyDescent="0.25">
      <c r="A38" s="80">
        <v>27</v>
      </c>
      <c r="B38" s="116">
        <v>304.7</v>
      </c>
      <c r="C38" s="116">
        <v>155.19999999999999</v>
      </c>
      <c r="D38" s="116">
        <v>105.4</v>
      </c>
      <c r="E38" s="116">
        <v>80.5</v>
      </c>
      <c r="F38" s="116">
        <v>65.5</v>
      </c>
      <c r="G38" s="116">
        <v>55.6</v>
      </c>
      <c r="H38" s="116">
        <v>48.5</v>
      </c>
      <c r="I38" s="116">
        <v>43.2</v>
      </c>
      <c r="J38" s="116">
        <v>39.1</v>
      </c>
      <c r="K38" s="116">
        <v>35.799999999999997</v>
      </c>
      <c r="L38" s="116">
        <v>33.1</v>
      </c>
      <c r="M38" s="116">
        <v>30.9</v>
      </c>
      <c r="N38" s="116">
        <v>29</v>
      </c>
      <c r="O38" s="116">
        <v>27.4</v>
      </c>
      <c r="P38" s="116">
        <v>26</v>
      </c>
      <c r="Q38" s="116">
        <v>24.8</v>
      </c>
      <c r="R38" s="116">
        <v>23.8</v>
      </c>
      <c r="S38" s="116">
        <v>22.8</v>
      </c>
      <c r="T38" s="116">
        <v>22</v>
      </c>
      <c r="U38" s="116">
        <v>21.2</v>
      </c>
    </row>
    <row r="39" spans="1:21" x14ac:dyDescent="0.25">
      <c r="A39" s="80">
        <v>28</v>
      </c>
      <c r="B39" s="116">
        <v>308.89999999999998</v>
      </c>
      <c r="C39" s="116">
        <v>157.30000000000001</v>
      </c>
      <c r="D39" s="116">
        <v>106.8</v>
      </c>
      <c r="E39" s="116">
        <v>81.599999999999994</v>
      </c>
      <c r="F39" s="116">
        <v>66.400000000000006</v>
      </c>
      <c r="G39" s="116">
        <v>56.4</v>
      </c>
      <c r="H39" s="116">
        <v>49.2</v>
      </c>
      <c r="I39" s="116">
        <v>43.8</v>
      </c>
      <c r="J39" s="116">
        <v>39.6</v>
      </c>
      <c r="K39" s="116">
        <v>36.299999999999997</v>
      </c>
      <c r="L39" s="116">
        <v>33.6</v>
      </c>
      <c r="M39" s="116">
        <v>31.3</v>
      </c>
      <c r="N39" s="116">
        <v>29.4</v>
      </c>
      <c r="O39" s="116">
        <v>27.8</v>
      </c>
      <c r="P39" s="116">
        <v>26.4</v>
      </c>
      <c r="Q39" s="116">
        <v>25.2</v>
      </c>
      <c r="R39" s="116">
        <v>24.1</v>
      </c>
      <c r="S39" s="116">
        <v>23.1</v>
      </c>
      <c r="T39" s="116">
        <v>22.3</v>
      </c>
      <c r="U39" s="116">
        <v>21.5</v>
      </c>
    </row>
    <row r="40" spans="1:21" x14ac:dyDescent="0.25">
      <c r="A40" s="80">
        <v>29</v>
      </c>
      <c r="B40" s="116">
        <v>313.2</v>
      </c>
      <c r="C40" s="116">
        <v>159.5</v>
      </c>
      <c r="D40" s="116">
        <v>108.3</v>
      </c>
      <c r="E40" s="116">
        <v>82.7</v>
      </c>
      <c r="F40" s="116">
        <v>67.400000000000006</v>
      </c>
      <c r="G40" s="116">
        <v>57.2</v>
      </c>
      <c r="H40" s="116">
        <v>49.9</v>
      </c>
      <c r="I40" s="116">
        <v>44.4</v>
      </c>
      <c r="J40" s="116">
        <v>40.200000000000003</v>
      </c>
      <c r="K40" s="116">
        <v>36.799999999999997</v>
      </c>
      <c r="L40" s="116">
        <v>34.1</v>
      </c>
      <c r="M40" s="116">
        <v>31.8</v>
      </c>
      <c r="N40" s="116">
        <v>29.8</v>
      </c>
      <c r="O40" s="116">
        <v>28.2</v>
      </c>
      <c r="P40" s="116">
        <v>26.8</v>
      </c>
      <c r="Q40" s="116">
        <v>25.5</v>
      </c>
      <c r="R40" s="116">
        <v>24.4</v>
      </c>
      <c r="S40" s="116">
        <v>23.5</v>
      </c>
      <c r="T40" s="116">
        <v>22.6</v>
      </c>
      <c r="U40" s="116">
        <v>21.8</v>
      </c>
    </row>
    <row r="41" spans="1:21" x14ac:dyDescent="0.25">
      <c r="A41" s="80">
        <v>30</v>
      </c>
      <c r="B41" s="116">
        <v>317.5</v>
      </c>
      <c r="C41" s="116">
        <v>161.69999999999999</v>
      </c>
      <c r="D41" s="116">
        <v>109.8</v>
      </c>
      <c r="E41" s="116">
        <v>83.9</v>
      </c>
      <c r="F41" s="116">
        <v>68.3</v>
      </c>
      <c r="G41" s="116">
        <v>58</v>
      </c>
      <c r="H41" s="116">
        <v>50.6</v>
      </c>
      <c r="I41" s="116">
        <v>45</v>
      </c>
      <c r="J41" s="116">
        <v>40.799999999999997</v>
      </c>
      <c r="K41" s="116">
        <v>37.299999999999997</v>
      </c>
      <c r="L41" s="116">
        <v>34.5</v>
      </c>
      <c r="M41" s="116">
        <v>32.200000000000003</v>
      </c>
      <c r="N41" s="116">
        <v>30.3</v>
      </c>
      <c r="O41" s="116">
        <v>28.6</v>
      </c>
      <c r="P41" s="116">
        <v>27.1</v>
      </c>
      <c r="Q41" s="116">
        <v>25.9</v>
      </c>
      <c r="R41" s="116">
        <v>24.8</v>
      </c>
      <c r="S41" s="116">
        <v>23.8</v>
      </c>
      <c r="T41" s="116">
        <v>22.9</v>
      </c>
      <c r="U41" s="116">
        <v>22.1</v>
      </c>
    </row>
    <row r="42" spans="1:21" x14ac:dyDescent="0.25">
      <c r="A42" s="80">
        <v>31</v>
      </c>
      <c r="B42" s="116">
        <v>321.89999999999998</v>
      </c>
      <c r="C42" s="116">
        <v>163.9</v>
      </c>
      <c r="D42" s="116">
        <v>111.3</v>
      </c>
      <c r="E42" s="116">
        <v>85</v>
      </c>
      <c r="F42" s="116">
        <v>69.3</v>
      </c>
      <c r="G42" s="116">
        <v>58.8</v>
      </c>
      <c r="H42" s="116">
        <v>51.3</v>
      </c>
      <c r="I42" s="116">
        <v>45.7</v>
      </c>
      <c r="J42" s="116">
        <v>41.3</v>
      </c>
      <c r="K42" s="116">
        <v>37.9</v>
      </c>
      <c r="L42" s="116">
        <v>35</v>
      </c>
      <c r="M42" s="116">
        <v>32.700000000000003</v>
      </c>
      <c r="N42" s="116">
        <v>30.7</v>
      </c>
      <c r="O42" s="116">
        <v>29</v>
      </c>
      <c r="P42" s="116">
        <v>27.5</v>
      </c>
      <c r="Q42" s="116">
        <v>26.3</v>
      </c>
      <c r="R42" s="116">
        <v>25.1</v>
      </c>
      <c r="S42" s="116">
        <v>24.1</v>
      </c>
      <c r="T42" s="116">
        <v>23.3</v>
      </c>
      <c r="U42" s="116">
        <v>22.5</v>
      </c>
    </row>
    <row r="43" spans="1:21" x14ac:dyDescent="0.25">
      <c r="A43" s="80">
        <v>32</v>
      </c>
      <c r="B43" s="116">
        <v>326.3</v>
      </c>
      <c r="C43" s="116">
        <v>166.2</v>
      </c>
      <c r="D43" s="116">
        <v>112.9</v>
      </c>
      <c r="E43" s="116">
        <v>86.2</v>
      </c>
      <c r="F43" s="116">
        <v>70.2</v>
      </c>
      <c r="G43" s="116">
        <v>59.6</v>
      </c>
      <c r="H43" s="116">
        <v>52</v>
      </c>
      <c r="I43" s="116">
        <v>46.3</v>
      </c>
      <c r="J43" s="116">
        <v>41.9</v>
      </c>
      <c r="K43" s="116">
        <v>38.4</v>
      </c>
      <c r="L43" s="116">
        <v>35.5</v>
      </c>
      <c r="M43" s="116">
        <v>33.1</v>
      </c>
      <c r="N43" s="116">
        <v>31.1</v>
      </c>
      <c r="O43" s="116">
        <v>29.4</v>
      </c>
      <c r="P43" s="116">
        <v>27.9</v>
      </c>
      <c r="Q43" s="116">
        <v>26.6</v>
      </c>
      <c r="R43" s="116">
        <v>25.5</v>
      </c>
      <c r="S43" s="116">
        <v>24.5</v>
      </c>
      <c r="T43" s="116">
        <v>23.6</v>
      </c>
      <c r="U43" s="116">
        <v>22.8</v>
      </c>
    </row>
    <row r="44" spans="1:21" x14ac:dyDescent="0.25">
      <c r="A44" s="80">
        <v>33</v>
      </c>
      <c r="B44" s="116">
        <v>330.8</v>
      </c>
      <c r="C44" s="116">
        <v>168.5</v>
      </c>
      <c r="D44" s="116">
        <v>114.4</v>
      </c>
      <c r="E44" s="116">
        <v>87.4</v>
      </c>
      <c r="F44" s="116">
        <v>71.2</v>
      </c>
      <c r="G44" s="116">
        <v>60.4</v>
      </c>
      <c r="H44" s="116">
        <v>52.7</v>
      </c>
      <c r="I44" s="116">
        <v>47</v>
      </c>
      <c r="J44" s="116">
        <v>42.5</v>
      </c>
      <c r="K44" s="116">
        <v>38.9</v>
      </c>
      <c r="L44" s="116">
        <v>36</v>
      </c>
      <c r="M44" s="116">
        <v>33.6</v>
      </c>
      <c r="N44" s="116">
        <v>31.6</v>
      </c>
      <c r="O44" s="116">
        <v>29.8</v>
      </c>
      <c r="P44" s="116">
        <v>28.3</v>
      </c>
      <c r="Q44" s="116">
        <v>27</v>
      </c>
      <c r="R44" s="116">
        <v>25.9</v>
      </c>
      <c r="S44" s="116">
        <v>24.8</v>
      </c>
      <c r="T44" s="116">
        <v>23.9</v>
      </c>
      <c r="U44" s="116">
        <v>23.1</v>
      </c>
    </row>
    <row r="45" spans="1:21" x14ac:dyDescent="0.25">
      <c r="A45" s="80">
        <v>34</v>
      </c>
      <c r="B45" s="116">
        <v>335.4</v>
      </c>
      <c r="C45" s="116">
        <v>170.8</v>
      </c>
      <c r="D45" s="116">
        <v>116</v>
      </c>
      <c r="E45" s="116">
        <v>88.6</v>
      </c>
      <c r="F45" s="116">
        <v>72.2</v>
      </c>
      <c r="G45" s="116">
        <v>61.3</v>
      </c>
      <c r="H45" s="116">
        <v>53.5</v>
      </c>
      <c r="I45" s="116">
        <v>47.6</v>
      </c>
      <c r="J45" s="116">
        <v>43.1</v>
      </c>
      <c r="K45" s="116">
        <v>39.5</v>
      </c>
      <c r="L45" s="116">
        <v>36.5</v>
      </c>
      <c r="M45" s="116">
        <v>34.1</v>
      </c>
      <c r="N45" s="116">
        <v>32</v>
      </c>
      <c r="O45" s="116">
        <v>30.2</v>
      </c>
      <c r="P45" s="116">
        <v>28.7</v>
      </c>
      <c r="Q45" s="116">
        <v>27.4</v>
      </c>
      <c r="R45" s="116">
        <v>26.2</v>
      </c>
      <c r="S45" s="116">
        <v>25.2</v>
      </c>
      <c r="T45" s="116">
        <v>24.3</v>
      </c>
      <c r="U45" s="116">
        <v>23.5</v>
      </c>
    </row>
    <row r="46" spans="1:21" x14ac:dyDescent="0.25">
      <c r="A46" s="80">
        <v>35</v>
      </c>
      <c r="B46" s="116">
        <v>340</v>
      </c>
      <c r="C46" s="116">
        <v>173.2</v>
      </c>
      <c r="D46" s="116">
        <v>117.6</v>
      </c>
      <c r="E46" s="116">
        <v>89.8</v>
      </c>
      <c r="F46" s="116">
        <v>73.2</v>
      </c>
      <c r="G46" s="116">
        <v>62.1</v>
      </c>
      <c r="H46" s="116">
        <v>54.2</v>
      </c>
      <c r="I46" s="116">
        <v>48.3</v>
      </c>
      <c r="J46" s="116">
        <v>43.7</v>
      </c>
      <c r="K46" s="116">
        <v>40</v>
      </c>
      <c r="L46" s="116">
        <v>37</v>
      </c>
      <c r="M46" s="116">
        <v>34.6</v>
      </c>
      <c r="N46" s="116">
        <v>32.5</v>
      </c>
      <c r="O46" s="116">
        <v>30.7</v>
      </c>
      <c r="P46" s="116">
        <v>29.1</v>
      </c>
      <c r="Q46" s="116">
        <v>27.8</v>
      </c>
      <c r="R46" s="116">
        <v>26.6</v>
      </c>
      <c r="S46" s="116">
        <v>25.6</v>
      </c>
      <c r="T46" s="116">
        <v>24.6</v>
      </c>
      <c r="U46" s="116">
        <v>23.8</v>
      </c>
    </row>
    <row r="47" spans="1:21" x14ac:dyDescent="0.25">
      <c r="A47" s="80">
        <v>36</v>
      </c>
      <c r="B47" s="116">
        <v>344.7</v>
      </c>
      <c r="C47" s="116">
        <v>175.6</v>
      </c>
      <c r="D47" s="116">
        <v>119.2</v>
      </c>
      <c r="E47" s="116">
        <v>91.1</v>
      </c>
      <c r="F47" s="116">
        <v>74.2</v>
      </c>
      <c r="G47" s="116">
        <v>63</v>
      </c>
      <c r="H47" s="116">
        <v>55</v>
      </c>
      <c r="I47" s="116">
        <v>49</v>
      </c>
      <c r="J47" s="116">
        <v>44.3</v>
      </c>
      <c r="K47" s="116">
        <v>40.6</v>
      </c>
      <c r="L47" s="116">
        <v>37.6</v>
      </c>
      <c r="M47" s="116">
        <v>35.1</v>
      </c>
      <c r="N47" s="116">
        <v>32.9</v>
      </c>
      <c r="O47" s="116">
        <v>31.1</v>
      </c>
      <c r="P47" s="116">
        <v>29.6</v>
      </c>
      <c r="Q47" s="116">
        <v>28.2</v>
      </c>
      <c r="R47" s="116">
        <v>27</v>
      </c>
      <c r="S47" s="116">
        <v>25.9</v>
      </c>
      <c r="T47" s="116">
        <v>25</v>
      </c>
      <c r="U47" s="116">
        <v>24.2</v>
      </c>
    </row>
    <row r="48" spans="1:21" x14ac:dyDescent="0.25">
      <c r="A48" s="80">
        <v>37</v>
      </c>
      <c r="B48" s="116">
        <v>349.4</v>
      </c>
      <c r="C48" s="116">
        <v>178</v>
      </c>
      <c r="D48" s="116">
        <v>120.9</v>
      </c>
      <c r="E48" s="116">
        <v>92.3</v>
      </c>
      <c r="F48" s="116">
        <v>75.2</v>
      </c>
      <c r="G48" s="116">
        <v>63.9</v>
      </c>
      <c r="H48" s="116">
        <v>55.7</v>
      </c>
      <c r="I48" s="116">
        <v>49.7</v>
      </c>
      <c r="J48" s="116">
        <v>44.9</v>
      </c>
      <c r="K48" s="116">
        <v>41.2</v>
      </c>
      <c r="L48" s="116">
        <v>38.1</v>
      </c>
      <c r="M48" s="116">
        <v>35.6</v>
      </c>
      <c r="N48" s="116">
        <v>33.4</v>
      </c>
      <c r="O48" s="116">
        <v>31.6</v>
      </c>
      <c r="P48" s="116">
        <v>30</v>
      </c>
      <c r="Q48" s="116">
        <v>28.6</v>
      </c>
      <c r="R48" s="116">
        <v>27.4</v>
      </c>
      <c r="S48" s="116">
        <v>26.3</v>
      </c>
      <c r="T48" s="116">
        <v>25.4</v>
      </c>
      <c r="U48" s="116">
        <v>24.5</v>
      </c>
    </row>
    <row r="49" spans="1:21" x14ac:dyDescent="0.25">
      <c r="A49" s="80">
        <v>38</v>
      </c>
      <c r="B49" s="116">
        <v>354.3</v>
      </c>
      <c r="C49" s="116">
        <v>180.5</v>
      </c>
      <c r="D49" s="116">
        <v>122.6</v>
      </c>
      <c r="E49" s="116">
        <v>93.6</v>
      </c>
      <c r="F49" s="116">
        <v>76.3</v>
      </c>
      <c r="G49" s="116">
        <v>64.7</v>
      </c>
      <c r="H49" s="116">
        <v>56.5</v>
      </c>
      <c r="I49" s="116">
        <v>50.4</v>
      </c>
      <c r="J49" s="116">
        <v>45.6</v>
      </c>
      <c r="K49" s="116">
        <v>41.8</v>
      </c>
      <c r="L49" s="116">
        <v>38.6</v>
      </c>
      <c r="M49" s="116">
        <v>36.1</v>
      </c>
      <c r="N49" s="116">
        <v>33.9</v>
      </c>
      <c r="O49" s="116">
        <v>32</v>
      </c>
      <c r="P49" s="116">
        <v>30.4</v>
      </c>
      <c r="Q49" s="116">
        <v>29</v>
      </c>
      <c r="R49" s="116">
        <v>27.8</v>
      </c>
      <c r="S49" s="116">
        <v>26.7</v>
      </c>
      <c r="T49" s="116">
        <v>25.8</v>
      </c>
      <c r="U49" s="116">
        <v>24.9</v>
      </c>
    </row>
    <row r="50" spans="1:21" x14ac:dyDescent="0.25">
      <c r="A50" s="80">
        <v>39</v>
      </c>
      <c r="B50" s="116">
        <v>359.2</v>
      </c>
      <c r="C50" s="116">
        <v>183</v>
      </c>
      <c r="D50" s="116">
        <v>124.3</v>
      </c>
      <c r="E50" s="116">
        <v>94.9</v>
      </c>
      <c r="F50" s="116">
        <v>77.400000000000006</v>
      </c>
      <c r="G50" s="116">
        <v>65.7</v>
      </c>
      <c r="H50" s="116">
        <v>57.3</v>
      </c>
      <c r="I50" s="116">
        <v>51.1</v>
      </c>
      <c r="J50" s="116">
        <v>46.2</v>
      </c>
      <c r="K50" s="116">
        <v>42.4</v>
      </c>
      <c r="L50" s="116">
        <v>39.200000000000003</v>
      </c>
      <c r="M50" s="116">
        <v>36.6</v>
      </c>
      <c r="N50" s="116">
        <v>34.4</v>
      </c>
      <c r="O50" s="116">
        <v>32.5</v>
      </c>
      <c r="P50" s="116">
        <v>30.9</v>
      </c>
      <c r="Q50" s="116">
        <v>29.5</v>
      </c>
      <c r="R50" s="116">
        <v>28.2</v>
      </c>
      <c r="S50" s="116">
        <v>27.1</v>
      </c>
      <c r="T50" s="116">
        <v>26.1</v>
      </c>
      <c r="U50" s="116">
        <v>25.3</v>
      </c>
    </row>
    <row r="51" spans="1:21" x14ac:dyDescent="0.25">
      <c r="A51" s="80">
        <v>40</v>
      </c>
      <c r="B51" s="116">
        <v>364.1</v>
      </c>
      <c r="C51" s="116">
        <v>185.5</v>
      </c>
      <c r="D51" s="116">
        <v>126</v>
      </c>
      <c r="E51" s="116">
        <v>96.3</v>
      </c>
      <c r="F51" s="116">
        <v>78.5</v>
      </c>
      <c r="G51" s="116">
        <v>66.599999999999994</v>
      </c>
      <c r="H51" s="116">
        <v>58.1</v>
      </c>
      <c r="I51" s="116">
        <v>51.8</v>
      </c>
      <c r="J51" s="116">
        <v>46.9</v>
      </c>
      <c r="K51" s="116">
        <v>43</v>
      </c>
      <c r="L51" s="116">
        <v>39.799999999999997</v>
      </c>
      <c r="M51" s="116">
        <v>37.1</v>
      </c>
      <c r="N51" s="116">
        <v>34.9</v>
      </c>
      <c r="O51" s="116">
        <v>33</v>
      </c>
      <c r="P51" s="116">
        <v>31.3</v>
      </c>
      <c r="Q51" s="116">
        <v>29.9</v>
      </c>
      <c r="R51" s="116">
        <v>28.6</v>
      </c>
      <c r="S51" s="116">
        <v>27.5</v>
      </c>
      <c r="T51" s="116">
        <v>26.6</v>
      </c>
      <c r="U51" s="116"/>
    </row>
    <row r="52" spans="1:21" x14ac:dyDescent="0.25">
      <c r="A52" s="80">
        <v>41</v>
      </c>
      <c r="B52" s="116">
        <v>369.2</v>
      </c>
      <c r="C52" s="116">
        <v>188.1</v>
      </c>
      <c r="D52" s="116">
        <v>127.8</v>
      </c>
      <c r="E52" s="116">
        <v>97.6</v>
      </c>
      <c r="F52" s="116">
        <v>79.599999999999994</v>
      </c>
      <c r="G52" s="116">
        <v>67.5</v>
      </c>
      <c r="H52" s="116">
        <v>59</v>
      </c>
      <c r="I52" s="116">
        <v>52.5</v>
      </c>
      <c r="J52" s="116">
        <v>47.6</v>
      </c>
      <c r="K52" s="116">
        <v>43.6</v>
      </c>
      <c r="L52" s="116">
        <v>40.299999999999997</v>
      </c>
      <c r="M52" s="116">
        <v>37.700000000000003</v>
      </c>
      <c r="N52" s="116">
        <v>35.4</v>
      </c>
      <c r="O52" s="116">
        <v>33.5</v>
      </c>
      <c r="P52" s="116">
        <v>31.8</v>
      </c>
      <c r="Q52" s="116">
        <v>30.3</v>
      </c>
      <c r="R52" s="116">
        <v>29.1</v>
      </c>
      <c r="S52" s="116">
        <v>28</v>
      </c>
      <c r="T52" s="116"/>
      <c r="U52" s="116"/>
    </row>
    <row r="53" spans="1:21" x14ac:dyDescent="0.25">
      <c r="A53" s="80">
        <v>42</v>
      </c>
      <c r="B53" s="116">
        <v>374.3</v>
      </c>
      <c r="C53" s="116">
        <v>190.7</v>
      </c>
      <c r="D53" s="116">
        <v>129.6</v>
      </c>
      <c r="E53" s="116">
        <v>99</v>
      </c>
      <c r="F53" s="116">
        <v>80.7</v>
      </c>
      <c r="G53" s="116">
        <v>68.5</v>
      </c>
      <c r="H53" s="116">
        <v>59.8</v>
      </c>
      <c r="I53" s="116">
        <v>53.3</v>
      </c>
      <c r="J53" s="116">
        <v>48.2</v>
      </c>
      <c r="K53" s="116">
        <v>44.2</v>
      </c>
      <c r="L53" s="116">
        <v>40.9</v>
      </c>
      <c r="M53" s="116">
        <v>38.200000000000003</v>
      </c>
      <c r="N53" s="116">
        <v>35.9</v>
      </c>
      <c r="O53" s="116">
        <v>34</v>
      </c>
      <c r="P53" s="116">
        <v>32.299999999999997</v>
      </c>
      <c r="Q53" s="116">
        <v>30.8</v>
      </c>
      <c r="R53" s="116">
        <v>29.5</v>
      </c>
      <c r="S53" s="116"/>
      <c r="T53" s="116"/>
      <c r="U53" s="116"/>
    </row>
    <row r="54" spans="1:21" x14ac:dyDescent="0.25">
      <c r="A54" s="80">
        <v>43</v>
      </c>
      <c r="B54" s="116">
        <v>379.6</v>
      </c>
      <c r="C54" s="116">
        <v>193.4</v>
      </c>
      <c r="D54" s="116">
        <v>131.4</v>
      </c>
      <c r="E54" s="116">
        <v>100.4</v>
      </c>
      <c r="F54" s="116">
        <v>81.8</v>
      </c>
      <c r="G54" s="116">
        <v>69.5</v>
      </c>
      <c r="H54" s="116">
        <v>60.7</v>
      </c>
      <c r="I54" s="116">
        <v>54.1</v>
      </c>
      <c r="J54" s="116">
        <v>48.9</v>
      </c>
      <c r="K54" s="116">
        <v>44.9</v>
      </c>
      <c r="L54" s="116">
        <v>41.5</v>
      </c>
      <c r="M54" s="116">
        <v>38.799999999999997</v>
      </c>
      <c r="N54" s="116">
        <v>36.5</v>
      </c>
      <c r="O54" s="116">
        <v>34.5</v>
      </c>
      <c r="P54" s="116">
        <v>32.799999999999997</v>
      </c>
      <c r="Q54" s="116">
        <v>31.3</v>
      </c>
      <c r="R54" s="116"/>
      <c r="S54" s="116"/>
      <c r="T54" s="116"/>
      <c r="U54" s="116"/>
    </row>
    <row r="55" spans="1:21" x14ac:dyDescent="0.25">
      <c r="A55" s="80">
        <v>44</v>
      </c>
      <c r="B55" s="116">
        <v>384.9</v>
      </c>
      <c r="C55" s="116">
        <v>196.1</v>
      </c>
      <c r="D55" s="116">
        <v>133.19999999999999</v>
      </c>
      <c r="E55" s="116">
        <v>101.8</v>
      </c>
      <c r="F55" s="116">
        <v>83</v>
      </c>
      <c r="G55" s="116">
        <v>70.5</v>
      </c>
      <c r="H55" s="116">
        <v>61.5</v>
      </c>
      <c r="I55" s="116">
        <v>54.8</v>
      </c>
      <c r="J55" s="116">
        <v>49.7</v>
      </c>
      <c r="K55" s="116">
        <v>45.5</v>
      </c>
      <c r="L55" s="116">
        <v>42.2</v>
      </c>
      <c r="M55" s="116">
        <v>39.4</v>
      </c>
      <c r="N55" s="116">
        <v>37</v>
      </c>
      <c r="O55" s="116">
        <v>35</v>
      </c>
      <c r="P55" s="116">
        <v>33.299999999999997</v>
      </c>
      <c r="Q55" s="116"/>
      <c r="R55" s="116"/>
      <c r="S55" s="116"/>
      <c r="T55" s="116"/>
      <c r="U55" s="116"/>
    </row>
    <row r="56" spans="1:21" x14ac:dyDescent="0.25">
      <c r="A56" s="80">
        <v>45</v>
      </c>
      <c r="B56" s="116">
        <v>390.3</v>
      </c>
      <c r="C56" s="116">
        <v>198.9</v>
      </c>
      <c r="D56" s="116">
        <v>135.1</v>
      </c>
      <c r="E56" s="116">
        <v>103.3</v>
      </c>
      <c r="F56" s="116">
        <v>84.2</v>
      </c>
      <c r="G56" s="116">
        <v>71.5</v>
      </c>
      <c r="H56" s="116">
        <v>62.4</v>
      </c>
      <c r="I56" s="116">
        <v>55.6</v>
      </c>
      <c r="J56" s="116">
        <v>50.4</v>
      </c>
      <c r="K56" s="116">
        <v>46.2</v>
      </c>
      <c r="L56" s="116">
        <v>42.8</v>
      </c>
      <c r="M56" s="116">
        <v>40</v>
      </c>
      <c r="N56" s="116">
        <v>37.6</v>
      </c>
      <c r="O56" s="116">
        <v>35.6</v>
      </c>
      <c r="P56" s="116"/>
      <c r="Q56" s="116"/>
      <c r="R56" s="116"/>
      <c r="S56" s="116"/>
      <c r="T56" s="116"/>
      <c r="U56" s="116"/>
    </row>
    <row r="57" spans="1:21" x14ac:dyDescent="0.25">
      <c r="A57" s="80">
        <v>46</v>
      </c>
      <c r="B57" s="116">
        <v>395.8</v>
      </c>
      <c r="C57" s="116">
        <v>201.7</v>
      </c>
      <c r="D57" s="116">
        <v>137</v>
      </c>
      <c r="E57" s="116">
        <v>104.7</v>
      </c>
      <c r="F57" s="116">
        <v>85.4</v>
      </c>
      <c r="G57" s="116">
        <v>72.5</v>
      </c>
      <c r="H57" s="116">
        <v>63.3</v>
      </c>
      <c r="I57" s="116">
        <v>56.5</v>
      </c>
      <c r="J57" s="116">
        <v>51.2</v>
      </c>
      <c r="K57" s="116">
        <v>46.9</v>
      </c>
      <c r="L57" s="116">
        <v>43.5</v>
      </c>
      <c r="M57" s="116">
        <v>40.6</v>
      </c>
      <c r="N57" s="116">
        <v>38.200000000000003</v>
      </c>
      <c r="O57" s="116"/>
      <c r="P57" s="116"/>
      <c r="Q57" s="116"/>
      <c r="R57" s="116"/>
      <c r="S57" s="116"/>
      <c r="T57" s="116"/>
      <c r="U57" s="116"/>
    </row>
    <row r="58" spans="1:21" x14ac:dyDescent="0.25">
      <c r="A58" s="80">
        <v>47</v>
      </c>
      <c r="B58" s="116">
        <v>401.4</v>
      </c>
      <c r="C58" s="116">
        <v>204.6</v>
      </c>
      <c r="D58" s="116">
        <v>139</v>
      </c>
      <c r="E58" s="116">
        <v>106.2</v>
      </c>
      <c r="F58" s="116">
        <v>86.6</v>
      </c>
      <c r="G58" s="116">
        <v>73.599999999999994</v>
      </c>
      <c r="H58" s="116">
        <v>64.3</v>
      </c>
      <c r="I58" s="116">
        <v>57.3</v>
      </c>
      <c r="J58" s="116">
        <v>51.9</v>
      </c>
      <c r="K58" s="116">
        <v>47.6</v>
      </c>
      <c r="L58" s="116">
        <v>44.2</v>
      </c>
      <c r="M58" s="116">
        <v>41.3</v>
      </c>
      <c r="N58" s="116"/>
      <c r="O58" s="116"/>
      <c r="P58" s="116"/>
      <c r="Q58" s="116"/>
      <c r="R58" s="116"/>
      <c r="S58" s="116"/>
      <c r="T58" s="116"/>
      <c r="U58" s="116"/>
    </row>
    <row r="59" spans="1:21" x14ac:dyDescent="0.25">
      <c r="A59" s="80">
        <v>48</v>
      </c>
      <c r="B59" s="116">
        <v>407.1</v>
      </c>
      <c r="C59" s="116">
        <v>207.5</v>
      </c>
      <c r="D59" s="116">
        <v>141</v>
      </c>
      <c r="E59" s="116">
        <v>107.8</v>
      </c>
      <c r="F59" s="116">
        <v>87.9</v>
      </c>
      <c r="G59" s="116">
        <v>74.7</v>
      </c>
      <c r="H59" s="116">
        <v>65.3</v>
      </c>
      <c r="I59" s="116">
        <v>58.2</v>
      </c>
      <c r="J59" s="116">
        <v>52.8</v>
      </c>
      <c r="K59" s="116">
        <v>48.4</v>
      </c>
      <c r="L59" s="116">
        <v>44.9</v>
      </c>
      <c r="M59" s="116"/>
      <c r="N59" s="116"/>
      <c r="O59" s="116"/>
      <c r="P59" s="116"/>
      <c r="Q59" s="116"/>
      <c r="R59" s="116"/>
      <c r="S59" s="116"/>
      <c r="T59" s="116"/>
      <c r="U59" s="116"/>
    </row>
    <row r="60" spans="1:21" x14ac:dyDescent="0.25">
      <c r="A60" s="80">
        <v>49</v>
      </c>
      <c r="B60" s="116">
        <v>412.9</v>
      </c>
      <c r="C60" s="116">
        <v>210.5</v>
      </c>
      <c r="D60" s="116">
        <v>143.1</v>
      </c>
      <c r="E60" s="116">
        <v>109.4</v>
      </c>
      <c r="F60" s="116">
        <v>89.2</v>
      </c>
      <c r="G60" s="116">
        <v>75.8</v>
      </c>
      <c r="H60" s="116">
        <v>66.3</v>
      </c>
      <c r="I60" s="116">
        <v>59.1</v>
      </c>
      <c r="J60" s="116">
        <v>53.6</v>
      </c>
      <c r="K60" s="116">
        <v>49.2</v>
      </c>
      <c r="L60" s="116"/>
      <c r="M60" s="116"/>
      <c r="N60" s="116"/>
      <c r="O60" s="116"/>
      <c r="P60" s="116"/>
      <c r="Q60" s="116"/>
      <c r="R60" s="116"/>
      <c r="S60" s="116"/>
      <c r="T60" s="116"/>
      <c r="U60" s="116"/>
    </row>
    <row r="61" spans="1:21" x14ac:dyDescent="0.25">
      <c r="A61" s="80">
        <v>50</v>
      </c>
      <c r="B61" s="116">
        <v>418.9</v>
      </c>
      <c r="C61" s="116">
        <v>213.6</v>
      </c>
      <c r="D61" s="116">
        <v>145.19999999999999</v>
      </c>
      <c r="E61" s="116">
        <v>111.1</v>
      </c>
      <c r="F61" s="116">
        <v>90.6</v>
      </c>
      <c r="G61" s="116">
        <v>77</v>
      </c>
      <c r="H61" s="116">
        <v>67.3</v>
      </c>
      <c r="I61" s="116">
        <v>60.1</v>
      </c>
      <c r="J61" s="116">
        <v>54.5</v>
      </c>
      <c r="K61" s="116"/>
      <c r="L61" s="116"/>
      <c r="M61" s="116"/>
      <c r="N61" s="116"/>
      <c r="O61" s="116"/>
      <c r="P61" s="116"/>
      <c r="Q61" s="116"/>
      <c r="R61" s="116"/>
      <c r="S61" s="116"/>
      <c r="T61" s="116"/>
      <c r="U61" s="116"/>
    </row>
    <row r="62" spans="1:21" x14ac:dyDescent="0.25">
      <c r="A62" s="80">
        <v>51</v>
      </c>
      <c r="B62" s="116">
        <v>425</v>
      </c>
      <c r="C62" s="116">
        <v>216.8</v>
      </c>
      <c r="D62" s="116">
        <v>147.4</v>
      </c>
      <c r="E62" s="116">
        <v>112.8</v>
      </c>
      <c r="F62" s="116">
        <v>92.1</v>
      </c>
      <c r="G62" s="116">
        <v>78.3</v>
      </c>
      <c r="H62" s="116">
        <v>68.400000000000006</v>
      </c>
      <c r="I62" s="116">
        <v>61.1</v>
      </c>
      <c r="J62" s="116"/>
      <c r="K62" s="116"/>
      <c r="L62" s="116"/>
      <c r="M62" s="116"/>
      <c r="N62" s="116"/>
      <c r="O62" s="116"/>
      <c r="P62" s="116"/>
      <c r="Q62" s="116"/>
      <c r="R62" s="116"/>
      <c r="S62" s="116"/>
      <c r="T62" s="116"/>
      <c r="U62" s="116"/>
    </row>
    <row r="63" spans="1:21" x14ac:dyDescent="0.25">
      <c r="A63" s="80">
        <v>52</v>
      </c>
      <c r="B63" s="116">
        <v>431.3</v>
      </c>
      <c r="C63" s="116">
        <v>220</v>
      </c>
      <c r="D63" s="116">
        <v>149.69999999999999</v>
      </c>
      <c r="E63" s="116">
        <v>114.5</v>
      </c>
      <c r="F63" s="116">
        <v>93.5</v>
      </c>
      <c r="G63" s="116">
        <v>79.5</v>
      </c>
      <c r="H63" s="116">
        <v>69.5</v>
      </c>
      <c r="I63" s="116"/>
      <c r="J63" s="116"/>
      <c r="K63" s="116"/>
      <c r="L63" s="116"/>
      <c r="M63" s="116"/>
      <c r="N63" s="116"/>
      <c r="O63" s="116"/>
      <c r="P63" s="116"/>
      <c r="Q63" s="116"/>
      <c r="R63" s="116"/>
      <c r="S63" s="116"/>
      <c r="T63" s="116"/>
      <c r="U63" s="116"/>
    </row>
    <row r="64" spans="1:21" x14ac:dyDescent="0.25">
      <c r="A64" s="80">
        <v>53</v>
      </c>
      <c r="B64" s="116">
        <v>437.7</v>
      </c>
      <c r="C64" s="116">
        <v>223.3</v>
      </c>
      <c r="D64" s="116">
        <v>152</v>
      </c>
      <c r="E64" s="116">
        <v>116.3</v>
      </c>
      <c r="F64" s="116">
        <v>95</v>
      </c>
      <c r="G64" s="116">
        <v>80.8</v>
      </c>
      <c r="H64" s="116"/>
      <c r="I64" s="116"/>
      <c r="J64" s="116"/>
      <c r="K64" s="116"/>
      <c r="L64" s="116"/>
      <c r="M64" s="116"/>
      <c r="N64" s="116"/>
      <c r="O64" s="116"/>
      <c r="P64" s="116"/>
      <c r="Q64" s="116"/>
      <c r="R64" s="116"/>
      <c r="S64" s="116"/>
      <c r="T64" s="116"/>
      <c r="U64" s="116"/>
    </row>
    <row r="65" spans="1:21" x14ac:dyDescent="0.25">
      <c r="A65" s="80">
        <v>54</v>
      </c>
      <c r="B65" s="116">
        <v>442.3</v>
      </c>
      <c r="C65" s="116">
        <v>225.7</v>
      </c>
      <c r="D65" s="116">
        <v>153.6</v>
      </c>
      <c r="E65" s="116">
        <v>117.7</v>
      </c>
      <c r="F65" s="116">
        <v>96.1</v>
      </c>
      <c r="G65" s="116"/>
      <c r="H65" s="116"/>
      <c r="I65" s="116"/>
      <c r="J65" s="116"/>
      <c r="K65" s="116"/>
      <c r="L65" s="116"/>
      <c r="M65" s="116"/>
      <c r="N65" s="116"/>
      <c r="O65" s="116"/>
      <c r="P65" s="116"/>
      <c r="Q65" s="116"/>
      <c r="R65" s="116"/>
      <c r="S65" s="116"/>
      <c r="T65" s="116"/>
      <c r="U65" s="116"/>
    </row>
    <row r="66" spans="1:21" x14ac:dyDescent="0.25">
      <c r="A66" s="80">
        <v>55</v>
      </c>
      <c r="B66" s="116">
        <v>444.4</v>
      </c>
      <c r="C66" s="116">
        <v>226.9</v>
      </c>
      <c r="D66" s="116">
        <v>154.5</v>
      </c>
      <c r="E66" s="116">
        <v>118.3</v>
      </c>
      <c r="F66" s="116"/>
      <c r="G66" s="116"/>
      <c r="H66" s="116"/>
      <c r="I66" s="116"/>
      <c r="J66" s="116"/>
      <c r="K66" s="116"/>
      <c r="L66" s="116"/>
      <c r="M66" s="116"/>
      <c r="N66" s="116"/>
      <c r="O66" s="116"/>
      <c r="P66" s="116"/>
      <c r="Q66" s="116"/>
      <c r="R66" s="116"/>
      <c r="S66" s="116"/>
      <c r="T66" s="116"/>
      <c r="U66" s="116"/>
    </row>
    <row r="67" spans="1:21" x14ac:dyDescent="0.25">
      <c r="A67" s="80">
        <v>56</v>
      </c>
      <c r="B67" s="116">
        <v>446.7</v>
      </c>
      <c r="C67" s="116">
        <v>228.2</v>
      </c>
      <c r="D67" s="116">
        <v>155.4</v>
      </c>
      <c r="E67" s="116"/>
      <c r="F67" s="116"/>
      <c r="G67" s="116"/>
      <c r="H67" s="116"/>
      <c r="I67" s="116"/>
      <c r="J67" s="116"/>
      <c r="K67" s="116"/>
      <c r="L67" s="116"/>
      <c r="M67" s="116"/>
      <c r="N67" s="116"/>
      <c r="O67" s="116"/>
      <c r="P67" s="116"/>
      <c r="Q67" s="116"/>
      <c r="R67" s="116"/>
      <c r="S67" s="116"/>
      <c r="T67" s="116"/>
      <c r="U67" s="116"/>
    </row>
    <row r="68" spans="1:21" x14ac:dyDescent="0.25">
      <c r="A68" s="80">
        <v>57</v>
      </c>
      <c r="B68" s="116">
        <v>449.6</v>
      </c>
      <c r="C68" s="116">
        <v>229.7</v>
      </c>
      <c r="D68" s="116"/>
      <c r="E68" s="116"/>
      <c r="F68" s="116"/>
      <c r="G68" s="116"/>
      <c r="H68" s="116"/>
      <c r="I68" s="116"/>
      <c r="J68" s="116"/>
      <c r="K68" s="116"/>
      <c r="L68" s="116"/>
      <c r="M68" s="116"/>
      <c r="N68" s="116"/>
      <c r="O68" s="116"/>
      <c r="P68" s="116"/>
      <c r="Q68" s="116"/>
      <c r="R68" s="116"/>
      <c r="S68" s="116"/>
      <c r="T68" s="116"/>
      <c r="U68" s="116"/>
    </row>
    <row r="69" spans="1:21" x14ac:dyDescent="0.25">
      <c r="A69" s="80">
        <v>58</v>
      </c>
      <c r="B69" s="116">
        <v>452.2</v>
      </c>
      <c r="C69" s="116"/>
      <c r="D69" s="116"/>
      <c r="E69" s="116"/>
      <c r="F69" s="116"/>
      <c r="G69" s="116"/>
      <c r="H69" s="116"/>
      <c r="I69" s="116"/>
      <c r="J69" s="116"/>
      <c r="K69" s="116"/>
      <c r="L69" s="116"/>
      <c r="M69" s="116"/>
      <c r="N69" s="116"/>
      <c r="O69" s="116"/>
      <c r="P69" s="116"/>
      <c r="Q69" s="116"/>
      <c r="R69" s="116"/>
      <c r="S69" s="116"/>
      <c r="T69" s="116"/>
      <c r="U69" s="116"/>
    </row>
    <row r="115" spans="22:22" x14ac:dyDescent="0.25">
      <c r="V115" s="26" t="b">
        <f t="shared" ref="V115" si="0">V71=V27</f>
        <v>1</v>
      </c>
    </row>
    <row r="116" spans="22:22" x14ac:dyDescent="0.25">
      <c r="V116" s="26" t="b">
        <f t="shared" ref="V116" si="1">V72=V28</f>
        <v>1</v>
      </c>
    </row>
    <row r="117" spans="22:22" x14ac:dyDescent="0.25">
      <c r="V117" s="26" t="b">
        <f t="shared" ref="V117" si="2">V73=V29</f>
        <v>1</v>
      </c>
    </row>
    <row r="118" spans="22:22" x14ac:dyDescent="0.25">
      <c r="V118" s="26" t="b">
        <f t="shared" ref="V118" si="3">V74=V30</f>
        <v>1</v>
      </c>
    </row>
    <row r="119" spans="22:22" x14ac:dyDescent="0.25">
      <c r="V119" s="26" t="b">
        <f t="shared" ref="V119" si="4">V75=V31</f>
        <v>1</v>
      </c>
    </row>
    <row r="120" spans="22:22" x14ac:dyDescent="0.25">
      <c r="V120" s="26" t="b">
        <f t="shared" ref="V120" si="5">V76=V32</f>
        <v>1</v>
      </c>
    </row>
    <row r="121" spans="22:22" x14ac:dyDescent="0.25">
      <c r="V121" s="26" t="b">
        <f t="shared" ref="V121" si="6">V77=V33</f>
        <v>1</v>
      </c>
    </row>
    <row r="122" spans="22:22" x14ac:dyDescent="0.25">
      <c r="V122" s="26" t="b">
        <f t="shared" ref="V122" si="7">V78=V34</f>
        <v>1</v>
      </c>
    </row>
    <row r="123" spans="22:22" x14ac:dyDescent="0.25">
      <c r="V123" s="26" t="b">
        <f t="shared" ref="V123" si="8">V79=V35</f>
        <v>1</v>
      </c>
    </row>
    <row r="124" spans="22:22" x14ac:dyDescent="0.25">
      <c r="V124" s="26" t="b">
        <f t="shared" ref="V124" si="9">V80=V36</f>
        <v>1</v>
      </c>
    </row>
    <row r="125" spans="22:22" x14ac:dyDescent="0.25">
      <c r="V125" s="26" t="b">
        <f t="shared" ref="V125" si="10">V81=V37</f>
        <v>1</v>
      </c>
    </row>
    <row r="126" spans="22:22" x14ac:dyDescent="0.25">
      <c r="V126" s="26" t="b">
        <f t="shared" ref="V126" si="11">V82=V38</f>
        <v>1</v>
      </c>
    </row>
    <row r="127" spans="22:22" x14ac:dyDescent="0.25">
      <c r="V127" s="26" t="b">
        <f t="shared" ref="V127" si="12">V83=V39</f>
        <v>1</v>
      </c>
    </row>
    <row r="128" spans="22:22" x14ac:dyDescent="0.25">
      <c r="V128" s="26" t="b">
        <f t="shared" ref="V128" si="13">V84=V40</f>
        <v>1</v>
      </c>
    </row>
    <row r="129" spans="22:22" x14ac:dyDescent="0.25">
      <c r="V129" s="26" t="b">
        <f t="shared" ref="V129" si="14">V85=V41</f>
        <v>1</v>
      </c>
    </row>
    <row r="130" spans="22:22" x14ac:dyDescent="0.25">
      <c r="V130" s="26" t="b">
        <f t="shared" ref="V130" si="15">V86=V42</f>
        <v>1</v>
      </c>
    </row>
    <row r="131" spans="22:22" x14ac:dyDescent="0.25">
      <c r="V131" s="26" t="b">
        <f t="shared" ref="V131" si="16">V87=V43</f>
        <v>1</v>
      </c>
    </row>
    <row r="132" spans="22:22" x14ac:dyDescent="0.25">
      <c r="V132" s="26" t="b">
        <f t="shared" ref="V132" si="17">V88=V44</f>
        <v>1</v>
      </c>
    </row>
    <row r="133" spans="22:22" x14ac:dyDescent="0.25">
      <c r="V133" s="26" t="b">
        <f t="shared" ref="V133" si="18">V89=V45</f>
        <v>1</v>
      </c>
    </row>
    <row r="134" spans="22:22" x14ac:dyDescent="0.25">
      <c r="V134" s="26" t="b">
        <f t="shared" ref="V134" si="19">V90=V46</f>
        <v>1</v>
      </c>
    </row>
    <row r="135" spans="22:22" x14ac:dyDescent="0.25">
      <c r="V135" s="26" t="b">
        <f t="shared" ref="V135" si="20">V91=V47</f>
        <v>1</v>
      </c>
    </row>
    <row r="136" spans="22:22" x14ac:dyDescent="0.25">
      <c r="V136" s="26" t="b">
        <f t="shared" ref="V136" si="21">V92=V48</f>
        <v>1</v>
      </c>
    </row>
    <row r="137" spans="22:22" x14ac:dyDescent="0.25">
      <c r="V137" s="26" t="b">
        <f t="shared" ref="V137" si="22">V93=V49</f>
        <v>1</v>
      </c>
    </row>
    <row r="138" spans="22:22" x14ac:dyDescent="0.25">
      <c r="V138" s="26" t="b">
        <f t="shared" ref="V138" si="23">V94=V50</f>
        <v>1</v>
      </c>
    </row>
    <row r="139" spans="22:22" x14ac:dyDescent="0.25">
      <c r="V139" s="26" t="b">
        <f t="shared" ref="V139" si="24">V95=V51</f>
        <v>1</v>
      </c>
    </row>
    <row r="140" spans="22:22" x14ac:dyDescent="0.25">
      <c r="V140" s="26" t="b">
        <f t="shared" ref="V140" si="25">V96=V52</f>
        <v>1</v>
      </c>
    </row>
    <row r="141" spans="22:22" x14ac:dyDescent="0.25">
      <c r="V141" s="26" t="b">
        <f t="shared" ref="V141" si="26">V97=V53</f>
        <v>1</v>
      </c>
    </row>
    <row r="142" spans="22:22" x14ac:dyDescent="0.25">
      <c r="V142" s="26" t="b">
        <f t="shared" ref="V142" si="27">V98=V54</f>
        <v>1</v>
      </c>
    </row>
    <row r="143" spans="22:22" x14ac:dyDescent="0.25">
      <c r="V143" s="26" t="b">
        <f t="shared" ref="V143" si="28">V99=V55</f>
        <v>1</v>
      </c>
    </row>
    <row r="144" spans="22:22" x14ac:dyDescent="0.25">
      <c r="V144" s="26" t="b">
        <f t="shared" ref="V144" si="29">V100=V56</f>
        <v>1</v>
      </c>
    </row>
    <row r="145" spans="22:22" x14ac:dyDescent="0.25">
      <c r="V145" s="26" t="b">
        <f t="shared" ref="V145" si="30">V101=V57</f>
        <v>1</v>
      </c>
    </row>
    <row r="146" spans="22:22" x14ac:dyDescent="0.25">
      <c r="V146" s="26" t="b">
        <f t="shared" ref="V146" si="31">V102=V58</f>
        <v>1</v>
      </c>
    </row>
    <row r="147" spans="22:22" x14ac:dyDescent="0.25">
      <c r="V147" s="26" t="b">
        <f t="shared" ref="V147" si="32">V103=V59</f>
        <v>1</v>
      </c>
    </row>
    <row r="148" spans="22:22" x14ac:dyDescent="0.25">
      <c r="V148" s="26" t="b">
        <f t="shared" ref="V148" si="33">V104=V60</f>
        <v>1</v>
      </c>
    </row>
    <row r="149" spans="22:22" x14ac:dyDescent="0.25">
      <c r="V149" s="26" t="b">
        <f t="shared" ref="V149" si="34">V105=V61</f>
        <v>1</v>
      </c>
    </row>
    <row r="150" spans="22:22" x14ac:dyDescent="0.25">
      <c r="V150" s="26" t="b">
        <f t="shared" ref="V150" si="35">V106=V62</f>
        <v>1</v>
      </c>
    </row>
    <row r="151" spans="22:22" x14ac:dyDescent="0.25">
      <c r="V151" s="26" t="b">
        <f t="shared" ref="V151" si="36">V107=V63</f>
        <v>1</v>
      </c>
    </row>
    <row r="152" spans="22:22" x14ac:dyDescent="0.25">
      <c r="V152" s="26" t="b">
        <f t="shared" ref="V152" si="37">V108=V64</f>
        <v>1</v>
      </c>
    </row>
    <row r="153" spans="22:22" x14ac:dyDescent="0.25">
      <c r="V153" s="26" t="b">
        <f t="shared" ref="V153" si="38">V109=V65</f>
        <v>1</v>
      </c>
    </row>
    <row r="154" spans="22:22" x14ac:dyDescent="0.25">
      <c r="V154" s="26" t="b">
        <f t="shared" ref="V154" si="39">V110=V66</f>
        <v>1</v>
      </c>
    </row>
    <row r="155" spans="22:22" x14ac:dyDescent="0.25">
      <c r="V155" s="26" t="b">
        <f t="shared" ref="V155" si="40">V111=V67</f>
        <v>1</v>
      </c>
    </row>
    <row r="156" spans="22:22" x14ac:dyDescent="0.25">
      <c r="V156" s="26" t="b">
        <f t="shared" ref="V156" si="41">V112=V68</f>
        <v>1</v>
      </c>
    </row>
    <row r="157" spans="22:22" x14ac:dyDescent="0.25">
      <c r="V157" s="26" t="b">
        <f t="shared" ref="V157" si="42">V113=V69</f>
        <v>1</v>
      </c>
    </row>
  </sheetData>
  <sheetProtection algorithmName="SHA-512" hashValue="Td8puwRLlElcNtUBULWj/+Ht1S96haRlkStz28lOr2QI+FuWJy2/WYw7NnfiM/8OtluvNgx5XuF0DI4zlCKWXQ==" saltValue="IWALplg/5s1ByhD66Fr3ow==" spinCount="100000" sheet="1" objects="1" scenarios="1"/>
  <conditionalFormatting sqref="A6:A21">
    <cfRule type="expression" dxfId="409" priority="9" stopIfTrue="1">
      <formula>MOD(ROW(),2)=0</formula>
    </cfRule>
    <cfRule type="expression" dxfId="408" priority="10" stopIfTrue="1">
      <formula>MOD(ROW(),2)&lt;&gt;0</formula>
    </cfRule>
  </conditionalFormatting>
  <conditionalFormatting sqref="A26:A69">
    <cfRule type="expression" dxfId="407" priority="11" stopIfTrue="1">
      <formula>MOD(ROW(),2)=0</formula>
    </cfRule>
    <cfRule type="expression" dxfId="406" priority="12" stopIfTrue="1">
      <formula>MOD(ROW(),2)&lt;&gt;0</formula>
    </cfRule>
  </conditionalFormatting>
  <conditionalFormatting sqref="B17:B21">
    <cfRule type="expression" dxfId="405" priority="1" stopIfTrue="1">
      <formula>MOD(ROW(),2)=0</formula>
    </cfRule>
    <cfRule type="expression" dxfId="404" priority="2" stopIfTrue="1">
      <formula>MOD(ROW(),2)&lt;&gt;0</formula>
    </cfRule>
  </conditionalFormatting>
  <conditionalFormatting sqref="B6:U21">
    <cfRule type="expression" dxfId="403" priority="17" stopIfTrue="1">
      <formula>MOD(ROW(),2)=0</formula>
    </cfRule>
    <cfRule type="expression" dxfId="402" priority="18" stopIfTrue="1">
      <formula>MOD(ROW(),2)&lt;&gt;0</formula>
    </cfRule>
  </conditionalFormatting>
  <conditionalFormatting sqref="B26:U69">
    <cfRule type="expression" dxfId="401" priority="13" stopIfTrue="1">
      <formula>MOD(ROW(),2)=0</formula>
    </cfRule>
    <cfRule type="expression" dxfId="400" priority="14" stopIfTrue="1">
      <formula>MOD(ROW(),2)&lt;&gt;0</formula>
    </cfRule>
  </conditionalFormatting>
  <hyperlinks>
    <hyperlink ref="B24" location="Assumptions!A1" display="Assumptions" xr:uid="{ADE4913D-3174-4274-B7FC-3E2ED8AB14A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FA01-B16F-4E22-860E-CC89FB5B0637}">
  <sheetPr codeName="Sheet94"/>
  <dimension ref="A1:U69"/>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x-709</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74</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570</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1</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709</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571</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572</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276.10000000000002</v>
      </c>
      <c r="C27" s="116">
        <v>140.6</v>
      </c>
      <c r="D27" s="116">
        <v>95.5</v>
      </c>
      <c r="E27" s="116">
        <v>72.900000000000006</v>
      </c>
      <c r="F27" s="116">
        <v>59.4</v>
      </c>
      <c r="G27" s="116">
        <v>50.4</v>
      </c>
      <c r="H27" s="116">
        <v>43.9</v>
      </c>
      <c r="I27" s="116">
        <v>39.1</v>
      </c>
      <c r="J27" s="116">
        <v>35.4</v>
      </c>
      <c r="K27" s="116">
        <v>32.4</v>
      </c>
      <c r="L27" s="116">
        <v>30</v>
      </c>
      <c r="M27" s="116">
        <v>28</v>
      </c>
      <c r="N27" s="116">
        <v>26.3</v>
      </c>
      <c r="O27" s="116">
        <v>24.8</v>
      </c>
      <c r="P27" s="116">
        <v>23.5</v>
      </c>
      <c r="Q27" s="116">
        <v>22.4</v>
      </c>
      <c r="R27" s="116">
        <v>21.5</v>
      </c>
      <c r="S27" s="116">
        <v>20.6</v>
      </c>
      <c r="T27" s="116">
        <v>19.899999999999999</v>
      </c>
      <c r="U27" s="116">
        <v>19.2</v>
      </c>
    </row>
    <row r="28" spans="1:21" x14ac:dyDescent="0.25">
      <c r="A28" s="80">
        <v>17</v>
      </c>
      <c r="B28" s="116">
        <v>280.3</v>
      </c>
      <c r="C28" s="116">
        <v>142.80000000000001</v>
      </c>
      <c r="D28" s="116">
        <v>96.9</v>
      </c>
      <c r="E28" s="116">
        <v>74</v>
      </c>
      <c r="F28" s="116">
        <v>60.3</v>
      </c>
      <c r="G28" s="116">
        <v>51.1</v>
      </c>
      <c r="H28" s="116">
        <v>44.6</v>
      </c>
      <c r="I28" s="116">
        <v>39.700000000000003</v>
      </c>
      <c r="J28" s="116">
        <v>35.9</v>
      </c>
      <c r="K28" s="116">
        <v>32.9</v>
      </c>
      <c r="L28" s="116">
        <v>30.5</v>
      </c>
      <c r="M28" s="116">
        <v>28.4</v>
      </c>
      <c r="N28" s="116">
        <v>26.7</v>
      </c>
      <c r="O28" s="116">
        <v>25.2</v>
      </c>
      <c r="P28" s="116">
        <v>23.9</v>
      </c>
      <c r="Q28" s="116">
        <v>22.8</v>
      </c>
      <c r="R28" s="116">
        <v>21.8</v>
      </c>
      <c r="S28" s="116">
        <v>20.9</v>
      </c>
      <c r="T28" s="116">
        <v>20.2</v>
      </c>
      <c r="U28" s="116">
        <v>19.5</v>
      </c>
    </row>
    <row r="29" spans="1:21" x14ac:dyDescent="0.25">
      <c r="A29" s="80">
        <v>18</v>
      </c>
      <c r="B29" s="116">
        <v>284.7</v>
      </c>
      <c r="C29" s="116">
        <v>145</v>
      </c>
      <c r="D29" s="116">
        <v>98.4</v>
      </c>
      <c r="E29" s="116">
        <v>75.2</v>
      </c>
      <c r="F29" s="116">
        <v>61.2</v>
      </c>
      <c r="G29" s="116">
        <v>51.9</v>
      </c>
      <c r="H29" s="116">
        <v>45.3</v>
      </c>
      <c r="I29" s="116">
        <v>40.4</v>
      </c>
      <c r="J29" s="116">
        <v>36.5</v>
      </c>
      <c r="K29" s="116">
        <v>33.4</v>
      </c>
      <c r="L29" s="116">
        <v>30.9</v>
      </c>
      <c r="M29" s="116">
        <v>28.8</v>
      </c>
      <c r="N29" s="116">
        <v>27.1</v>
      </c>
      <c r="O29" s="116">
        <v>25.6</v>
      </c>
      <c r="P29" s="116">
        <v>24.3</v>
      </c>
      <c r="Q29" s="116">
        <v>23.1</v>
      </c>
      <c r="R29" s="116">
        <v>22.2</v>
      </c>
      <c r="S29" s="116">
        <v>21.3</v>
      </c>
      <c r="T29" s="116">
        <v>20.5</v>
      </c>
      <c r="U29" s="116">
        <v>19.8</v>
      </c>
    </row>
    <row r="30" spans="1:21" x14ac:dyDescent="0.25">
      <c r="A30" s="80">
        <v>19</v>
      </c>
      <c r="B30" s="116">
        <v>289</v>
      </c>
      <c r="C30" s="116">
        <v>147.19999999999999</v>
      </c>
      <c r="D30" s="116">
        <v>99.9</v>
      </c>
      <c r="E30" s="116">
        <v>76.3</v>
      </c>
      <c r="F30" s="116">
        <v>62.1</v>
      </c>
      <c r="G30" s="116">
        <v>52.7</v>
      </c>
      <c r="H30" s="116">
        <v>46</v>
      </c>
      <c r="I30" s="116">
        <v>41</v>
      </c>
      <c r="J30" s="116">
        <v>37.1</v>
      </c>
      <c r="K30" s="116">
        <v>33.9</v>
      </c>
      <c r="L30" s="116">
        <v>31.4</v>
      </c>
      <c r="M30" s="116">
        <v>29.3</v>
      </c>
      <c r="N30" s="116">
        <v>27.5</v>
      </c>
      <c r="O30" s="116">
        <v>26</v>
      </c>
      <c r="P30" s="116">
        <v>24.6</v>
      </c>
      <c r="Q30" s="116">
        <v>23.5</v>
      </c>
      <c r="R30" s="116">
        <v>22.5</v>
      </c>
      <c r="S30" s="116">
        <v>21.6</v>
      </c>
      <c r="T30" s="116">
        <v>20.8</v>
      </c>
      <c r="U30" s="116">
        <v>20.100000000000001</v>
      </c>
    </row>
    <row r="31" spans="1:21" x14ac:dyDescent="0.25">
      <c r="A31" s="80">
        <v>20</v>
      </c>
      <c r="B31" s="116">
        <v>293</v>
      </c>
      <c r="C31" s="116">
        <v>149.19999999999999</v>
      </c>
      <c r="D31" s="116">
        <v>101.3</v>
      </c>
      <c r="E31" s="116">
        <v>77.400000000000006</v>
      </c>
      <c r="F31" s="116">
        <v>63</v>
      </c>
      <c r="G31" s="116">
        <v>53.5</v>
      </c>
      <c r="H31" s="116">
        <v>46.6</v>
      </c>
      <c r="I31" s="116">
        <v>41.5</v>
      </c>
      <c r="J31" s="116">
        <v>37.6</v>
      </c>
      <c r="K31" s="116">
        <v>34.4</v>
      </c>
      <c r="L31" s="116">
        <v>31.8</v>
      </c>
      <c r="M31" s="116">
        <v>29.7</v>
      </c>
      <c r="N31" s="116">
        <v>27.9</v>
      </c>
      <c r="O31" s="116">
        <v>26.3</v>
      </c>
      <c r="P31" s="116">
        <v>25</v>
      </c>
      <c r="Q31" s="116">
        <v>23.8</v>
      </c>
      <c r="R31" s="116">
        <v>22.8</v>
      </c>
      <c r="S31" s="116">
        <v>21.9</v>
      </c>
      <c r="T31" s="116">
        <v>21.1</v>
      </c>
      <c r="U31" s="116">
        <v>20.399999999999999</v>
      </c>
    </row>
    <row r="32" spans="1:21" x14ac:dyDescent="0.25">
      <c r="A32" s="80">
        <v>21</v>
      </c>
      <c r="B32" s="116">
        <v>297</v>
      </c>
      <c r="C32" s="116">
        <v>151.30000000000001</v>
      </c>
      <c r="D32" s="116">
        <v>102.7</v>
      </c>
      <c r="E32" s="116">
        <v>78.400000000000006</v>
      </c>
      <c r="F32" s="116">
        <v>63.9</v>
      </c>
      <c r="G32" s="116">
        <v>54.2</v>
      </c>
      <c r="H32" s="116">
        <v>47.3</v>
      </c>
      <c r="I32" s="116">
        <v>42.1</v>
      </c>
      <c r="J32" s="116">
        <v>38.1</v>
      </c>
      <c r="K32" s="116">
        <v>34.9</v>
      </c>
      <c r="L32" s="116">
        <v>32.299999999999997</v>
      </c>
      <c r="M32" s="116">
        <v>30.1</v>
      </c>
      <c r="N32" s="116">
        <v>28.3</v>
      </c>
      <c r="O32" s="116">
        <v>26.7</v>
      </c>
      <c r="P32" s="116">
        <v>25.3</v>
      </c>
      <c r="Q32" s="116">
        <v>24.2</v>
      </c>
      <c r="R32" s="116">
        <v>23.1</v>
      </c>
      <c r="S32" s="116">
        <v>22.2</v>
      </c>
      <c r="T32" s="116">
        <v>21.4</v>
      </c>
      <c r="U32" s="116">
        <v>20.7</v>
      </c>
    </row>
    <row r="33" spans="1:21" x14ac:dyDescent="0.25">
      <c r="A33" s="80">
        <v>22</v>
      </c>
      <c r="B33" s="116">
        <v>301.10000000000002</v>
      </c>
      <c r="C33" s="116">
        <v>153.30000000000001</v>
      </c>
      <c r="D33" s="116">
        <v>104.1</v>
      </c>
      <c r="E33" s="116">
        <v>79.5</v>
      </c>
      <c r="F33" s="116">
        <v>64.8</v>
      </c>
      <c r="G33" s="116">
        <v>54.9</v>
      </c>
      <c r="H33" s="116">
        <v>47.9</v>
      </c>
      <c r="I33" s="116">
        <v>42.7</v>
      </c>
      <c r="J33" s="116">
        <v>38.6</v>
      </c>
      <c r="K33" s="116">
        <v>35.4</v>
      </c>
      <c r="L33" s="116">
        <v>32.700000000000003</v>
      </c>
      <c r="M33" s="116">
        <v>30.5</v>
      </c>
      <c r="N33" s="116">
        <v>28.7</v>
      </c>
      <c r="O33" s="116">
        <v>27.1</v>
      </c>
      <c r="P33" s="116">
        <v>25.7</v>
      </c>
      <c r="Q33" s="116">
        <v>24.5</v>
      </c>
      <c r="R33" s="116">
        <v>23.4</v>
      </c>
      <c r="S33" s="116">
        <v>22.5</v>
      </c>
      <c r="T33" s="116">
        <v>21.7</v>
      </c>
      <c r="U33" s="116">
        <v>20.9</v>
      </c>
    </row>
    <row r="34" spans="1:21" x14ac:dyDescent="0.25">
      <c r="A34" s="80">
        <v>23</v>
      </c>
      <c r="B34" s="116">
        <v>305.3</v>
      </c>
      <c r="C34" s="116">
        <v>155.5</v>
      </c>
      <c r="D34" s="116">
        <v>105.5</v>
      </c>
      <c r="E34" s="116">
        <v>80.599999999999994</v>
      </c>
      <c r="F34" s="116">
        <v>65.7</v>
      </c>
      <c r="G34" s="116">
        <v>55.7</v>
      </c>
      <c r="H34" s="116">
        <v>48.6</v>
      </c>
      <c r="I34" s="116">
        <v>43.3</v>
      </c>
      <c r="J34" s="116">
        <v>39.200000000000003</v>
      </c>
      <c r="K34" s="116">
        <v>35.9</v>
      </c>
      <c r="L34" s="116">
        <v>33.200000000000003</v>
      </c>
      <c r="M34" s="116">
        <v>30.9</v>
      </c>
      <c r="N34" s="116">
        <v>29.1</v>
      </c>
      <c r="O34" s="116">
        <v>27.4</v>
      </c>
      <c r="P34" s="116">
        <v>26</v>
      </c>
      <c r="Q34" s="116">
        <v>24.8</v>
      </c>
      <c r="R34" s="116">
        <v>23.8</v>
      </c>
      <c r="S34" s="116">
        <v>22.8</v>
      </c>
      <c r="T34" s="116">
        <v>22</v>
      </c>
      <c r="U34" s="116">
        <v>21.2</v>
      </c>
    </row>
    <row r="35" spans="1:21" x14ac:dyDescent="0.25">
      <c r="A35" s="80">
        <v>24</v>
      </c>
      <c r="B35" s="116">
        <v>309.5</v>
      </c>
      <c r="C35" s="116">
        <v>157.6</v>
      </c>
      <c r="D35" s="116">
        <v>107</v>
      </c>
      <c r="E35" s="116">
        <v>81.7</v>
      </c>
      <c r="F35" s="116">
        <v>66.599999999999994</v>
      </c>
      <c r="G35" s="116">
        <v>56.5</v>
      </c>
      <c r="H35" s="116">
        <v>49.3</v>
      </c>
      <c r="I35" s="116">
        <v>43.9</v>
      </c>
      <c r="J35" s="116">
        <v>39.700000000000003</v>
      </c>
      <c r="K35" s="116">
        <v>36.4</v>
      </c>
      <c r="L35" s="116">
        <v>33.6</v>
      </c>
      <c r="M35" s="116">
        <v>31.4</v>
      </c>
      <c r="N35" s="116">
        <v>29.5</v>
      </c>
      <c r="O35" s="116">
        <v>27.8</v>
      </c>
      <c r="P35" s="116">
        <v>26.4</v>
      </c>
      <c r="Q35" s="116">
        <v>25.2</v>
      </c>
      <c r="R35" s="116">
        <v>24.1</v>
      </c>
      <c r="S35" s="116">
        <v>23.1</v>
      </c>
      <c r="T35" s="116">
        <v>22.3</v>
      </c>
      <c r="U35" s="116">
        <v>21.5</v>
      </c>
    </row>
    <row r="36" spans="1:21" x14ac:dyDescent="0.25">
      <c r="A36" s="80">
        <v>25</v>
      </c>
      <c r="B36" s="116">
        <v>313.7</v>
      </c>
      <c r="C36" s="116">
        <v>159.80000000000001</v>
      </c>
      <c r="D36" s="116">
        <v>108.5</v>
      </c>
      <c r="E36" s="116">
        <v>82.8</v>
      </c>
      <c r="F36" s="116">
        <v>67.5</v>
      </c>
      <c r="G36" s="116">
        <v>57.2</v>
      </c>
      <c r="H36" s="116">
        <v>49.9</v>
      </c>
      <c r="I36" s="116">
        <v>44.5</v>
      </c>
      <c r="J36" s="116">
        <v>40.200000000000003</v>
      </c>
      <c r="K36" s="116">
        <v>36.9</v>
      </c>
      <c r="L36" s="116">
        <v>34.1</v>
      </c>
      <c r="M36" s="116">
        <v>31.8</v>
      </c>
      <c r="N36" s="116">
        <v>29.9</v>
      </c>
      <c r="O36" s="116">
        <v>28.2</v>
      </c>
      <c r="P36" s="116">
        <v>26.8</v>
      </c>
      <c r="Q36" s="116">
        <v>25.5</v>
      </c>
      <c r="R36" s="116">
        <v>24.4</v>
      </c>
      <c r="S36" s="116">
        <v>23.5</v>
      </c>
      <c r="T36" s="116">
        <v>22.6</v>
      </c>
      <c r="U36" s="116">
        <v>21.8</v>
      </c>
    </row>
    <row r="37" spans="1:21" x14ac:dyDescent="0.25">
      <c r="A37" s="80">
        <v>26</v>
      </c>
      <c r="B37" s="116">
        <v>318</v>
      </c>
      <c r="C37" s="116">
        <v>162</v>
      </c>
      <c r="D37" s="116">
        <v>110</v>
      </c>
      <c r="E37" s="116">
        <v>84</v>
      </c>
      <c r="F37" s="116">
        <v>68.400000000000006</v>
      </c>
      <c r="G37" s="116">
        <v>58</v>
      </c>
      <c r="H37" s="116">
        <v>50.6</v>
      </c>
      <c r="I37" s="116">
        <v>45.1</v>
      </c>
      <c r="J37" s="116">
        <v>40.799999999999997</v>
      </c>
      <c r="K37" s="116">
        <v>37.4</v>
      </c>
      <c r="L37" s="116">
        <v>34.6</v>
      </c>
      <c r="M37" s="116">
        <v>32.200000000000003</v>
      </c>
      <c r="N37" s="116">
        <v>30.3</v>
      </c>
      <c r="O37" s="116">
        <v>28.6</v>
      </c>
      <c r="P37" s="116">
        <v>27.2</v>
      </c>
      <c r="Q37" s="116">
        <v>25.9</v>
      </c>
      <c r="R37" s="116">
        <v>24.8</v>
      </c>
      <c r="S37" s="116">
        <v>23.8</v>
      </c>
      <c r="T37" s="116">
        <v>22.9</v>
      </c>
      <c r="U37" s="116">
        <v>22.1</v>
      </c>
    </row>
    <row r="38" spans="1:21" x14ac:dyDescent="0.25">
      <c r="A38" s="80">
        <v>27</v>
      </c>
      <c r="B38" s="116">
        <v>322.39999999999998</v>
      </c>
      <c r="C38" s="116">
        <v>164.2</v>
      </c>
      <c r="D38" s="116">
        <v>111.5</v>
      </c>
      <c r="E38" s="116">
        <v>85.1</v>
      </c>
      <c r="F38" s="116">
        <v>69.3</v>
      </c>
      <c r="G38" s="116">
        <v>58.8</v>
      </c>
      <c r="H38" s="116">
        <v>51.3</v>
      </c>
      <c r="I38" s="116">
        <v>45.7</v>
      </c>
      <c r="J38" s="116">
        <v>41.4</v>
      </c>
      <c r="K38" s="116">
        <v>37.9</v>
      </c>
      <c r="L38" s="116">
        <v>35.1</v>
      </c>
      <c r="M38" s="116">
        <v>32.700000000000003</v>
      </c>
      <c r="N38" s="116">
        <v>30.7</v>
      </c>
      <c r="O38" s="116">
        <v>29</v>
      </c>
      <c r="P38" s="116">
        <v>27.5</v>
      </c>
      <c r="Q38" s="116">
        <v>26.3</v>
      </c>
      <c r="R38" s="116">
        <v>25.1</v>
      </c>
      <c r="S38" s="116">
        <v>24.1</v>
      </c>
      <c r="T38" s="116">
        <v>23.2</v>
      </c>
      <c r="U38" s="116">
        <v>22.5</v>
      </c>
    </row>
    <row r="39" spans="1:21" x14ac:dyDescent="0.25">
      <c r="A39" s="80">
        <v>28</v>
      </c>
      <c r="B39" s="116">
        <v>326.8</v>
      </c>
      <c r="C39" s="116">
        <v>166.4</v>
      </c>
      <c r="D39" s="116">
        <v>113</v>
      </c>
      <c r="E39" s="116">
        <v>86.3</v>
      </c>
      <c r="F39" s="116">
        <v>70.3</v>
      </c>
      <c r="G39" s="116">
        <v>59.6</v>
      </c>
      <c r="H39" s="116">
        <v>52</v>
      </c>
      <c r="I39" s="116">
        <v>46.4</v>
      </c>
      <c r="J39" s="116">
        <v>41.9</v>
      </c>
      <c r="K39" s="116">
        <v>38.4</v>
      </c>
      <c r="L39" s="116">
        <v>35.5</v>
      </c>
      <c r="M39" s="116">
        <v>33.1</v>
      </c>
      <c r="N39" s="116">
        <v>31.1</v>
      </c>
      <c r="O39" s="116">
        <v>29.4</v>
      </c>
      <c r="P39" s="116">
        <v>27.9</v>
      </c>
      <c r="Q39" s="116">
        <v>26.6</v>
      </c>
      <c r="R39" s="116">
        <v>25.5</v>
      </c>
      <c r="S39" s="116">
        <v>24.5</v>
      </c>
      <c r="T39" s="116">
        <v>23.6</v>
      </c>
      <c r="U39" s="116">
        <v>22.8</v>
      </c>
    </row>
    <row r="40" spans="1:21" x14ac:dyDescent="0.25">
      <c r="A40" s="80">
        <v>29</v>
      </c>
      <c r="B40" s="116">
        <v>331.3</v>
      </c>
      <c r="C40" s="116">
        <v>168.7</v>
      </c>
      <c r="D40" s="116">
        <v>114.6</v>
      </c>
      <c r="E40" s="116">
        <v>87.5</v>
      </c>
      <c r="F40" s="116">
        <v>71.3</v>
      </c>
      <c r="G40" s="116">
        <v>60.5</v>
      </c>
      <c r="H40" s="116">
        <v>52.8</v>
      </c>
      <c r="I40" s="116">
        <v>47</v>
      </c>
      <c r="J40" s="116">
        <v>42.5</v>
      </c>
      <c r="K40" s="116">
        <v>39</v>
      </c>
      <c r="L40" s="116">
        <v>36</v>
      </c>
      <c r="M40" s="116">
        <v>33.6</v>
      </c>
      <c r="N40" s="116">
        <v>31.6</v>
      </c>
      <c r="O40" s="116">
        <v>29.8</v>
      </c>
      <c r="P40" s="116">
        <v>28.3</v>
      </c>
      <c r="Q40" s="116">
        <v>27</v>
      </c>
      <c r="R40" s="116">
        <v>25.8</v>
      </c>
      <c r="S40" s="116">
        <v>24.8</v>
      </c>
      <c r="T40" s="116">
        <v>23.9</v>
      </c>
      <c r="U40" s="116">
        <v>23.1</v>
      </c>
    </row>
    <row r="41" spans="1:21" x14ac:dyDescent="0.25">
      <c r="A41" s="80">
        <v>30</v>
      </c>
      <c r="B41" s="116">
        <v>335.8</v>
      </c>
      <c r="C41" s="116">
        <v>171</v>
      </c>
      <c r="D41" s="116">
        <v>116.1</v>
      </c>
      <c r="E41" s="116">
        <v>88.7</v>
      </c>
      <c r="F41" s="116">
        <v>72.3</v>
      </c>
      <c r="G41" s="116">
        <v>61.3</v>
      </c>
      <c r="H41" s="116">
        <v>53.5</v>
      </c>
      <c r="I41" s="116">
        <v>47.7</v>
      </c>
      <c r="J41" s="116">
        <v>43.1</v>
      </c>
      <c r="K41" s="116">
        <v>39.5</v>
      </c>
      <c r="L41" s="116">
        <v>36.5</v>
      </c>
      <c r="M41" s="116">
        <v>34.1</v>
      </c>
      <c r="N41" s="116">
        <v>32</v>
      </c>
      <c r="O41" s="116">
        <v>30.2</v>
      </c>
      <c r="P41" s="116">
        <v>28.7</v>
      </c>
      <c r="Q41" s="116">
        <v>27.4</v>
      </c>
      <c r="R41" s="116">
        <v>26.2</v>
      </c>
      <c r="S41" s="116">
        <v>25.2</v>
      </c>
      <c r="T41" s="116">
        <v>24.3</v>
      </c>
      <c r="U41" s="116">
        <v>23.4</v>
      </c>
    </row>
    <row r="42" spans="1:21" x14ac:dyDescent="0.25">
      <c r="A42" s="80">
        <v>31</v>
      </c>
      <c r="B42" s="116">
        <v>340.4</v>
      </c>
      <c r="C42" s="116">
        <v>173.4</v>
      </c>
      <c r="D42" s="116">
        <v>117.7</v>
      </c>
      <c r="E42" s="116">
        <v>89.9</v>
      </c>
      <c r="F42" s="116">
        <v>73.3</v>
      </c>
      <c r="G42" s="116">
        <v>62.2</v>
      </c>
      <c r="H42" s="116">
        <v>54.2</v>
      </c>
      <c r="I42" s="116">
        <v>48.3</v>
      </c>
      <c r="J42" s="116">
        <v>43.7</v>
      </c>
      <c r="K42" s="116">
        <v>40</v>
      </c>
      <c r="L42" s="116">
        <v>37</v>
      </c>
      <c r="M42" s="116">
        <v>34.6</v>
      </c>
      <c r="N42" s="116">
        <v>32.5</v>
      </c>
      <c r="O42" s="116">
        <v>30.7</v>
      </c>
      <c r="P42" s="116">
        <v>29.1</v>
      </c>
      <c r="Q42" s="116">
        <v>27.8</v>
      </c>
      <c r="R42" s="116">
        <v>26.6</v>
      </c>
      <c r="S42" s="116">
        <v>25.5</v>
      </c>
      <c r="T42" s="116">
        <v>24.6</v>
      </c>
      <c r="U42" s="116">
        <v>23.8</v>
      </c>
    </row>
    <row r="43" spans="1:21" x14ac:dyDescent="0.25">
      <c r="A43" s="80">
        <v>32</v>
      </c>
      <c r="B43" s="116">
        <v>345.1</v>
      </c>
      <c r="C43" s="116">
        <v>175.8</v>
      </c>
      <c r="D43" s="116">
        <v>119.4</v>
      </c>
      <c r="E43" s="116">
        <v>91.2</v>
      </c>
      <c r="F43" s="116">
        <v>74.3</v>
      </c>
      <c r="G43" s="116">
        <v>63</v>
      </c>
      <c r="H43" s="116">
        <v>55</v>
      </c>
      <c r="I43" s="116">
        <v>49</v>
      </c>
      <c r="J43" s="116">
        <v>44.3</v>
      </c>
      <c r="K43" s="116">
        <v>40.6</v>
      </c>
      <c r="L43" s="116">
        <v>37.6</v>
      </c>
      <c r="M43" s="116">
        <v>35</v>
      </c>
      <c r="N43" s="116">
        <v>32.9</v>
      </c>
      <c r="O43" s="116">
        <v>31.1</v>
      </c>
      <c r="P43" s="116">
        <v>29.5</v>
      </c>
      <c r="Q43" s="116">
        <v>28.2</v>
      </c>
      <c r="R43" s="116">
        <v>27</v>
      </c>
      <c r="S43" s="116">
        <v>25.9</v>
      </c>
      <c r="T43" s="116">
        <v>25</v>
      </c>
      <c r="U43" s="116">
        <v>24.1</v>
      </c>
    </row>
    <row r="44" spans="1:21" x14ac:dyDescent="0.25">
      <c r="A44" s="80">
        <v>33</v>
      </c>
      <c r="B44" s="116">
        <v>349.8</v>
      </c>
      <c r="C44" s="116">
        <v>178.2</v>
      </c>
      <c r="D44" s="116">
        <v>121</v>
      </c>
      <c r="E44" s="116">
        <v>92.4</v>
      </c>
      <c r="F44" s="116">
        <v>75.3</v>
      </c>
      <c r="G44" s="116">
        <v>63.9</v>
      </c>
      <c r="H44" s="116">
        <v>55.8</v>
      </c>
      <c r="I44" s="116">
        <v>49.7</v>
      </c>
      <c r="J44" s="116">
        <v>44.9</v>
      </c>
      <c r="K44" s="116">
        <v>41.2</v>
      </c>
      <c r="L44" s="116">
        <v>38.1</v>
      </c>
      <c r="M44" s="116">
        <v>35.5</v>
      </c>
      <c r="N44" s="116">
        <v>33.4</v>
      </c>
      <c r="O44" s="116">
        <v>31.5</v>
      </c>
      <c r="P44" s="116">
        <v>29.9</v>
      </c>
      <c r="Q44" s="116">
        <v>28.6</v>
      </c>
      <c r="R44" s="116">
        <v>27.3</v>
      </c>
      <c r="S44" s="116">
        <v>26.3</v>
      </c>
      <c r="T44" s="116">
        <v>25.3</v>
      </c>
      <c r="U44" s="116">
        <v>24.5</v>
      </c>
    </row>
    <row r="45" spans="1:21" x14ac:dyDescent="0.25">
      <c r="A45" s="80">
        <v>34</v>
      </c>
      <c r="B45" s="116">
        <v>354.6</v>
      </c>
      <c r="C45" s="116">
        <v>180.6</v>
      </c>
      <c r="D45" s="116">
        <v>122.6</v>
      </c>
      <c r="E45" s="116">
        <v>93.7</v>
      </c>
      <c r="F45" s="116">
        <v>76.3</v>
      </c>
      <c r="G45" s="116">
        <v>64.8</v>
      </c>
      <c r="H45" s="116">
        <v>56.5</v>
      </c>
      <c r="I45" s="116">
        <v>50.4</v>
      </c>
      <c r="J45" s="116">
        <v>45.6</v>
      </c>
      <c r="K45" s="116">
        <v>41.7</v>
      </c>
      <c r="L45" s="116">
        <v>38.6</v>
      </c>
      <c r="M45" s="116">
        <v>36</v>
      </c>
      <c r="N45" s="116">
        <v>33.799999999999997</v>
      </c>
      <c r="O45" s="116">
        <v>32</v>
      </c>
      <c r="P45" s="116">
        <v>30.4</v>
      </c>
      <c r="Q45" s="116">
        <v>29</v>
      </c>
      <c r="R45" s="116">
        <v>27.7</v>
      </c>
      <c r="S45" s="116">
        <v>26.6</v>
      </c>
      <c r="T45" s="116">
        <v>25.7</v>
      </c>
      <c r="U45" s="116">
        <v>24.8</v>
      </c>
    </row>
    <row r="46" spans="1:21" x14ac:dyDescent="0.25">
      <c r="A46" s="80">
        <v>35</v>
      </c>
      <c r="B46" s="116">
        <v>359.4</v>
      </c>
      <c r="C46" s="116">
        <v>183.1</v>
      </c>
      <c r="D46" s="116">
        <v>124.3</v>
      </c>
      <c r="E46" s="116">
        <v>95</v>
      </c>
      <c r="F46" s="116">
        <v>77.400000000000006</v>
      </c>
      <c r="G46" s="116">
        <v>65.7</v>
      </c>
      <c r="H46" s="116">
        <v>57.3</v>
      </c>
      <c r="I46" s="116">
        <v>51</v>
      </c>
      <c r="J46" s="116">
        <v>46.2</v>
      </c>
      <c r="K46" s="116">
        <v>42.3</v>
      </c>
      <c r="L46" s="116">
        <v>39.200000000000003</v>
      </c>
      <c r="M46" s="116">
        <v>36.5</v>
      </c>
      <c r="N46" s="116">
        <v>34.299999999999997</v>
      </c>
      <c r="O46" s="116">
        <v>32.4</v>
      </c>
      <c r="P46" s="116">
        <v>30.8</v>
      </c>
      <c r="Q46" s="116">
        <v>29.4</v>
      </c>
      <c r="R46" s="116">
        <v>28.1</v>
      </c>
      <c r="S46" s="116">
        <v>27</v>
      </c>
      <c r="T46" s="116">
        <v>26</v>
      </c>
      <c r="U46" s="116">
        <v>25.2</v>
      </c>
    </row>
    <row r="47" spans="1:21" x14ac:dyDescent="0.25">
      <c r="A47" s="80">
        <v>36</v>
      </c>
      <c r="B47" s="116">
        <v>364.3</v>
      </c>
      <c r="C47" s="116">
        <v>185.6</v>
      </c>
      <c r="D47" s="116">
        <v>126</v>
      </c>
      <c r="E47" s="116">
        <v>96.3</v>
      </c>
      <c r="F47" s="116">
        <v>78.400000000000006</v>
      </c>
      <c r="G47" s="116">
        <v>66.599999999999994</v>
      </c>
      <c r="H47" s="116">
        <v>58.1</v>
      </c>
      <c r="I47" s="116">
        <v>51.8</v>
      </c>
      <c r="J47" s="116">
        <v>46.8</v>
      </c>
      <c r="K47" s="116">
        <v>42.9</v>
      </c>
      <c r="L47" s="116">
        <v>39.700000000000003</v>
      </c>
      <c r="M47" s="116">
        <v>37</v>
      </c>
      <c r="N47" s="116">
        <v>34.799999999999997</v>
      </c>
      <c r="O47" s="116">
        <v>32.9</v>
      </c>
      <c r="P47" s="116">
        <v>31.2</v>
      </c>
      <c r="Q47" s="116">
        <v>29.8</v>
      </c>
      <c r="R47" s="116">
        <v>28.5</v>
      </c>
      <c r="S47" s="116">
        <v>27.4</v>
      </c>
      <c r="T47" s="116">
        <v>26.4</v>
      </c>
      <c r="U47" s="116">
        <v>25.5</v>
      </c>
    </row>
    <row r="48" spans="1:21" x14ac:dyDescent="0.25">
      <c r="A48" s="80">
        <v>37</v>
      </c>
      <c r="B48" s="116">
        <v>369.3</v>
      </c>
      <c r="C48" s="116">
        <v>188.1</v>
      </c>
      <c r="D48" s="116">
        <v>127.7</v>
      </c>
      <c r="E48" s="116">
        <v>97.6</v>
      </c>
      <c r="F48" s="116">
        <v>79.5</v>
      </c>
      <c r="G48" s="116">
        <v>67.5</v>
      </c>
      <c r="H48" s="116">
        <v>58.9</v>
      </c>
      <c r="I48" s="116">
        <v>52.5</v>
      </c>
      <c r="J48" s="116">
        <v>47.5</v>
      </c>
      <c r="K48" s="116">
        <v>43.5</v>
      </c>
      <c r="L48" s="116">
        <v>40.299999999999997</v>
      </c>
      <c r="M48" s="116">
        <v>37.6</v>
      </c>
      <c r="N48" s="116">
        <v>35.299999999999997</v>
      </c>
      <c r="O48" s="116">
        <v>33.4</v>
      </c>
      <c r="P48" s="116">
        <v>31.7</v>
      </c>
      <c r="Q48" s="116">
        <v>30.2</v>
      </c>
      <c r="R48" s="116">
        <v>28.9</v>
      </c>
      <c r="S48" s="116">
        <v>27.8</v>
      </c>
      <c r="T48" s="116">
        <v>26.8</v>
      </c>
      <c r="U48" s="116">
        <v>25.9</v>
      </c>
    </row>
    <row r="49" spans="1:21" x14ac:dyDescent="0.25">
      <c r="A49" s="80">
        <v>38</v>
      </c>
      <c r="B49" s="116">
        <v>374.3</v>
      </c>
      <c r="C49" s="116">
        <v>190.7</v>
      </c>
      <c r="D49" s="116">
        <v>129.5</v>
      </c>
      <c r="E49" s="116">
        <v>98.9</v>
      </c>
      <c r="F49" s="116">
        <v>80.599999999999994</v>
      </c>
      <c r="G49" s="116">
        <v>68.400000000000006</v>
      </c>
      <c r="H49" s="116">
        <v>59.7</v>
      </c>
      <c r="I49" s="116">
        <v>53.2</v>
      </c>
      <c r="J49" s="116">
        <v>48.2</v>
      </c>
      <c r="K49" s="116">
        <v>44.1</v>
      </c>
      <c r="L49" s="116">
        <v>40.799999999999997</v>
      </c>
      <c r="M49" s="116">
        <v>38.1</v>
      </c>
      <c r="N49" s="116">
        <v>35.799999999999997</v>
      </c>
      <c r="O49" s="116">
        <v>33.799999999999997</v>
      </c>
      <c r="P49" s="116">
        <v>32.1</v>
      </c>
      <c r="Q49" s="116">
        <v>30.7</v>
      </c>
      <c r="R49" s="116">
        <v>29.4</v>
      </c>
      <c r="S49" s="116">
        <v>28.2</v>
      </c>
      <c r="T49" s="116">
        <v>27.2</v>
      </c>
      <c r="U49" s="116">
        <v>26.3</v>
      </c>
    </row>
    <row r="50" spans="1:21" x14ac:dyDescent="0.25">
      <c r="A50" s="80">
        <v>39</v>
      </c>
      <c r="B50" s="116">
        <v>379.4</v>
      </c>
      <c r="C50" s="116">
        <v>193.3</v>
      </c>
      <c r="D50" s="116">
        <v>131.30000000000001</v>
      </c>
      <c r="E50" s="116">
        <v>100.3</v>
      </c>
      <c r="F50" s="116">
        <v>81.7</v>
      </c>
      <c r="G50" s="116">
        <v>69.400000000000006</v>
      </c>
      <c r="H50" s="116">
        <v>60.5</v>
      </c>
      <c r="I50" s="116">
        <v>53.9</v>
      </c>
      <c r="J50" s="116">
        <v>48.8</v>
      </c>
      <c r="K50" s="116">
        <v>44.7</v>
      </c>
      <c r="L50" s="116">
        <v>41.4</v>
      </c>
      <c r="M50" s="116">
        <v>38.6</v>
      </c>
      <c r="N50" s="116">
        <v>36.299999999999997</v>
      </c>
      <c r="O50" s="116">
        <v>34.299999999999997</v>
      </c>
      <c r="P50" s="116">
        <v>32.6</v>
      </c>
      <c r="Q50" s="116">
        <v>31.1</v>
      </c>
      <c r="R50" s="116">
        <v>29.8</v>
      </c>
      <c r="S50" s="116">
        <v>28.6</v>
      </c>
      <c r="T50" s="116">
        <v>27.6</v>
      </c>
      <c r="U50" s="116">
        <v>26.7</v>
      </c>
    </row>
    <row r="51" spans="1:21" x14ac:dyDescent="0.25">
      <c r="A51" s="80">
        <v>40</v>
      </c>
      <c r="B51" s="116">
        <v>384.6</v>
      </c>
      <c r="C51" s="116">
        <v>195.9</v>
      </c>
      <c r="D51" s="116">
        <v>133.1</v>
      </c>
      <c r="E51" s="116">
        <v>101.7</v>
      </c>
      <c r="F51" s="116">
        <v>82.9</v>
      </c>
      <c r="G51" s="116">
        <v>70.3</v>
      </c>
      <c r="H51" s="116">
        <v>61.4</v>
      </c>
      <c r="I51" s="116">
        <v>54.7</v>
      </c>
      <c r="J51" s="116">
        <v>49.5</v>
      </c>
      <c r="K51" s="116">
        <v>45.4</v>
      </c>
      <c r="L51" s="116">
        <v>42</v>
      </c>
      <c r="M51" s="116">
        <v>39.200000000000003</v>
      </c>
      <c r="N51" s="116">
        <v>36.799999999999997</v>
      </c>
      <c r="O51" s="116">
        <v>34.799999999999997</v>
      </c>
      <c r="P51" s="116">
        <v>33.1</v>
      </c>
      <c r="Q51" s="116">
        <v>31.6</v>
      </c>
      <c r="R51" s="116">
        <v>30.2</v>
      </c>
      <c r="S51" s="116">
        <v>29.1</v>
      </c>
      <c r="T51" s="116">
        <v>28</v>
      </c>
      <c r="U51" s="116"/>
    </row>
    <row r="52" spans="1:21" x14ac:dyDescent="0.25">
      <c r="A52" s="80">
        <v>41</v>
      </c>
      <c r="B52" s="116">
        <v>389.8</v>
      </c>
      <c r="C52" s="116">
        <v>198.6</v>
      </c>
      <c r="D52" s="116">
        <v>134.9</v>
      </c>
      <c r="E52" s="116">
        <v>103.1</v>
      </c>
      <c r="F52" s="116">
        <v>84</v>
      </c>
      <c r="G52" s="116">
        <v>71.3</v>
      </c>
      <c r="H52" s="116">
        <v>62.3</v>
      </c>
      <c r="I52" s="116">
        <v>55.5</v>
      </c>
      <c r="J52" s="116">
        <v>50.2</v>
      </c>
      <c r="K52" s="116">
        <v>46</v>
      </c>
      <c r="L52" s="116">
        <v>42.6</v>
      </c>
      <c r="M52" s="116">
        <v>39.799999999999997</v>
      </c>
      <c r="N52" s="116">
        <v>37.4</v>
      </c>
      <c r="O52" s="116">
        <v>35.299999999999997</v>
      </c>
      <c r="P52" s="116">
        <v>33.6</v>
      </c>
      <c r="Q52" s="116">
        <v>32</v>
      </c>
      <c r="R52" s="116">
        <v>30.7</v>
      </c>
      <c r="S52" s="116">
        <v>29.5</v>
      </c>
      <c r="T52" s="116"/>
      <c r="U52" s="116"/>
    </row>
    <row r="53" spans="1:21" x14ac:dyDescent="0.25">
      <c r="A53" s="80">
        <v>42</v>
      </c>
      <c r="B53" s="116">
        <v>395.2</v>
      </c>
      <c r="C53" s="116">
        <v>201.3</v>
      </c>
      <c r="D53" s="116">
        <v>136.80000000000001</v>
      </c>
      <c r="E53" s="116">
        <v>104.5</v>
      </c>
      <c r="F53" s="116">
        <v>85.2</v>
      </c>
      <c r="G53" s="116">
        <v>72.3</v>
      </c>
      <c r="H53" s="116">
        <v>63.1</v>
      </c>
      <c r="I53" s="116">
        <v>56.3</v>
      </c>
      <c r="J53" s="116">
        <v>50.9</v>
      </c>
      <c r="K53" s="116">
        <v>46.7</v>
      </c>
      <c r="L53" s="116">
        <v>43.2</v>
      </c>
      <c r="M53" s="116">
        <v>40.299999999999997</v>
      </c>
      <c r="N53" s="116">
        <v>37.9</v>
      </c>
      <c r="O53" s="116">
        <v>35.9</v>
      </c>
      <c r="P53" s="116">
        <v>34.1</v>
      </c>
      <c r="Q53" s="116">
        <v>32.5</v>
      </c>
      <c r="R53" s="116">
        <v>31.2</v>
      </c>
      <c r="S53" s="116"/>
      <c r="T53" s="116"/>
      <c r="U53" s="116"/>
    </row>
    <row r="54" spans="1:21" x14ac:dyDescent="0.25">
      <c r="A54" s="80">
        <v>43</v>
      </c>
      <c r="B54" s="116">
        <v>400.6</v>
      </c>
      <c r="C54" s="116">
        <v>204.1</v>
      </c>
      <c r="D54" s="116">
        <v>138.6</v>
      </c>
      <c r="E54" s="116">
        <v>106</v>
      </c>
      <c r="F54" s="116">
        <v>86.4</v>
      </c>
      <c r="G54" s="116">
        <v>73.3</v>
      </c>
      <c r="H54" s="116">
        <v>64</v>
      </c>
      <c r="I54" s="116">
        <v>57</v>
      </c>
      <c r="J54" s="116">
        <v>51.7</v>
      </c>
      <c r="K54" s="116">
        <v>47.3</v>
      </c>
      <c r="L54" s="116">
        <v>43.8</v>
      </c>
      <c r="M54" s="116">
        <v>40.9</v>
      </c>
      <c r="N54" s="116">
        <v>38.5</v>
      </c>
      <c r="O54" s="116">
        <v>36.4</v>
      </c>
      <c r="P54" s="116">
        <v>34.6</v>
      </c>
      <c r="Q54" s="116">
        <v>33</v>
      </c>
      <c r="R54" s="116"/>
      <c r="S54" s="116"/>
      <c r="T54" s="116"/>
      <c r="U54" s="116"/>
    </row>
    <row r="55" spans="1:21" x14ac:dyDescent="0.25">
      <c r="A55" s="80">
        <v>44</v>
      </c>
      <c r="B55" s="116">
        <v>406</v>
      </c>
      <c r="C55" s="116">
        <v>206.9</v>
      </c>
      <c r="D55" s="116">
        <v>140.6</v>
      </c>
      <c r="E55" s="116">
        <v>107.4</v>
      </c>
      <c r="F55" s="116">
        <v>87.6</v>
      </c>
      <c r="G55" s="116">
        <v>74.3</v>
      </c>
      <c r="H55" s="116">
        <v>64.900000000000006</v>
      </c>
      <c r="I55" s="116">
        <v>57.9</v>
      </c>
      <c r="J55" s="116">
        <v>52.4</v>
      </c>
      <c r="K55" s="116">
        <v>48</v>
      </c>
      <c r="L55" s="116">
        <v>44.5</v>
      </c>
      <c r="M55" s="116">
        <v>41.5</v>
      </c>
      <c r="N55" s="116">
        <v>39.1</v>
      </c>
      <c r="O55" s="116">
        <v>36.9</v>
      </c>
      <c r="P55" s="116">
        <v>35.1</v>
      </c>
      <c r="Q55" s="116"/>
      <c r="R55" s="116"/>
      <c r="S55" s="116"/>
      <c r="T55" s="116"/>
      <c r="U55" s="116"/>
    </row>
    <row r="56" spans="1:21" x14ac:dyDescent="0.25">
      <c r="A56" s="80">
        <v>45</v>
      </c>
      <c r="B56" s="116">
        <v>411.6</v>
      </c>
      <c r="C56" s="116">
        <v>209.8</v>
      </c>
      <c r="D56" s="116">
        <v>142.5</v>
      </c>
      <c r="E56" s="116">
        <v>108.9</v>
      </c>
      <c r="F56" s="116">
        <v>88.8</v>
      </c>
      <c r="G56" s="116">
        <v>75.400000000000006</v>
      </c>
      <c r="H56" s="116">
        <v>65.8</v>
      </c>
      <c r="I56" s="116">
        <v>58.7</v>
      </c>
      <c r="J56" s="116">
        <v>53.2</v>
      </c>
      <c r="K56" s="116">
        <v>48.7</v>
      </c>
      <c r="L56" s="116">
        <v>45.1</v>
      </c>
      <c r="M56" s="116">
        <v>42.2</v>
      </c>
      <c r="N56" s="116">
        <v>39.700000000000003</v>
      </c>
      <c r="O56" s="116">
        <v>37.5</v>
      </c>
      <c r="P56" s="116"/>
      <c r="Q56" s="116"/>
      <c r="R56" s="116"/>
      <c r="S56" s="116"/>
      <c r="T56" s="116"/>
      <c r="U56" s="116"/>
    </row>
    <row r="57" spans="1:21" x14ac:dyDescent="0.25">
      <c r="A57" s="80">
        <v>46</v>
      </c>
      <c r="B57" s="116">
        <v>417.3</v>
      </c>
      <c r="C57" s="116">
        <v>212.6</v>
      </c>
      <c r="D57" s="116">
        <v>144.5</v>
      </c>
      <c r="E57" s="116">
        <v>110.4</v>
      </c>
      <c r="F57" s="116">
        <v>90</v>
      </c>
      <c r="G57" s="116">
        <v>76.5</v>
      </c>
      <c r="H57" s="116">
        <v>66.8</v>
      </c>
      <c r="I57" s="116">
        <v>59.5</v>
      </c>
      <c r="J57" s="116">
        <v>53.9</v>
      </c>
      <c r="K57" s="116">
        <v>49.5</v>
      </c>
      <c r="L57" s="116">
        <v>45.8</v>
      </c>
      <c r="M57" s="116">
        <v>42.8</v>
      </c>
      <c r="N57" s="116">
        <v>40.299999999999997</v>
      </c>
      <c r="O57" s="116"/>
      <c r="P57" s="116"/>
      <c r="Q57" s="116"/>
      <c r="R57" s="116"/>
      <c r="S57" s="116"/>
      <c r="T57" s="116"/>
      <c r="U57" s="116"/>
    </row>
    <row r="58" spans="1:21" x14ac:dyDescent="0.25">
      <c r="A58" s="80">
        <v>47</v>
      </c>
      <c r="B58" s="116">
        <v>423</v>
      </c>
      <c r="C58" s="116">
        <v>215.6</v>
      </c>
      <c r="D58" s="116">
        <v>146.5</v>
      </c>
      <c r="E58" s="116">
        <v>112</v>
      </c>
      <c r="F58" s="116">
        <v>91.3</v>
      </c>
      <c r="G58" s="116">
        <v>77.599999999999994</v>
      </c>
      <c r="H58" s="116">
        <v>67.8</v>
      </c>
      <c r="I58" s="116">
        <v>60.4</v>
      </c>
      <c r="J58" s="116">
        <v>54.7</v>
      </c>
      <c r="K58" s="116">
        <v>50.2</v>
      </c>
      <c r="L58" s="116">
        <v>46.5</v>
      </c>
      <c r="M58" s="116">
        <v>43.5</v>
      </c>
      <c r="N58" s="116"/>
      <c r="O58" s="116"/>
      <c r="P58" s="116"/>
      <c r="Q58" s="116"/>
      <c r="R58" s="116"/>
      <c r="S58" s="116"/>
      <c r="T58" s="116"/>
      <c r="U58" s="116"/>
    </row>
    <row r="59" spans="1:21" x14ac:dyDescent="0.25">
      <c r="A59" s="80">
        <v>48</v>
      </c>
      <c r="B59" s="116">
        <v>428.9</v>
      </c>
      <c r="C59" s="116">
        <v>218.6</v>
      </c>
      <c r="D59" s="116">
        <v>148.6</v>
      </c>
      <c r="E59" s="116">
        <v>113.6</v>
      </c>
      <c r="F59" s="116">
        <v>92.6</v>
      </c>
      <c r="G59" s="116">
        <v>78.7</v>
      </c>
      <c r="H59" s="116">
        <v>68.8</v>
      </c>
      <c r="I59" s="116">
        <v>61.3</v>
      </c>
      <c r="J59" s="116">
        <v>55.6</v>
      </c>
      <c r="K59" s="116">
        <v>51</v>
      </c>
      <c r="L59" s="116">
        <v>47.3</v>
      </c>
      <c r="M59" s="116"/>
      <c r="N59" s="116"/>
      <c r="O59" s="116"/>
      <c r="P59" s="116"/>
      <c r="Q59" s="116"/>
      <c r="R59" s="116"/>
      <c r="S59" s="116"/>
      <c r="T59" s="116"/>
      <c r="U59" s="116"/>
    </row>
    <row r="60" spans="1:21" x14ac:dyDescent="0.25">
      <c r="A60" s="80">
        <v>49</v>
      </c>
      <c r="B60" s="116">
        <v>434.8</v>
      </c>
      <c r="C60" s="116">
        <v>221.7</v>
      </c>
      <c r="D60" s="116">
        <v>150.69999999999999</v>
      </c>
      <c r="E60" s="116">
        <v>115.2</v>
      </c>
      <c r="F60" s="116">
        <v>94</v>
      </c>
      <c r="G60" s="116">
        <v>79.900000000000006</v>
      </c>
      <c r="H60" s="116">
        <v>69.8</v>
      </c>
      <c r="I60" s="116">
        <v>62.3</v>
      </c>
      <c r="J60" s="116">
        <v>56.5</v>
      </c>
      <c r="K60" s="116">
        <v>51.8</v>
      </c>
      <c r="L60" s="116"/>
      <c r="M60" s="116"/>
      <c r="N60" s="116"/>
      <c r="O60" s="116"/>
      <c r="P60" s="116"/>
      <c r="Q60" s="116"/>
      <c r="R60" s="116"/>
      <c r="S60" s="116"/>
      <c r="T60" s="116"/>
      <c r="U60" s="116"/>
    </row>
    <row r="61" spans="1:21" x14ac:dyDescent="0.25">
      <c r="A61" s="80">
        <v>50</v>
      </c>
      <c r="B61" s="116">
        <v>441</v>
      </c>
      <c r="C61" s="116">
        <v>224.9</v>
      </c>
      <c r="D61" s="116">
        <v>152.9</v>
      </c>
      <c r="E61" s="116">
        <v>116.9</v>
      </c>
      <c r="F61" s="116">
        <v>95.4</v>
      </c>
      <c r="G61" s="116">
        <v>81.099999999999994</v>
      </c>
      <c r="H61" s="116">
        <v>70.900000000000006</v>
      </c>
      <c r="I61" s="116">
        <v>63.3</v>
      </c>
      <c r="J61" s="116">
        <v>57.4</v>
      </c>
      <c r="K61" s="116"/>
      <c r="L61" s="116"/>
      <c r="M61" s="116"/>
      <c r="N61" s="116"/>
      <c r="O61" s="116"/>
      <c r="P61" s="116"/>
      <c r="Q61" s="116"/>
      <c r="R61" s="116"/>
      <c r="S61" s="116"/>
      <c r="T61" s="116"/>
      <c r="U61" s="116"/>
    </row>
    <row r="62" spans="1:21" x14ac:dyDescent="0.25">
      <c r="A62" s="80">
        <v>51</v>
      </c>
      <c r="B62" s="116">
        <v>447.2</v>
      </c>
      <c r="C62" s="116">
        <v>228.1</v>
      </c>
      <c r="D62" s="116">
        <v>155.1</v>
      </c>
      <c r="E62" s="116">
        <v>118.7</v>
      </c>
      <c r="F62" s="116">
        <v>96.9</v>
      </c>
      <c r="G62" s="116">
        <v>82.3</v>
      </c>
      <c r="H62" s="116">
        <v>72</v>
      </c>
      <c r="I62" s="116">
        <v>64.3</v>
      </c>
      <c r="J62" s="116"/>
      <c r="K62" s="116"/>
      <c r="L62" s="116"/>
      <c r="M62" s="116"/>
      <c r="N62" s="116"/>
      <c r="O62" s="116"/>
      <c r="P62" s="116"/>
      <c r="Q62" s="116"/>
      <c r="R62" s="116"/>
      <c r="S62" s="116"/>
      <c r="T62" s="116"/>
      <c r="U62" s="116"/>
    </row>
    <row r="63" spans="1:21" x14ac:dyDescent="0.25">
      <c r="A63" s="80">
        <v>52</v>
      </c>
      <c r="B63" s="116">
        <v>453.6</v>
      </c>
      <c r="C63" s="116">
        <v>231.4</v>
      </c>
      <c r="D63" s="116">
        <v>157.4</v>
      </c>
      <c r="E63" s="116">
        <v>120.5</v>
      </c>
      <c r="F63" s="116">
        <v>98.3</v>
      </c>
      <c r="G63" s="116">
        <v>83.6</v>
      </c>
      <c r="H63" s="116">
        <v>73.099999999999994</v>
      </c>
      <c r="I63" s="116"/>
      <c r="J63" s="116"/>
      <c r="K63" s="116"/>
      <c r="L63" s="116"/>
      <c r="M63" s="116"/>
      <c r="N63" s="116"/>
      <c r="O63" s="116"/>
      <c r="P63" s="116"/>
      <c r="Q63" s="116"/>
      <c r="R63" s="116"/>
      <c r="S63" s="116"/>
      <c r="T63" s="116"/>
      <c r="U63" s="116"/>
    </row>
    <row r="64" spans="1:21" x14ac:dyDescent="0.25">
      <c r="A64" s="80">
        <v>53</v>
      </c>
      <c r="B64" s="116">
        <v>460.1</v>
      </c>
      <c r="C64" s="116">
        <v>234.8</v>
      </c>
      <c r="D64" s="116">
        <v>159.69999999999999</v>
      </c>
      <c r="E64" s="116">
        <v>122.3</v>
      </c>
      <c r="F64" s="116">
        <v>99.9</v>
      </c>
      <c r="G64" s="116">
        <v>84.9</v>
      </c>
      <c r="H64" s="116"/>
      <c r="I64" s="116"/>
      <c r="J64" s="116"/>
      <c r="K64" s="116"/>
      <c r="L64" s="116"/>
      <c r="M64" s="116"/>
      <c r="N64" s="116"/>
      <c r="O64" s="116"/>
      <c r="P64" s="116"/>
      <c r="Q64" s="116"/>
      <c r="R64" s="116"/>
      <c r="S64" s="116"/>
      <c r="T64" s="116"/>
      <c r="U64" s="116"/>
    </row>
    <row r="65" spans="1:21" x14ac:dyDescent="0.25">
      <c r="A65" s="80">
        <v>54</v>
      </c>
      <c r="B65" s="116">
        <v>464.6</v>
      </c>
      <c r="C65" s="116">
        <v>237.2</v>
      </c>
      <c r="D65" s="116">
        <v>161.4</v>
      </c>
      <c r="E65" s="116">
        <v>123.6</v>
      </c>
      <c r="F65" s="116">
        <v>101</v>
      </c>
      <c r="G65" s="116"/>
      <c r="H65" s="116"/>
      <c r="I65" s="116"/>
      <c r="J65" s="116"/>
      <c r="K65" s="116"/>
      <c r="L65" s="116"/>
      <c r="M65" s="116"/>
      <c r="N65" s="116"/>
      <c r="O65" s="116"/>
      <c r="P65" s="116"/>
      <c r="Q65" s="116"/>
      <c r="R65" s="116"/>
      <c r="S65" s="116"/>
      <c r="T65" s="116"/>
      <c r="U65" s="116"/>
    </row>
    <row r="66" spans="1:21" x14ac:dyDescent="0.25">
      <c r="A66" s="80">
        <v>55</v>
      </c>
      <c r="B66" s="116">
        <v>466.6</v>
      </c>
      <c r="C66" s="116">
        <v>238.2</v>
      </c>
      <c r="D66" s="116">
        <v>162.19999999999999</v>
      </c>
      <c r="E66" s="116">
        <v>124.2</v>
      </c>
      <c r="F66" s="116"/>
      <c r="G66" s="116"/>
      <c r="H66" s="116"/>
      <c r="I66" s="116"/>
      <c r="J66" s="116"/>
      <c r="K66" s="116"/>
      <c r="L66" s="116"/>
      <c r="M66" s="116"/>
      <c r="N66" s="116"/>
      <c r="O66" s="116"/>
      <c r="P66" s="116"/>
      <c r="Q66" s="116"/>
      <c r="R66" s="116"/>
      <c r="S66" s="116"/>
      <c r="T66" s="116"/>
      <c r="U66" s="116"/>
    </row>
    <row r="67" spans="1:21" x14ac:dyDescent="0.25">
      <c r="A67" s="80">
        <v>56</v>
      </c>
      <c r="B67" s="116">
        <v>468.7</v>
      </c>
      <c r="C67" s="116">
        <v>239.4</v>
      </c>
      <c r="D67" s="116">
        <v>163</v>
      </c>
      <c r="E67" s="116"/>
      <c r="F67" s="116"/>
      <c r="G67" s="116"/>
      <c r="H67" s="116"/>
      <c r="I67" s="116"/>
      <c r="J67" s="116"/>
      <c r="K67" s="116"/>
      <c r="L67" s="116"/>
      <c r="M67" s="116"/>
      <c r="N67" s="116"/>
      <c r="O67" s="116"/>
      <c r="P67" s="116"/>
      <c r="Q67" s="116"/>
      <c r="R67" s="116"/>
      <c r="S67" s="116"/>
      <c r="T67" s="116"/>
      <c r="U67" s="116"/>
    </row>
    <row r="68" spans="1:21" x14ac:dyDescent="0.25">
      <c r="A68" s="80">
        <v>57</v>
      </c>
      <c r="B68" s="116">
        <v>471.3</v>
      </c>
      <c r="C68" s="116">
        <v>240.8</v>
      </c>
      <c r="D68" s="116"/>
      <c r="E68" s="116"/>
      <c r="F68" s="116"/>
      <c r="G68" s="116"/>
      <c r="H68" s="116"/>
      <c r="I68" s="116"/>
      <c r="J68" s="116"/>
      <c r="K68" s="116"/>
      <c r="L68" s="116"/>
      <c r="M68" s="116"/>
      <c r="N68" s="116"/>
      <c r="O68" s="116"/>
      <c r="P68" s="116"/>
      <c r="Q68" s="116"/>
      <c r="R68" s="116"/>
      <c r="S68" s="116"/>
      <c r="T68" s="116"/>
      <c r="U68" s="116"/>
    </row>
    <row r="69" spans="1:21" x14ac:dyDescent="0.25">
      <c r="A69" s="80">
        <v>58</v>
      </c>
      <c r="B69" s="116">
        <v>473.7</v>
      </c>
      <c r="C69" s="116"/>
      <c r="D69" s="116"/>
      <c r="E69" s="116"/>
      <c r="F69" s="116"/>
      <c r="G69" s="116"/>
      <c r="H69" s="116"/>
      <c r="I69" s="116"/>
      <c r="J69" s="116"/>
      <c r="K69" s="116"/>
      <c r="L69" s="116"/>
      <c r="M69" s="116"/>
      <c r="N69" s="116"/>
      <c r="O69" s="116"/>
      <c r="P69" s="116"/>
      <c r="Q69" s="116"/>
      <c r="R69" s="116"/>
      <c r="S69" s="116"/>
      <c r="T69" s="116"/>
      <c r="U69" s="116"/>
    </row>
  </sheetData>
  <sheetProtection algorithmName="SHA-512" hashValue="8YxRdcMiP9UTzmuyTEJ2SamPFCYQEk/y4BryoBhlYUFazNwHlIYZPDkqRrfjQXYrdgHMlYNQKF34Q52TMw592g==" saltValue="xCfR6ejOMYTBTltKg5aFKA==" spinCount="100000" sheet="1" objects="1" scenarios="1"/>
  <conditionalFormatting sqref="A6:A21">
    <cfRule type="expression" dxfId="399" priority="9" stopIfTrue="1">
      <formula>MOD(ROW(),2)=0</formula>
    </cfRule>
    <cfRule type="expression" dxfId="398" priority="10" stopIfTrue="1">
      <formula>MOD(ROW(),2)&lt;&gt;0</formula>
    </cfRule>
  </conditionalFormatting>
  <conditionalFormatting sqref="A26:A69">
    <cfRule type="expression" dxfId="397" priority="11" stopIfTrue="1">
      <formula>MOD(ROW(),2)=0</formula>
    </cfRule>
    <cfRule type="expression" dxfId="396" priority="12" stopIfTrue="1">
      <formula>MOD(ROW(),2)&lt;&gt;0</formula>
    </cfRule>
  </conditionalFormatting>
  <conditionalFormatting sqref="B17:B21">
    <cfRule type="expression" dxfId="395" priority="1" stopIfTrue="1">
      <formula>MOD(ROW(),2)=0</formula>
    </cfRule>
    <cfRule type="expression" dxfId="394" priority="2" stopIfTrue="1">
      <formula>MOD(ROW(),2)&lt;&gt;0</formula>
    </cfRule>
  </conditionalFormatting>
  <conditionalFormatting sqref="B6:U21">
    <cfRule type="expression" dxfId="393" priority="17" stopIfTrue="1">
      <formula>MOD(ROW(),2)=0</formula>
    </cfRule>
    <cfRule type="expression" dxfId="392" priority="18" stopIfTrue="1">
      <formula>MOD(ROW(),2)&lt;&gt;0</formula>
    </cfRule>
  </conditionalFormatting>
  <conditionalFormatting sqref="B26:U69">
    <cfRule type="expression" dxfId="391" priority="13" stopIfTrue="1">
      <formula>MOD(ROW(),2)=0</formula>
    </cfRule>
    <cfRule type="expression" dxfId="390" priority="14" stopIfTrue="1">
      <formula>MOD(ROW(),2)&lt;&gt;0</formula>
    </cfRule>
  </conditionalFormatting>
  <hyperlinks>
    <hyperlink ref="B24" location="Assumptions!A1" display="Assumptions" xr:uid="{78C16619-4D90-4F63-9A42-ADB75EAD55E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CA0A-206E-4DAD-900A-E135DE5453A2}">
  <sheetPr codeName="Sheet95"/>
  <dimension ref="A1:V173"/>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x-710</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74</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573</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2</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710</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574</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575</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212.5</v>
      </c>
      <c r="C27" s="116">
        <v>108.2</v>
      </c>
      <c r="D27" s="116">
        <v>73.5</v>
      </c>
      <c r="E27" s="116">
        <v>56.1</v>
      </c>
      <c r="F27" s="116">
        <v>45.7</v>
      </c>
      <c r="G27" s="116">
        <v>38.799999999999997</v>
      </c>
      <c r="H27" s="116">
        <v>33.799999999999997</v>
      </c>
      <c r="I27" s="116">
        <v>30.1</v>
      </c>
      <c r="J27" s="116">
        <v>27.3</v>
      </c>
      <c r="K27" s="116">
        <v>25</v>
      </c>
      <c r="L27" s="116">
        <v>23.1</v>
      </c>
      <c r="M27" s="116">
        <v>21.5</v>
      </c>
      <c r="N27" s="116">
        <v>20.2</v>
      </c>
      <c r="O27" s="116">
        <v>19.100000000000001</v>
      </c>
      <c r="P27" s="116">
        <v>18.100000000000001</v>
      </c>
      <c r="Q27" s="116">
        <v>17.3</v>
      </c>
      <c r="R27" s="116">
        <v>16.5</v>
      </c>
      <c r="S27" s="116">
        <v>15.9</v>
      </c>
      <c r="T27" s="116">
        <v>15.3</v>
      </c>
      <c r="U27" s="116">
        <v>14.8</v>
      </c>
    </row>
    <row r="28" spans="1:21" x14ac:dyDescent="0.25">
      <c r="A28" s="80">
        <v>17</v>
      </c>
      <c r="B28" s="116">
        <v>215.4</v>
      </c>
      <c r="C28" s="116">
        <v>109.7</v>
      </c>
      <c r="D28" s="116">
        <v>74.5</v>
      </c>
      <c r="E28" s="116">
        <v>56.9</v>
      </c>
      <c r="F28" s="116">
        <v>46.3</v>
      </c>
      <c r="G28" s="116">
        <v>39.299999999999997</v>
      </c>
      <c r="H28" s="116">
        <v>34.299999999999997</v>
      </c>
      <c r="I28" s="116">
        <v>30.5</v>
      </c>
      <c r="J28" s="116">
        <v>27.6</v>
      </c>
      <c r="K28" s="116">
        <v>25.3</v>
      </c>
      <c r="L28" s="116">
        <v>23.4</v>
      </c>
      <c r="M28" s="116">
        <v>21.8</v>
      </c>
      <c r="N28" s="116">
        <v>20.5</v>
      </c>
      <c r="O28" s="116">
        <v>19.399999999999999</v>
      </c>
      <c r="P28" s="116">
        <v>18.399999999999999</v>
      </c>
      <c r="Q28" s="116">
        <v>17.5</v>
      </c>
      <c r="R28" s="116">
        <v>16.8</v>
      </c>
      <c r="S28" s="116">
        <v>16.100000000000001</v>
      </c>
      <c r="T28" s="116">
        <v>15.5</v>
      </c>
      <c r="U28" s="116">
        <v>15</v>
      </c>
    </row>
    <row r="29" spans="1:21" x14ac:dyDescent="0.25">
      <c r="A29" s="80">
        <v>18</v>
      </c>
      <c r="B29" s="116">
        <v>218.4</v>
      </c>
      <c r="C29" s="116">
        <v>111.2</v>
      </c>
      <c r="D29" s="116">
        <v>75.5</v>
      </c>
      <c r="E29" s="116">
        <v>57.7</v>
      </c>
      <c r="F29" s="116">
        <v>47</v>
      </c>
      <c r="G29" s="116">
        <v>39.799999999999997</v>
      </c>
      <c r="H29" s="116">
        <v>34.799999999999997</v>
      </c>
      <c r="I29" s="116">
        <v>31</v>
      </c>
      <c r="J29" s="116">
        <v>28</v>
      </c>
      <c r="K29" s="116">
        <v>25.6</v>
      </c>
      <c r="L29" s="116">
        <v>23.7</v>
      </c>
      <c r="M29" s="116">
        <v>22.1</v>
      </c>
      <c r="N29" s="116">
        <v>20.8</v>
      </c>
      <c r="O29" s="116">
        <v>19.600000000000001</v>
      </c>
      <c r="P29" s="116">
        <v>18.600000000000001</v>
      </c>
      <c r="Q29" s="116">
        <v>17.8</v>
      </c>
      <c r="R29" s="116">
        <v>17</v>
      </c>
      <c r="S29" s="116">
        <v>16.3</v>
      </c>
      <c r="T29" s="116">
        <v>15.7</v>
      </c>
      <c r="U29" s="116">
        <v>15.2</v>
      </c>
    </row>
    <row r="30" spans="1:21" x14ac:dyDescent="0.25">
      <c r="A30" s="80">
        <v>19</v>
      </c>
      <c r="B30" s="116">
        <v>221.3</v>
      </c>
      <c r="C30" s="116">
        <v>112.7</v>
      </c>
      <c r="D30" s="116">
        <v>76.5</v>
      </c>
      <c r="E30" s="116">
        <v>58.4</v>
      </c>
      <c r="F30" s="116">
        <v>47.6</v>
      </c>
      <c r="G30" s="116">
        <v>40.4</v>
      </c>
      <c r="H30" s="116">
        <v>35.200000000000003</v>
      </c>
      <c r="I30" s="116">
        <v>31.4</v>
      </c>
      <c r="J30" s="116">
        <v>28.4</v>
      </c>
      <c r="K30" s="116">
        <v>26</v>
      </c>
      <c r="L30" s="116">
        <v>24</v>
      </c>
      <c r="M30" s="116">
        <v>22.4</v>
      </c>
      <c r="N30" s="116">
        <v>21.1</v>
      </c>
      <c r="O30" s="116">
        <v>19.899999999999999</v>
      </c>
      <c r="P30" s="116">
        <v>18.899999999999999</v>
      </c>
      <c r="Q30" s="116">
        <v>18</v>
      </c>
      <c r="R30" s="116">
        <v>17.2</v>
      </c>
      <c r="S30" s="116">
        <v>16.5</v>
      </c>
      <c r="T30" s="116">
        <v>15.9</v>
      </c>
      <c r="U30" s="116">
        <v>15.4</v>
      </c>
    </row>
    <row r="31" spans="1:21" x14ac:dyDescent="0.25">
      <c r="A31" s="80">
        <v>20</v>
      </c>
      <c r="B31" s="116">
        <v>224.3</v>
      </c>
      <c r="C31" s="116">
        <v>114.2</v>
      </c>
      <c r="D31" s="116">
        <v>77.599999999999994</v>
      </c>
      <c r="E31" s="116">
        <v>59.2</v>
      </c>
      <c r="F31" s="116">
        <v>48.2</v>
      </c>
      <c r="G31" s="116">
        <v>40.9</v>
      </c>
      <c r="H31" s="116">
        <v>35.700000000000003</v>
      </c>
      <c r="I31" s="116">
        <v>31.8</v>
      </c>
      <c r="J31" s="116">
        <v>28.8</v>
      </c>
      <c r="K31" s="116">
        <v>26.4</v>
      </c>
      <c r="L31" s="116">
        <v>24.4</v>
      </c>
      <c r="M31" s="116">
        <v>22.7</v>
      </c>
      <c r="N31" s="116">
        <v>21.3</v>
      </c>
      <c r="O31" s="116">
        <v>20.2</v>
      </c>
      <c r="P31" s="116">
        <v>19.100000000000001</v>
      </c>
      <c r="Q31" s="116">
        <v>18.2</v>
      </c>
      <c r="R31" s="116">
        <v>17.5</v>
      </c>
      <c r="S31" s="116">
        <v>16.8</v>
      </c>
      <c r="T31" s="116">
        <v>16.100000000000001</v>
      </c>
      <c r="U31" s="116">
        <v>15.6</v>
      </c>
    </row>
    <row r="32" spans="1:21" x14ac:dyDescent="0.25">
      <c r="A32" s="80">
        <v>21</v>
      </c>
      <c r="B32" s="116">
        <v>227.4</v>
      </c>
      <c r="C32" s="116">
        <v>115.8</v>
      </c>
      <c r="D32" s="116">
        <v>78.599999999999994</v>
      </c>
      <c r="E32" s="116">
        <v>60</v>
      </c>
      <c r="F32" s="116">
        <v>48.9</v>
      </c>
      <c r="G32" s="116">
        <v>41.5</v>
      </c>
      <c r="H32" s="116">
        <v>36.200000000000003</v>
      </c>
      <c r="I32" s="116">
        <v>32.200000000000003</v>
      </c>
      <c r="J32" s="116">
        <v>29.2</v>
      </c>
      <c r="K32" s="116">
        <v>26.7</v>
      </c>
      <c r="L32" s="116">
        <v>24.7</v>
      </c>
      <c r="M32" s="116">
        <v>23</v>
      </c>
      <c r="N32" s="116">
        <v>21.6</v>
      </c>
      <c r="O32" s="116">
        <v>20.399999999999999</v>
      </c>
      <c r="P32" s="116">
        <v>19.399999999999999</v>
      </c>
      <c r="Q32" s="116">
        <v>18.5</v>
      </c>
      <c r="R32" s="116">
        <v>17.7</v>
      </c>
      <c r="S32" s="116">
        <v>17</v>
      </c>
      <c r="T32" s="116">
        <v>16.399999999999999</v>
      </c>
      <c r="U32" s="116">
        <v>15.8</v>
      </c>
    </row>
    <row r="33" spans="1:21" x14ac:dyDescent="0.25">
      <c r="A33" s="80">
        <v>22</v>
      </c>
      <c r="B33" s="116">
        <v>230.4</v>
      </c>
      <c r="C33" s="116">
        <v>117.4</v>
      </c>
      <c r="D33" s="116">
        <v>79.7</v>
      </c>
      <c r="E33" s="116">
        <v>60.8</v>
      </c>
      <c r="F33" s="116">
        <v>49.6</v>
      </c>
      <c r="G33" s="116">
        <v>42</v>
      </c>
      <c r="H33" s="116">
        <v>36.700000000000003</v>
      </c>
      <c r="I33" s="116">
        <v>32.700000000000003</v>
      </c>
      <c r="J33" s="116">
        <v>29.6</v>
      </c>
      <c r="K33" s="116">
        <v>27.1</v>
      </c>
      <c r="L33" s="116">
        <v>25</v>
      </c>
      <c r="M33" s="116">
        <v>23.4</v>
      </c>
      <c r="N33" s="116">
        <v>21.9</v>
      </c>
      <c r="O33" s="116">
        <v>20.7</v>
      </c>
      <c r="P33" s="116">
        <v>19.7</v>
      </c>
      <c r="Q33" s="116">
        <v>18.7</v>
      </c>
      <c r="R33" s="116">
        <v>17.899999999999999</v>
      </c>
      <c r="S33" s="116">
        <v>17.2</v>
      </c>
      <c r="T33" s="116">
        <v>16.600000000000001</v>
      </c>
      <c r="U33" s="116">
        <v>16</v>
      </c>
    </row>
    <row r="34" spans="1:21" x14ac:dyDescent="0.25">
      <c r="A34" s="80">
        <v>23</v>
      </c>
      <c r="B34" s="116">
        <v>233.5</v>
      </c>
      <c r="C34" s="116">
        <v>118.9</v>
      </c>
      <c r="D34" s="116">
        <v>80.7</v>
      </c>
      <c r="E34" s="116">
        <v>61.7</v>
      </c>
      <c r="F34" s="116">
        <v>50.2</v>
      </c>
      <c r="G34" s="116">
        <v>42.6</v>
      </c>
      <c r="H34" s="116">
        <v>37.200000000000003</v>
      </c>
      <c r="I34" s="116">
        <v>33.1</v>
      </c>
      <c r="J34" s="116">
        <v>30</v>
      </c>
      <c r="K34" s="116">
        <v>27.4</v>
      </c>
      <c r="L34" s="116">
        <v>25.4</v>
      </c>
      <c r="M34" s="116">
        <v>23.7</v>
      </c>
      <c r="N34" s="116">
        <v>22.2</v>
      </c>
      <c r="O34" s="116">
        <v>21</v>
      </c>
      <c r="P34" s="116">
        <v>19.899999999999999</v>
      </c>
      <c r="Q34" s="116">
        <v>19</v>
      </c>
      <c r="R34" s="116">
        <v>18.2</v>
      </c>
      <c r="S34" s="116">
        <v>17.5</v>
      </c>
      <c r="T34" s="116">
        <v>16.8</v>
      </c>
      <c r="U34" s="116">
        <v>16.2</v>
      </c>
    </row>
    <row r="35" spans="1:21" x14ac:dyDescent="0.25">
      <c r="A35" s="80">
        <v>24</v>
      </c>
      <c r="B35" s="116">
        <v>236.7</v>
      </c>
      <c r="C35" s="116">
        <v>120.5</v>
      </c>
      <c r="D35" s="116">
        <v>81.8</v>
      </c>
      <c r="E35" s="116">
        <v>62.5</v>
      </c>
      <c r="F35" s="116">
        <v>50.9</v>
      </c>
      <c r="G35" s="116">
        <v>43.2</v>
      </c>
      <c r="H35" s="116">
        <v>37.700000000000003</v>
      </c>
      <c r="I35" s="116">
        <v>33.6</v>
      </c>
      <c r="J35" s="116">
        <v>30.4</v>
      </c>
      <c r="K35" s="116">
        <v>27.8</v>
      </c>
      <c r="L35" s="116">
        <v>25.7</v>
      </c>
      <c r="M35" s="116">
        <v>24</v>
      </c>
      <c r="N35" s="116">
        <v>22.5</v>
      </c>
      <c r="O35" s="116">
        <v>21.3</v>
      </c>
      <c r="P35" s="116">
        <v>20.2</v>
      </c>
      <c r="Q35" s="116">
        <v>19.3</v>
      </c>
      <c r="R35" s="116">
        <v>18.399999999999999</v>
      </c>
      <c r="S35" s="116">
        <v>17.7</v>
      </c>
      <c r="T35" s="116">
        <v>17.100000000000001</v>
      </c>
      <c r="U35" s="116">
        <v>16.5</v>
      </c>
    </row>
    <row r="36" spans="1:21" x14ac:dyDescent="0.25">
      <c r="A36" s="80">
        <v>25</v>
      </c>
      <c r="B36" s="116">
        <v>239.8</v>
      </c>
      <c r="C36" s="116">
        <v>122.1</v>
      </c>
      <c r="D36" s="116">
        <v>82.9</v>
      </c>
      <c r="E36" s="116">
        <v>63.3</v>
      </c>
      <c r="F36" s="116">
        <v>51.6</v>
      </c>
      <c r="G36" s="116">
        <v>43.8</v>
      </c>
      <c r="H36" s="116">
        <v>38.200000000000003</v>
      </c>
      <c r="I36" s="116">
        <v>34</v>
      </c>
      <c r="J36" s="116">
        <v>30.8</v>
      </c>
      <c r="K36" s="116">
        <v>28.2</v>
      </c>
      <c r="L36" s="116">
        <v>26.1</v>
      </c>
      <c r="M36" s="116">
        <v>24.3</v>
      </c>
      <c r="N36" s="116">
        <v>22.8</v>
      </c>
      <c r="O36" s="116">
        <v>21.6</v>
      </c>
      <c r="P36" s="116">
        <v>20.5</v>
      </c>
      <c r="Q36" s="116">
        <v>19.5</v>
      </c>
      <c r="R36" s="116">
        <v>18.7</v>
      </c>
      <c r="S36" s="116">
        <v>17.899999999999999</v>
      </c>
      <c r="T36" s="116">
        <v>17.3</v>
      </c>
      <c r="U36" s="116">
        <v>16.7</v>
      </c>
    </row>
    <row r="37" spans="1:21" x14ac:dyDescent="0.25">
      <c r="A37" s="80">
        <v>26</v>
      </c>
      <c r="B37" s="116">
        <v>243.1</v>
      </c>
      <c r="C37" s="116">
        <v>123.8</v>
      </c>
      <c r="D37" s="116">
        <v>84</v>
      </c>
      <c r="E37" s="116">
        <v>64.2</v>
      </c>
      <c r="F37" s="116">
        <v>52.3</v>
      </c>
      <c r="G37" s="116">
        <v>44.4</v>
      </c>
      <c r="H37" s="116">
        <v>38.700000000000003</v>
      </c>
      <c r="I37" s="116">
        <v>34.5</v>
      </c>
      <c r="J37" s="116">
        <v>31.2</v>
      </c>
      <c r="K37" s="116">
        <v>28.6</v>
      </c>
      <c r="L37" s="116">
        <v>26.4</v>
      </c>
      <c r="M37" s="116">
        <v>24.6</v>
      </c>
      <c r="N37" s="116">
        <v>23.1</v>
      </c>
      <c r="O37" s="116">
        <v>21.9</v>
      </c>
      <c r="P37" s="116">
        <v>20.8</v>
      </c>
      <c r="Q37" s="116">
        <v>19.8</v>
      </c>
      <c r="R37" s="116">
        <v>18.899999999999999</v>
      </c>
      <c r="S37" s="116">
        <v>18.2</v>
      </c>
      <c r="T37" s="116">
        <v>17.5</v>
      </c>
      <c r="U37" s="116">
        <v>16.899999999999999</v>
      </c>
    </row>
    <row r="38" spans="1:21" x14ac:dyDescent="0.25">
      <c r="A38" s="80">
        <v>27</v>
      </c>
      <c r="B38" s="116">
        <v>246.3</v>
      </c>
      <c r="C38" s="116">
        <v>125.4</v>
      </c>
      <c r="D38" s="116">
        <v>85.2</v>
      </c>
      <c r="E38" s="116">
        <v>65</v>
      </c>
      <c r="F38" s="116">
        <v>53</v>
      </c>
      <c r="G38" s="116">
        <v>45</v>
      </c>
      <c r="H38" s="116">
        <v>39.200000000000003</v>
      </c>
      <c r="I38" s="116">
        <v>34.9</v>
      </c>
      <c r="J38" s="116">
        <v>31.6</v>
      </c>
      <c r="K38" s="116">
        <v>28.9</v>
      </c>
      <c r="L38" s="116">
        <v>26.8</v>
      </c>
      <c r="M38" s="116">
        <v>25</v>
      </c>
      <c r="N38" s="116">
        <v>23.5</v>
      </c>
      <c r="O38" s="116">
        <v>22.2</v>
      </c>
      <c r="P38" s="116">
        <v>21</v>
      </c>
      <c r="Q38" s="116">
        <v>20.100000000000001</v>
      </c>
      <c r="R38" s="116">
        <v>19.2</v>
      </c>
      <c r="S38" s="116">
        <v>18.399999999999999</v>
      </c>
      <c r="T38" s="116">
        <v>17.8</v>
      </c>
      <c r="U38" s="116">
        <v>17.2</v>
      </c>
    </row>
    <row r="39" spans="1:21" x14ac:dyDescent="0.25">
      <c r="A39" s="80">
        <v>28</v>
      </c>
      <c r="B39" s="116">
        <v>249.6</v>
      </c>
      <c r="C39" s="116">
        <v>127.1</v>
      </c>
      <c r="D39" s="116">
        <v>86.3</v>
      </c>
      <c r="E39" s="116">
        <v>65.900000000000006</v>
      </c>
      <c r="F39" s="116">
        <v>53.7</v>
      </c>
      <c r="G39" s="116">
        <v>45.6</v>
      </c>
      <c r="H39" s="116">
        <v>39.799999999999997</v>
      </c>
      <c r="I39" s="116">
        <v>35.4</v>
      </c>
      <c r="J39" s="116">
        <v>32</v>
      </c>
      <c r="K39" s="116">
        <v>29.3</v>
      </c>
      <c r="L39" s="116">
        <v>27.1</v>
      </c>
      <c r="M39" s="116">
        <v>25.3</v>
      </c>
      <c r="N39" s="116">
        <v>23.8</v>
      </c>
      <c r="O39" s="116">
        <v>22.5</v>
      </c>
      <c r="P39" s="116">
        <v>21.3</v>
      </c>
      <c r="Q39" s="116">
        <v>20.3</v>
      </c>
      <c r="R39" s="116">
        <v>19.5</v>
      </c>
      <c r="S39" s="116">
        <v>18.7</v>
      </c>
      <c r="T39" s="116">
        <v>18</v>
      </c>
      <c r="U39" s="116">
        <v>17.399999999999999</v>
      </c>
    </row>
    <row r="40" spans="1:21" x14ac:dyDescent="0.25">
      <c r="A40" s="80">
        <v>29</v>
      </c>
      <c r="B40" s="116">
        <v>252.9</v>
      </c>
      <c r="C40" s="116">
        <v>128.80000000000001</v>
      </c>
      <c r="D40" s="116">
        <v>87.5</v>
      </c>
      <c r="E40" s="116">
        <v>66.8</v>
      </c>
      <c r="F40" s="116">
        <v>54.4</v>
      </c>
      <c r="G40" s="116">
        <v>46.2</v>
      </c>
      <c r="H40" s="116">
        <v>40.299999999999997</v>
      </c>
      <c r="I40" s="116">
        <v>35.9</v>
      </c>
      <c r="J40" s="116">
        <v>32.5</v>
      </c>
      <c r="K40" s="116">
        <v>29.7</v>
      </c>
      <c r="L40" s="116">
        <v>27.5</v>
      </c>
      <c r="M40" s="116">
        <v>25.7</v>
      </c>
      <c r="N40" s="116">
        <v>24.1</v>
      </c>
      <c r="O40" s="116">
        <v>22.8</v>
      </c>
      <c r="P40" s="116">
        <v>21.6</v>
      </c>
      <c r="Q40" s="116">
        <v>20.6</v>
      </c>
      <c r="R40" s="116">
        <v>19.7</v>
      </c>
      <c r="S40" s="116">
        <v>19</v>
      </c>
      <c r="T40" s="116">
        <v>18.3</v>
      </c>
      <c r="U40" s="116">
        <v>17.600000000000001</v>
      </c>
    </row>
    <row r="41" spans="1:21" x14ac:dyDescent="0.25">
      <c r="A41" s="80">
        <v>30</v>
      </c>
      <c r="B41" s="116">
        <v>256.3</v>
      </c>
      <c r="C41" s="116">
        <v>130.5</v>
      </c>
      <c r="D41" s="116">
        <v>88.6</v>
      </c>
      <c r="E41" s="116">
        <v>67.7</v>
      </c>
      <c r="F41" s="116">
        <v>55.1</v>
      </c>
      <c r="G41" s="116">
        <v>46.8</v>
      </c>
      <c r="H41" s="116">
        <v>40.799999999999997</v>
      </c>
      <c r="I41" s="116">
        <v>36.4</v>
      </c>
      <c r="J41" s="116">
        <v>32.9</v>
      </c>
      <c r="K41" s="116">
        <v>30.1</v>
      </c>
      <c r="L41" s="116">
        <v>27.9</v>
      </c>
      <c r="M41" s="116">
        <v>26</v>
      </c>
      <c r="N41" s="116">
        <v>24.4</v>
      </c>
      <c r="O41" s="116">
        <v>23.1</v>
      </c>
      <c r="P41" s="116">
        <v>21.9</v>
      </c>
      <c r="Q41" s="116">
        <v>20.9</v>
      </c>
      <c r="R41" s="116">
        <v>20</v>
      </c>
      <c r="S41" s="116">
        <v>19.2</v>
      </c>
      <c r="T41" s="116">
        <v>18.5</v>
      </c>
      <c r="U41" s="116">
        <v>17.899999999999999</v>
      </c>
    </row>
    <row r="42" spans="1:21" x14ac:dyDescent="0.25">
      <c r="A42" s="80">
        <v>31</v>
      </c>
      <c r="B42" s="116">
        <v>259.7</v>
      </c>
      <c r="C42" s="116">
        <v>132.30000000000001</v>
      </c>
      <c r="D42" s="116">
        <v>89.8</v>
      </c>
      <c r="E42" s="116">
        <v>68.599999999999994</v>
      </c>
      <c r="F42" s="116">
        <v>55.9</v>
      </c>
      <c r="G42" s="116">
        <v>47.4</v>
      </c>
      <c r="H42" s="116">
        <v>41.4</v>
      </c>
      <c r="I42" s="116">
        <v>36.9</v>
      </c>
      <c r="J42" s="116">
        <v>33.4</v>
      </c>
      <c r="K42" s="116">
        <v>30.5</v>
      </c>
      <c r="L42" s="116">
        <v>28.3</v>
      </c>
      <c r="M42" s="116">
        <v>26.4</v>
      </c>
      <c r="N42" s="116">
        <v>24.8</v>
      </c>
      <c r="O42" s="116">
        <v>23.4</v>
      </c>
      <c r="P42" s="116">
        <v>22.2</v>
      </c>
      <c r="Q42" s="116">
        <v>21.2</v>
      </c>
      <c r="R42" s="116">
        <v>20.3</v>
      </c>
      <c r="S42" s="116">
        <v>19.5</v>
      </c>
      <c r="T42" s="116">
        <v>18.8</v>
      </c>
      <c r="U42" s="116">
        <v>18.100000000000001</v>
      </c>
    </row>
    <row r="43" spans="1:21" x14ac:dyDescent="0.25">
      <c r="A43" s="80">
        <v>32</v>
      </c>
      <c r="B43" s="116">
        <v>263.2</v>
      </c>
      <c r="C43" s="116">
        <v>134</v>
      </c>
      <c r="D43" s="116">
        <v>91</v>
      </c>
      <c r="E43" s="116">
        <v>69.5</v>
      </c>
      <c r="F43" s="116">
        <v>56.6</v>
      </c>
      <c r="G43" s="116">
        <v>48.1</v>
      </c>
      <c r="H43" s="116">
        <v>41.9</v>
      </c>
      <c r="I43" s="116">
        <v>37.4</v>
      </c>
      <c r="J43" s="116">
        <v>33.799999999999997</v>
      </c>
      <c r="K43" s="116">
        <v>31</v>
      </c>
      <c r="L43" s="116">
        <v>28.6</v>
      </c>
      <c r="M43" s="116">
        <v>26.7</v>
      </c>
      <c r="N43" s="116">
        <v>25.1</v>
      </c>
      <c r="O43" s="116">
        <v>23.7</v>
      </c>
      <c r="P43" s="116">
        <v>22.5</v>
      </c>
      <c r="Q43" s="116">
        <v>21.5</v>
      </c>
      <c r="R43" s="116">
        <v>20.6</v>
      </c>
      <c r="S43" s="116">
        <v>19.7</v>
      </c>
      <c r="T43" s="116">
        <v>19</v>
      </c>
      <c r="U43" s="116">
        <v>18.399999999999999</v>
      </c>
    </row>
    <row r="44" spans="1:21" x14ac:dyDescent="0.25">
      <c r="A44" s="80">
        <v>33</v>
      </c>
      <c r="B44" s="116">
        <v>266.7</v>
      </c>
      <c r="C44" s="116">
        <v>135.80000000000001</v>
      </c>
      <c r="D44" s="116">
        <v>92.2</v>
      </c>
      <c r="E44" s="116">
        <v>70.400000000000006</v>
      </c>
      <c r="F44" s="116">
        <v>57.4</v>
      </c>
      <c r="G44" s="116">
        <v>48.7</v>
      </c>
      <c r="H44" s="116">
        <v>42.5</v>
      </c>
      <c r="I44" s="116">
        <v>37.9</v>
      </c>
      <c r="J44" s="116">
        <v>34.299999999999997</v>
      </c>
      <c r="K44" s="116">
        <v>31.4</v>
      </c>
      <c r="L44" s="116">
        <v>29</v>
      </c>
      <c r="M44" s="116">
        <v>27.1</v>
      </c>
      <c r="N44" s="116">
        <v>25.4</v>
      </c>
      <c r="O44" s="116">
        <v>24</v>
      </c>
      <c r="P44" s="116">
        <v>22.8</v>
      </c>
      <c r="Q44" s="116">
        <v>21.8</v>
      </c>
      <c r="R44" s="116">
        <v>20.8</v>
      </c>
      <c r="S44" s="116">
        <v>20</v>
      </c>
      <c r="T44" s="116">
        <v>19.3</v>
      </c>
      <c r="U44" s="116">
        <v>18.600000000000001</v>
      </c>
    </row>
    <row r="45" spans="1:21" x14ac:dyDescent="0.25">
      <c r="A45" s="80">
        <v>34</v>
      </c>
      <c r="B45" s="116">
        <v>270.2</v>
      </c>
      <c r="C45" s="116">
        <v>137.6</v>
      </c>
      <c r="D45" s="116">
        <v>93.5</v>
      </c>
      <c r="E45" s="116">
        <v>71.400000000000006</v>
      </c>
      <c r="F45" s="116">
        <v>58.2</v>
      </c>
      <c r="G45" s="116">
        <v>49.4</v>
      </c>
      <c r="H45" s="116">
        <v>43.1</v>
      </c>
      <c r="I45" s="116">
        <v>38.4</v>
      </c>
      <c r="J45" s="116">
        <v>34.700000000000003</v>
      </c>
      <c r="K45" s="116">
        <v>31.8</v>
      </c>
      <c r="L45" s="116">
        <v>29.4</v>
      </c>
      <c r="M45" s="116">
        <v>27.5</v>
      </c>
      <c r="N45" s="116">
        <v>25.8</v>
      </c>
      <c r="O45" s="116">
        <v>24.4</v>
      </c>
      <c r="P45" s="116">
        <v>23.1</v>
      </c>
      <c r="Q45" s="116">
        <v>22.1</v>
      </c>
      <c r="R45" s="116">
        <v>21.1</v>
      </c>
      <c r="S45" s="116">
        <v>20.3</v>
      </c>
      <c r="T45" s="116">
        <v>19.600000000000001</v>
      </c>
      <c r="U45" s="116">
        <v>18.899999999999999</v>
      </c>
    </row>
    <row r="46" spans="1:21" x14ac:dyDescent="0.25">
      <c r="A46" s="80">
        <v>35</v>
      </c>
      <c r="B46" s="116">
        <v>273.8</v>
      </c>
      <c r="C46" s="116">
        <v>139.5</v>
      </c>
      <c r="D46" s="116">
        <v>94.7</v>
      </c>
      <c r="E46" s="116">
        <v>72.3</v>
      </c>
      <c r="F46" s="116">
        <v>58.9</v>
      </c>
      <c r="G46" s="116">
        <v>50</v>
      </c>
      <c r="H46" s="116">
        <v>43.7</v>
      </c>
      <c r="I46" s="116">
        <v>38.9</v>
      </c>
      <c r="J46" s="116">
        <v>35.200000000000003</v>
      </c>
      <c r="K46" s="116">
        <v>32.200000000000003</v>
      </c>
      <c r="L46" s="116">
        <v>29.8</v>
      </c>
      <c r="M46" s="116">
        <v>27.8</v>
      </c>
      <c r="N46" s="116">
        <v>26.1</v>
      </c>
      <c r="O46" s="116">
        <v>24.7</v>
      </c>
      <c r="P46" s="116">
        <v>23.5</v>
      </c>
      <c r="Q46" s="116">
        <v>22.4</v>
      </c>
      <c r="R46" s="116">
        <v>21.4</v>
      </c>
      <c r="S46" s="116">
        <v>20.6</v>
      </c>
      <c r="T46" s="116">
        <v>19.8</v>
      </c>
      <c r="U46" s="116">
        <v>19.2</v>
      </c>
    </row>
    <row r="47" spans="1:21" x14ac:dyDescent="0.25">
      <c r="A47" s="80">
        <v>36</v>
      </c>
      <c r="B47" s="116">
        <v>277.39999999999998</v>
      </c>
      <c r="C47" s="116">
        <v>141.30000000000001</v>
      </c>
      <c r="D47" s="116">
        <v>96</v>
      </c>
      <c r="E47" s="116">
        <v>73.3</v>
      </c>
      <c r="F47" s="116">
        <v>59.7</v>
      </c>
      <c r="G47" s="116">
        <v>50.7</v>
      </c>
      <c r="H47" s="116">
        <v>44.2</v>
      </c>
      <c r="I47" s="116">
        <v>39.4</v>
      </c>
      <c r="J47" s="116">
        <v>35.700000000000003</v>
      </c>
      <c r="K47" s="116">
        <v>32.700000000000003</v>
      </c>
      <c r="L47" s="116">
        <v>30.2</v>
      </c>
      <c r="M47" s="116">
        <v>28.2</v>
      </c>
      <c r="N47" s="116">
        <v>26.5</v>
      </c>
      <c r="O47" s="116">
        <v>25</v>
      </c>
      <c r="P47" s="116">
        <v>23.8</v>
      </c>
      <c r="Q47" s="116">
        <v>22.7</v>
      </c>
      <c r="R47" s="116">
        <v>21.7</v>
      </c>
      <c r="S47" s="116">
        <v>20.9</v>
      </c>
      <c r="T47" s="116">
        <v>20.100000000000001</v>
      </c>
      <c r="U47" s="116">
        <v>19.399999999999999</v>
      </c>
    </row>
    <row r="48" spans="1:21" x14ac:dyDescent="0.25">
      <c r="A48" s="80">
        <v>37</v>
      </c>
      <c r="B48" s="116">
        <v>281.10000000000002</v>
      </c>
      <c r="C48" s="116">
        <v>143.19999999999999</v>
      </c>
      <c r="D48" s="116">
        <v>97.2</v>
      </c>
      <c r="E48" s="116">
        <v>74.3</v>
      </c>
      <c r="F48" s="116">
        <v>60.5</v>
      </c>
      <c r="G48" s="116">
        <v>51.4</v>
      </c>
      <c r="H48" s="116">
        <v>44.8</v>
      </c>
      <c r="I48" s="116">
        <v>39.9</v>
      </c>
      <c r="J48" s="116">
        <v>36.1</v>
      </c>
      <c r="K48" s="116">
        <v>33.1</v>
      </c>
      <c r="L48" s="116">
        <v>30.7</v>
      </c>
      <c r="M48" s="116">
        <v>28.6</v>
      </c>
      <c r="N48" s="116">
        <v>26.9</v>
      </c>
      <c r="O48" s="116">
        <v>25.4</v>
      </c>
      <c r="P48" s="116">
        <v>24.1</v>
      </c>
      <c r="Q48" s="116">
        <v>23</v>
      </c>
      <c r="R48" s="116">
        <v>22</v>
      </c>
      <c r="S48" s="116">
        <v>21.2</v>
      </c>
      <c r="T48" s="116">
        <v>20.399999999999999</v>
      </c>
      <c r="U48" s="116">
        <v>19.7</v>
      </c>
    </row>
    <row r="49" spans="1:21" x14ac:dyDescent="0.25">
      <c r="A49" s="80">
        <v>38</v>
      </c>
      <c r="B49" s="116">
        <v>284.8</v>
      </c>
      <c r="C49" s="116">
        <v>145.1</v>
      </c>
      <c r="D49" s="116">
        <v>98.5</v>
      </c>
      <c r="E49" s="116">
        <v>75.3</v>
      </c>
      <c r="F49" s="116">
        <v>61.3</v>
      </c>
      <c r="G49" s="116">
        <v>52.1</v>
      </c>
      <c r="H49" s="116">
        <v>45.4</v>
      </c>
      <c r="I49" s="116">
        <v>40.5</v>
      </c>
      <c r="J49" s="116">
        <v>36.6</v>
      </c>
      <c r="K49" s="116">
        <v>33.6</v>
      </c>
      <c r="L49" s="116">
        <v>31.1</v>
      </c>
      <c r="M49" s="116">
        <v>29</v>
      </c>
      <c r="N49" s="116">
        <v>27.2</v>
      </c>
      <c r="O49" s="116">
        <v>25.7</v>
      </c>
      <c r="P49" s="116">
        <v>24.5</v>
      </c>
      <c r="Q49" s="116">
        <v>23.3</v>
      </c>
      <c r="R49" s="116">
        <v>22.3</v>
      </c>
      <c r="S49" s="116">
        <v>21.5</v>
      </c>
      <c r="T49" s="116">
        <v>20.7</v>
      </c>
      <c r="U49" s="116">
        <v>20</v>
      </c>
    </row>
    <row r="50" spans="1:21" x14ac:dyDescent="0.25">
      <c r="A50" s="80">
        <v>39</v>
      </c>
      <c r="B50" s="116">
        <v>288.60000000000002</v>
      </c>
      <c r="C50" s="116">
        <v>147</v>
      </c>
      <c r="D50" s="116">
        <v>99.8</v>
      </c>
      <c r="E50" s="116">
        <v>76.3</v>
      </c>
      <c r="F50" s="116">
        <v>62.2</v>
      </c>
      <c r="G50" s="116">
        <v>52.8</v>
      </c>
      <c r="H50" s="116">
        <v>46.1</v>
      </c>
      <c r="I50" s="116">
        <v>41</v>
      </c>
      <c r="J50" s="116">
        <v>37.1</v>
      </c>
      <c r="K50" s="116">
        <v>34</v>
      </c>
      <c r="L50" s="116">
        <v>31.5</v>
      </c>
      <c r="M50" s="116">
        <v>29.4</v>
      </c>
      <c r="N50" s="116">
        <v>27.6</v>
      </c>
      <c r="O50" s="116">
        <v>26.1</v>
      </c>
      <c r="P50" s="116">
        <v>24.8</v>
      </c>
      <c r="Q50" s="116">
        <v>23.7</v>
      </c>
      <c r="R50" s="116">
        <v>22.7</v>
      </c>
      <c r="S50" s="116">
        <v>21.8</v>
      </c>
      <c r="T50" s="116">
        <v>21</v>
      </c>
      <c r="U50" s="116">
        <v>20.3</v>
      </c>
    </row>
    <row r="51" spans="1:21" x14ac:dyDescent="0.25">
      <c r="A51" s="80">
        <v>40</v>
      </c>
      <c r="B51" s="116">
        <v>292.39999999999998</v>
      </c>
      <c r="C51" s="116">
        <v>149</v>
      </c>
      <c r="D51" s="116">
        <v>101.2</v>
      </c>
      <c r="E51" s="116">
        <v>77.3</v>
      </c>
      <c r="F51" s="116">
        <v>63</v>
      </c>
      <c r="G51" s="116">
        <v>53.5</v>
      </c>
      <c r="H51" s="116">
        <v>46.7</v>
      </c>
      <c r="I51" s="116">
        <v>41.6</v>
      </c>
      <c r="J51" s="116">
        <v>37.6</v>
      </c>
      <c r="K51" s="116">
        <v>34.5</v>
      </c>
      <c r="L51" s="116">
        <v>31.9</v>
      </c>
      <c r="M51" s="116">
        <v>29.8</v>
      </c>
      <c r="N51" s="116">
        <v>28</v>
      </c>
      <c r="O51" s="116">
        <v>26.5</v>
      </c>
      <c r="P51" s="116">
        <v>25.2</v>
      </c>
      <c r="Q51" s="116">
        <v>24</v>
      </c>
      <c r="R51" s="116">
        <v>23</v>
      </c>
      <c r="S51" s="116">
        <v>22.1</v>
      </c>
      <c r="T51" s="116">
        <v>21.3</v>
      </c>
      <c r="U51" s="116">
        <v>20.6</v>
      </c>
    </row>
    <row r="52" spans="1:21" x14ac:dyDescent="0.25">
      <c r="A52" s="80">
        <v>41</v>
      </c>
      <c r="B52" s="116">
        <v>296.3</v>
      </c>
      <c r="C52" s="116">
        <v>150.9</v>
      </c>
      <c r="D52" s="116">
        <v>102.5</v>
      </c>
      <c r="E52" s="116">
        <v>78.3</v>
      </c>
      <c r="F52" s="116">
        <v>63.8</v>
      </c>
      <c r="G52" s="116">
        <v>54.2</v>
      </c>
      <c r="H52" s="116">
        <v>47.3</v>
      </c>
      <c r="I52" s="116">
        <v>42.2</v>
      </c>
      <c r="J52" s="116">
        <v>38.200000000000003</v>
      </c>
      <c r="K52" s="116">
        <v>35</v>
      </c>
      <c r="L52" s="116">
        <v>32.4</v>
      </c>
      <c r="M52" s="116">
        <v>30.2</v>
      </c>
      <c r="N52" s="116">
        <v>28.4</v>
      </c>
      <c r="O52" s="116">
        <v>26.9</v>
      </c>
      <c r="P52" s="116">
        <v>25.5</v>
      </c>
      <c r="Q52" s="116">
        <v>24.4</v>
      </c>
      <c r="R52" s="116">
        <v>23.3</v>
      </c>
      <c r="S52" s="116">
        <v>22.4</v>
      </c>
      <c r="T52" s="116">
        <v>21.6</v>
      </c>
      <c r="U52" s="116">
        <v>20.9</v>
      </c>
    </row>
    <row r="53" spans="1:21" x14ac:dyDescent="0.25">
      <c r="A53" s="80">
        <v>42</v>
      </c>
      <c r="B53" s="116">
        <v>300.2</v>
      </c>
      <c r="C53" s="116">
        <v>153</v>
      </c>
      <c r="D53" s="116">
        <v>103.9</v>
      </c>
      <c r="E53" s="116">
        <v>79.400000000000006</v>
      </c>
      <c r="F53" s="116">
        <v>64.7</v>
      </c>
      <c r="G53" s="116">
        <v>54.9</v>
      </c>
      <c r="H53" s="116">
        <v>48</v>
      </c>
      <c r="I53" s="116">
        <v>42.7</v>
      </c>
      <c r="J53" s="116">
        <v>38.700000000000003</v>
      </c>
      <c r="K53" s="116">
        <v>35.5</v>
      </c>
      <c r="L53" s="116">
        <v>32.799999999999997</v>
      </c>
      <c r="M53" s="116">
        <v>30.6</v>
      </c>
      <c r="N53" s="116">
        <v>28.8</v>
      </c>
      <c r="O53" s="116">
        <v>27.2</v>
      </c>
      <c r="P53" s="116">
        <v>25.9</v>
      </c>
      <c r="Q53" s="116">
        <v>24.7</v>
      </c>
      <c r="R53" s="116">
        <v>23.7</v>
      </c>
      <c r="S53" s="116">
        <v>22.8</v>
      </c>
      <c r="T53" s="116">
        <v>22</v>
      </c>
      <c r="U53" s="116">
        <v>21.3</v>
      </c>
    </row>
    <row r="54" spans="1:21" x14ac:dyDescent="0.25">
      <c r="A54" s="80">
        <v>43</v>
      </c>
      <c r="B54" s="116">
        <v>304.2</v>
      </c>
      <c r="C54" s="116">
        <v>155</v>
      </c>
      <c r="D54" s="116">
        <v>105.3</v>
      </c>
      <c r="E54" s="116">
        <v>80.5</v>
      </c>
      <c r="F54" s="116">
        <v>65.599999999999994</v>
      </c>
      <c r="G54" s="116">
        <v>55.7</v>
      </c>
      <c r="H54" s="116">
        <v>48.6</v>
      </c>
      <c r="I54" s="116">
        <v>43.3</v>
      </c>
      <c r="J54" s="116">
        <v>39.200000000000003</v>
      </c>
      <c r="K54" s="116">
        <v>36</v>
      </c>
      <c r="L54" s="116">
        <v>33.299999999999997</v>
      </c>
      <c r="M54" s="116">
        <v>31.1</v>
      </c>
      <c r="N54" s="116">
        <v>29.2</v>
      </c>
      <c r="O54" s="116">
        <v>27.6</v>
      </c>
      <c r="P54" s="116">
        <v>26.3</v>
      </c>
      <c r="Q54" s="116">
        <v>25.1</v>
      </c>
      <c r="R54" s="116">
        <v>24</v>
      </c>
      <c r="S54" s="116">
        <v>23.1</v>
      </c>
      <c r="T54" s="116">
        <v>22.3</v>
      </c>
      <c r="U54" s="116">
        <v>21.6</v>
      </c>
    </row>
    <row r="55" spans="1:21" x14ac:dyDescent="0.25">
      <c r="A55" s="80">
        <v>44</v>
      </c>
      <c r="B55" s="116">
        <v>308.2</v>
      </c>
      <c r="C55" s="116">
        <v>157.1</v>
      </c>
      <c r="D55" s="116">
        <v>106.7</v>
      </c>
      <c r="E55" s="116">
        <v>81.5</v>
      </c>
      <c r="F55" s="116">
        <v>66.5</v>
      </c>
      <c r="G55" s="116">
        <v>56.4</v>
      </c>
      <c r="H55" s="116">
        <v>49.3</v>
      </c>
      <c r="I55" s="116">
        <v>43.9</v>
      </c>
      <c r="J55" s="116">
        <v>39.799999999999997</v>
      </c>
      <c r="K55" s="116">
        <v>36.5</v>
      </c>
      <c r="L55" s="116">
        <v>33.799999999999997</v>
      </c>
      <c r="M55" s="116">
        <v>31.5</v>
      </c>
      <c r="N55" s="116">
        <v>29.7</v>
      </c>
      <c r="O55" s="116">
        <v>28</v>
      </c>
      <c r="P55" s="116">
        <v>26.7</v>
      </c>
      <c r="Q55" s="116">
        <v>25.5</v>
      </c>
      <c r="R55" s="116">
        <v>24.4</v>
      </c>
      <c r="S55" s="116">
        <v>23.5</v>
      </c>
      <c r="T55" s="116">
        <v>22.7</v>
      </c>
      <c r="U55" s="116">
        <v>21.9</v>
      </c>
    </row>
    <row r="56" spans="1:21" x14ac:dyDescent="0.25">
      <c r="A56" s="80">
        <v>45</v>
      </c>
      <c r="B56" s="116">
        <v>312.3</v>
      </c>
      <c r="C56" s="116">
        <v>159.19999999999999</v>
      </c>
      <c r="D56" s="116">
        <v>108.1</v>
      </c>
      <c r="E56" s="116">
        <v>82.6</v>
      </c>
      <c r="F56" s="116">
        <v>67.400000000000006</v>
      </c>
      <c r="G56" s="116">
        <v>57.2</v>
      </c>
      <c r="H56" s="116">
        <v>50</v>
      </c>
      <c r="I56" s="116">
        <v>44.5</v>
      </c>
      <c r="J56" s="116">
        <v>40.299999999999997</v>
      </c>
      <c r="K56" s="116">
        <v>37</v>
      </c>
      <c r="L56" s="116">
        <v>34.299999999999997</v>
      </c>
      <c r="M56" s="116">
        <v>32</v>
      </c>
      <c r="N56" s="116">
        <v>30.1</v>
      </c>
      <c r="O56" s="116">
        <v>28.5</v>
      </c>
      <c r="P56" s="116">
        <v>27.1</v>
      </c>
      <c r="Q56" s="116">
        <v>25.9</v>
      </c>
      <c r="R56" s="116">
        <v>24.8</v>
      </c>
      <c r="S56" s="116">
        <v>23.9</v>
      </c>
      <c r="T56" s="116">
        <v>23</v>
      </c>
      <c r="U56" s="116"/>
    </row>
    <row r="57" spans="1:21" x14ac:dyDescent="0.25">
      <c r="A57" s="80">
        <v>46</v>
      </c>
      <c r="B57" s="116">
        <v>316.5</v>
      </c>
      <c r="C57" s="116">
        <v>161.30000000000001</v>
      </c>
      <c r="D57" s="116">
        <v>109.6</v>
      </c>
      <c r="E57" s="116">
        <v>83.8</v>
      </c>
      <c r="F57" s="116">
        <v>68.3</v>
      </c>
      <c r="G57" s="116">
        <v>58</v>
      </c>
      <c r="H57" s="116">
        <v>50.7</v>
      </c>
      <c r="I57" s="116">
        <v>45.2</v>
      </c>
      <c r="J57" s="116">
        <v>40.9</v>
      </c>
      <c r="K57" s="116">
        <v>37.5</v>
      </c>
      <c r="L57" s="116">
        <v>34.799999999999997</v>
      </c>
      <c r="M57" s="116">
        <v>32.5</v>
      </c>
      <c r="N57" s="116">
        <v>30.5</v>
      </c>
      <c r="O57" s="116">
        <v>28.9</v>
      </c>
      <c r="P57" s="116">
        <v>27.5</v>
      </c>
      <c r="Q57" s="116">
        <v>26.3</v>
      </c>
      <c r="R57" s="116">
        <v>25.2</v>
      </c>
      <c r="S57" s="116">
        <v>24.3</v>
      </c>
      <c r="T57" s="116"/>
      <c r="U57" s="116"/>
    </row>
    <row r="58" spans="1:21" x14ac:dyDescent="0.25">
      <c r="A58" s="80">
        <v>47</v>
      </c>
      <c r="B58" s="116">
        <v>320.7</v>
      </c>
      <c r="C58" s="116">
        <v>163.5</v>
      </c>
      <c r="D58" s="116">
        <v>111.1</v>
      </c>
      <c r="E58" s="116">
        <v>84.9</v>
      </c>
      <c r="F58" s="116">
        <v>69.2</v>
      </c>
      <c r="G58" s="116">
        <v>58.8</v>
      </c>
      <c r="H58" s="116">
        <v>51.4</v>
      </c>
      <c r="I58" s="116">
        <v>45.8</v>
      </c>
      <c r="J58" s="116">
        <v>41.5</v>
      </c>
      <c r="K58" s="116">
        <v>38.1</v>
      </c>
      <c r="L58" s="116">
        <v>35.299999999999997</v>
      </c>
      <c r="M58" s="116">
        <v>33</v>
      </c>
      <c r="N58" s="116">
        <v>31</v>
      </c>
      <c r="O58" s="116">
        <v>29.4</v>
      </c>
      <c r="P58" s="116">
        <v>27.9</v>
      </c>
      <c r="Q58" s="116">
        <v>26.7</v>
      </c>
      <c r="R58" s="116">
        <v>25.6</v>
      </c>
      <c r="S58" s="116"/>
      <c r="T58" s="116"/>
      <c r="U58" s="116"/>
    </row>
    <row r="59" spans="1:21" x14ac:dyDescent="0.25">
      <c r="A59" s="80">
        <v>48</v>
      </c>
      <c r="B59" s="116">
        <v>325</v>
      </c>
      <c r="C59" s="116">
        <v>165.7</v>
      </c>
      <c r="D59" s="116">
        <v>112.6</v>
      </c>
      <c r="E59" s="116">
        <v>86.1</v>
      </c>
      <c r="F59" s="116">
        <v>70.2</v>
      </c>
      <c r="G59" s="116">
        <v>59.6</v>
      </c>
      <c r="H59" s="116">
        <v>52.1</v>
      </c>
      <c r="I59" s="116">
        <v>46.5</v>
      </c>
      <c r="J59" s="116">
        <v>42.1</v>
      </c>
      <c r="K59" s="116">
        <v>38.700000000000003</v>
      </c>
      <c r="L59" s="116">
        <v>35.799999999999997</v>
      </c>
      <c r="M59" s="116">
        <v>33.5</v>
      </c>
      <c r="N59" s="116">
        <v>31.5</v>
      </c>
      <c r="O59" s="116">
        <v>29.8</v>
      </c>
      <c r="P59" s="116">
        <v>28.4</v>
      </c>
      <c r="Q59" s="116">
        <v>27.1</v>
      </c>
      <c r="R59" s="116"/>
      <c r="S59" s="116"/>
      <c r="T59" s="116"/>
      <c r="U59" s="116"/>
    </row>
    <row r="60" spans="1:21" x14ac:dyDescent="0.25">
      <c r="A60" s="80">
        <v>49</v>
      </c>
      <c r="B60" s="116">
        <v>329.4</v>
      </c>
      <c r="C60" s="116">
        <v>167.9</v>
      </c>
      <c r="D60" s="116">
        <v>114.2</v>
      </c>
      <c r="E60" s="116">
        <v>87.3</v>
      </c>
      <c r="F60" s="116">
        <v>71.2</v>
      </c>
      <c r="G60" s="116">
        <v>60.5</v>
      </c>
      <c r="H60" s="116">
        <v>52.9</v>
      </c>
      <c r="I60" s="116">
        <v>47.2</v>
      </c>
      <c r="J60" s="116">
        <v>42.8</v>
      </c>
      <c r="K60" s="116">
        <v>39.299999999999997</v>
      </c>
      <c r="L60" s="116">
        <v>36.4</v>
      </c>
      <c r="M60" s="116">
        <v>34</v>
      </c>
      <c r="N60" s="116">
        <v>32</v>
      </c>
      <c r="O60" s="116">
        <v>30.3</v>
      </c>
      <c r="P60" s="116">
        <v>28.9</v>
      </c>
      <c r="Q60" s="116"/>
      <c r="R60" s="116"/>
      <c r="S60" s="116"/>
      <c r="T60" s="116"/>
      <c r="U60" s="116"/>
    </row>
    <row r="61" spans="1:21" x14ac:dyDescent="0.25">
      <c r="A61" s="80">
        <v>50</v>
      </c>
      <c r="B61" s="116">
        <v>334</v>
      </c>
      <c r="C61" s="116">
        <v>170.3</v>
      </c>
      <c r="D61" s="116">
        <v>115.8</v>
      </c>
      <c r="E61" s="116">
        <v>88.6</v>
      </c>
      <c r="F61" s="116">
        <v>72.3</v>
      </c>
      <c r="G61" s="116">
        <v>61.4</v>
      </c>
      <c r="H61" s="116">
        <v>53.7</v>
      </c>
      <c r="I61" s="116">
        <v>47.9</v>
      </c>
      <c r="J61" s="116">
        <v>43.4</v>
      </c>
      <c r="K61" s="116">
        <v>39.9</v>
      </c>
      <c r="L61" s="116">
        <v>37</v>
      </c>
      <c r="M61" s="116">
        <v>34.6</v>
      </c>
      <c r="N61" s="116">
        <v>32.6</v>
      </c>
      <c r="O61" s="116">
        <v>30.9</v>
      </c>
      <c r="P61" s="116"/>
      <c r="Q61" s="116"/>
      <c r="R61" s="116"/>
      <c r="S61" s="116"/>
      <c r="T61" s="116"/>
      <c r="U61" s="116"/>
    </row>
    <row r="62" spans="1:21" x14ac:dyDescent="0.25">
      <c r="A62" s="80">
        <v>51</v>
      </c>
      <c r="B62" s="116">
        <v>338.6</v>
      </c>
      <c r="C62" s="116">
        <v>172.7</v>
      </c>
      <c r="D62" s="116">
        <v>117.4</v>
      </c>
      <c r="E62" s="116">
        <v>89.9</v>
      </c>
      <c r="F62" s="116">
        <v>73.3</v>
      </c>
      <c r="G62" s="116">
        <v>62.3</v>
      </c>
      <c r="H62" s="116">
        <v>54.5</v>
      </c>
      <c r="I62" s="116">
        <v>48.7</v>
      </c>
      <c r="J62" s="116">
        <v>44.1</v>
      </c>
      <c r="K62" s="116">
        <v>40.5</v>
      </c>
      <c r="L62" s="116">
        <v>37.6</v>
      </c>
      <c r="M62" s="116">
        <v>35.200000000000003</v>
      </c>
      <c r="N62" s="116">
        <v>33.1</v>
      </c>
      <c r="O62" s="116"/>
      <c r="P62" s="116"/>
      <c r="Q62" s="116"/>
      <c r="R62" s="116"/>
      <c r="S62" s="116"/>
      <c r="T62" s="116"/>
      <c r="U62" s="116"/>
    </row>
    <row r="63" spans="1:21" x14ac:dyDescent="0.25">
      <c r="A63" s="80">
        <v>52</v>
      </c>
      <c r="B63" s="116">
        <v>343.3</v>
      </c>
      <c r="C63" s="116">
        <v>175.1</v>
      </c>
      <c r="D63" s="116">
        <v>119.1</v>
      </c>
      <c r="E63" s="116">
        <v>91.2</v>
      </c>
      <c r="F63" s="116">
        <v>74.400000000000006</v>
      </c>
      <c r="G63" s="116">
        <v>63.3</v>
      </c>
      <c r="H63" s="116">
        <v>55.4</v>
      </c>
      <c r="I63" s="116">
        <v>49.4</v>
      </c>
      <c r="J63" s="116">
        <v>44.8</v>
      </c>
      <c r="K63" s="116">
        <v>41.2</v>
      </c>
      <c r="L63" s="116">
        <v>38.200000000000003</v>
      </c>
      <c r="M63" s="116">
        <v>35.799999999999997</v>
      </c>
      <c r="N63" s="116"/>
      <c r="O63" s="116"/>
      <c r="P63" s="116"/>
      <c r="Q63" s="116"/>
      <c r="R63" s="116"/>
      <c r="S63" s="116"/>
      <c r="T63" s="116"/>
      <c r="U63" s="116"/>
    </row>
    <row r="64" spans="1:21" x14ac:dyDescent="0.25">
      <c r="A64" s="80">
        <v>53</v>
      </c>
      <c r="B64" s="116">
        <v>348</v>
      </c>
      <c r="C64" s="116">
        <v>177.6</v>
      </c>
      <c r="D64" s="116">
        <v>120.8</v>
      </c>
      <c r="E64" s="116">
        <v>92.5</v>
      </c>
      <c r="F64" s="116">
        <v>75.5</v>
      </c>
      <c r="G64" s="116">
        <v>64.3</v>
      </c>
      <c r="H64" s="116">
        <v>56.2</v>
      </c>
      <c r="I64" s="116">
        <v>50.2</v>
      </c>
      <c r="J64" s="116">
        <v>45.6</v>
      </c>
      <c r="K64" s="116">
        <v>41.9</v>
      </c>
      <c r="L64" s="116">
        <v>38.9</v>
      </c>
      <c r="M64" s="116"/>
      <c r="N64" s="116"/>
      <c r="O64" s="116"/>
      <c r="P64" s="116"/>
      <c r="Q64" s="116"/>
      <c r="R64" s="116"/>
      <c r="S64" s="116"/>
      <c r="T64" s="116"/>
      <c r="U64" s="116"/>
    </row>
    <row r="65" spans="1:21" x14ac:dyDescent="0.25">
      <c r="A65" s="80">
        <v>54</v>
      </c>
      <c r="B65" s="116">
        <v>352.9</v>
      </c>
      <c r="C65" s="116">
        <v>180.1</v>
      </c>
      <c r="D65" s="116">
        <v>122.6</v>
      </c>
      <c r="E65" s="116">
        <v>93.9</v>
      </c>
      <c r="F65" s="116">
        <v>76.7</v>
      </c>
      <c r="G65" s="116">
        <v>65.2</v>
      </c>
      <c r="H65" s="116">
        <v>57.1</v>
      </c>
      <c r="I65" s="116">
        <v>51</v>
      </c>
      <c r="J65" s="116">
        <v>46.3</v>
      </c>
      <c r="K65" s="116">
        <v>42.6</v>
      </c>
      <c r="L65" s="116"/>
      <c r="M65" s="116"/>
      <c r="N65" s="116"/>
      <c r="O65" s="116"/>
      <c r="P65" s="116"/>
      <c r="Q65" s="116"/>
      <c r="R65" s="116"/>
      <c r="S65" s="116"/>
      <c r="T65" s="116"/>
      <c r="U65" s="116"/>
    </row>
    <row r="66" spans="1:21" x14ac:dyDescent="0.25">
      <c r="A66" s="80">
        <v>55</v>
      </c>
      <c r="B66" s="116">
        <v>357.9</v>
      </c>
      <c r="C66" s="116">
        <v>182.7</v>
      </c>
      <c r="D66" s="116">
        <v>124.4</v>
      </c>
      <c r="E66" s="116">
        <v>95.3</v>
      </c>
      <c r="F66" s="116">
        <v>77.900000000000006</v>
      </c>
      <c r="G66" s="116">
        <v>66.3</v>
      </c>
      <c r="H66" s="116">
        <v>58</v>
      </c>
      <c r="I66" s="116">
        <v>51.9</v>
      </c>
      <c r="J66" s="116">
        <v>47.1</v>
      </c>
      <c r="K66" s="116"/>
      <c r="L66" s="116"/>
      <c r="M66" s="116"/>
      <c r="N66" s="116"/>
      <c r="O66" s="116"/>
      <c r="P66" s="116"/>
      <c r="Q66" s="116"/>
      <c r="R66" s="116"/>
      <c r="S66" s="116"/>
      <c r="T66" s="116"/>
      <c r="U66" s="116"/>
    </row>
    <row r="67" spans="1:21" x14ac:dyDescent="0.25">
      <c r="A67" s="80">
        <v>56</v>
      </c>
      <c r="B67" s="116">
        <v>363</v>
      </c>
      <c r="C67" s="116">
        <v>185.4</v>
      </c>
      <c r="D67" s="116">
        <v>126.3</v>
      </c>
      <c r="E67" s="116">
        <v>96.8</v>
      </c>
      <c r="F67" s="116">
        <v>79.099999999999994</v>
      </c>
      <c r="G67" s="116">
        <v>67.3</v>
      </c>
      <c r="H67" s="116">
        <v>59</v>
      </c>
      <c r="I67" s="116">
        <v>52.7</v>
      </c>
      <c r="J67" s="116"/>
      <c r="K67" s="116"/>
      <c r="L67" s="116"/>
      <c r="M67" s="116"/>
      <c r="N67" s="116"/>
      <c r="O67" s="116"/>
      <c r="P67" s="116"/>
      <c r="Q67" s="116"/>
      <c r="R67" s="116"/>
      <c r="S67" s="116"/>
      <c r="T67" s="116"/>
      <c r="U67" s="116"/>
    </row>
    <row r="68" spans="1:21" x14ac:dyDescent="0.25">
      <c r="A68" s="80">
        <v>57</v>
      </c>
      <c r="B68" s="116">
        <v>368.2</v>
      </c>
      <c r="C68" s="116">
        <v>188.1</v>
      </c>
      <c r="D68" s="116">
        <v>128.19999999999999</v>
      </c>
      <c r="E68" s="116">
        <v>98.2</v>
      </c>
      <c r="F68" s="116">
        <v>80.3</v>
      </c>
      <c r="G68" s="116">
        <v>68.400000000000006</v>
      </c>
      <c r="H68" s="116">
        <v>59.9</v>
      </c>
      <c r="I68" s="116"/>
      <c r="J68" s="116"/>
      <c r="K68" s="116"/>
      <c r="L68" s="116"/>
      <c r="M68" s="116"/>
      <c r="N68" s="116"/>
      <c r="O68" s="116"/>
      <c r="P68" s="116"/>
      <c r="Q68" s="116"/>
      <c r="R68" s="116"/>
      <c r="S68" s="116"/>
      <c r="T68" s="116"/>
      <c r="U68" s="116"/>
    </row>
    <row r="69" spans="1:21" x14ac:dyDescent="0.25">
      <c r="A69" s="80">
        <v>58</v>
      </c>
      <c r="B69" s="116">
        <v>373.7</v>
      </c>
      <c r="C69" s="116">
        <v>191</v>
      </c>
      <c r="D69" s="116">
        <v>130.19999999999999</v>
      </c>
      <c r="E69" s="116">
        <v>99.8</v>
      </c>
      <c r="F69" s="116">
        <v>81.599999999999994</v>
      </c>
      <c r="G69" s="116">
        <v>69.5</v>
      </c>
      <c r="H69" s="116"/>
      <c r="I69" s="116"/>
      <c r="J69" s="116"/>
      <c r="K69" s="116"/>
      <c r="L69" s="116"/>
      <c r="M69" s="116"/>
      <c r="N69" s="116"/>
      <c r="O69" s="116"/>
      <c r="P69" s="116"/>
      <c r="Q69" s="116"/>
      <c r="R69" s="116"/>
      <c r="S69" s="116"/>
      <c r="T69" s="116"/>
      <c r="U69" s="116"/>
    </row>
    <row r="70" spans="1:21" x14ac:dyDescent="0.25">
      <c r="A70" s="80">
        <v>59</v>
      </c>
      <c r="B70" s="116">
        <v>377.7</v>
      </c>
      <c r="C70" s="116">
        <v>193.1</v>
      </c>
      <c r="D70" s="116">
        <v>131.6</v>
      </c>
      <c r="E70" s="116">
        <v>101</v>
      </c>
      <c r="F70" s="116">
        <v>82.6</v>
      </c>
      <c r="G70" s="116"/>
      <c r="H70" s="116"/>
      <c r="I70" s="116"/>
      <c r="J70" s="116"/>
      <c r="K70" s="116"/>
      <c r="L70" s="116"/>
      <c r="M70" s="116"/>
      <c r="N70" s="116"/>
      <c r="O70" s="116"/>
      <c r="P70" s="116"/>
      <c r="Q70" s="116"/>
      <c r="R70" s="116"/>
      <c r="S70" s="116"/>
      <c r="T70" s="116"/>
      <c r="U70" s="116"/>
    </row>
    <row r="71" spans="1:21" x14ac:dyDescent="0.25">
      <c r="A71" s="80">
        <v>60</v>
      </c>
      <c r="B71" s="116">
        <v>379.8</v>
      </c>
      <c r="C71" s="116">
        <v>194.2</v>
      </c>
      <c r="D71" s="116">
        <v>132.5</v>
      </c>
      <c r="E71" s="116">
        <v>101.6</v>
      </c>
      <c r="F71" s="116"/>
      <c r="G71" s="116"/>
      <c r="H71" s="116"/>
      <c r="I71" s="116"/>
      <c r="J71" s="116"/>
      <c r="K71" s="116"/>
      <c r="L71" s="116"/>
      <c r="M71" s="116"/>
      <c r="N71" s="116"/>
      <c r="O71" s="116"/>
      <c r="P71" s="116"/>
      <c r="Q71" s="116"/>
      <c r="R71" s="116"/>
      <c r="S71" s="116"/>
      <c r="T71" s="116"/>
      <c r="U71" s="116"/>
    </row>
    <row r="72" spans="1:21" x14ac:dyDescent="0.25">
      <c r="A72" s="80">
        <v>61</v>
      </c>
      <c r="B72" s="116">
        <v>382</v>
      </c>
      <c r="C72" s="116">
        <v>195.4</v>
      </c>
      <c r="D72" s="116">
        <v>133.30000000000001</v>
      </c>
      <c r="E72" s="116"/>
      <c r="F72" s="116"/>
      <c r="G72" s="116"/>
      <c r="H72" s="116"/>
      <c r="I72" s="116"/>
      <c r="J72" s="116"/>
      <c r="K72" s="116"/>
      <c r="L72" s="116"/>
      <c r="M72" s="116"/>
      <c r="N72" s="116"/>
      <c r="O72" s="116"/>
      <c r="P72" s="116"/>
      <c r="Q72" s="116"/>
      <c r="R72" s="116"/>
      <c r="S72" s="116"/>
      <c r="T72" s="116"/>
      <c r="U72" s="116"/>
    </row>
    <row r="73" spans="1:21" x14ac:dyDescent="0.25">
      <c r="A73" s="80">
        <v>62</v>
      </c>
      <c r="B73" s="116">
        <v>384.7</v>
      </c>
      <c r="C73" s="116">
        <v>196.9</v>
      </c>
      <c r="D73" s="116"/>
      <c r="E73" s="116"/>
      <c r="F73" s="116"/>
      <c r="G73" s="116"/>
      <c r="H73" s="116"/>
      <c r="I73" s="116"/>
      <c r="J73" s="116"/>
      <c r="K73" s="116"/>
      <c r="L73" s="116"/>
      <c r="M73" s="116"/>
      <c r="N73" s="116"/>
      <c r="O73" s="116"/>
      <c r="P73" s="116"/>
      <c r="Q73" s="116"/>
      <c r="R73" s="116"/>
      <c r="S73" s="116"/>
      <c r="T73" s="116"/>
      <c r="U73" s="116"/>
    </row>
    <row r="74" spans="1:21" x14ac:dyDescent="0.25">
      <c r="A74" s="80">
        <v>63</v>
      </c>
      <c r="B74" s="116">
        <v>387.2</v>
      </c>
      <c r="C74" s="116"/>
      <c r="D74" s="116"/>
      <c r="E74" s="116"/>
      <c r="F74" s="116"/>
      <c r="G74" s="116"/>
      <c r="H74" s="116"/>
      <c r="I74" s="116"/>
      <c r="J74" s="116"/>
      <c r="K74" s="116"/>
      <c r="L74" s="116"/>
      <c r="M74" s="116"/>
      <c r="N74" s="116"/>
      <c r="O74" s="116"/>
      <c r="P74" s="116"/>
      <c r="Q74" s="116"/>
      <c r="R74" s="116"/>
      <c r="S74" s="116"/>
      <c r="T74" s="116"/>
      <c r="U74" s="116"/>
    </row>
    <row r="126" spans="22:22" x14ac:dyDescent="0.25">
      <c r="V126" s="26" t="b">
        <f t="shared" ref="V126" si="0">V76=V27</f>
        <v>1</v>
      </c>
    </row>
    <row r="127" spans="22:22" x14ac:dyDescent="0.25">
      <c r="V127" s="26" t="b">
        <f t="shared" ref="V127" si="1">V77=V28</f>
        <v>1</v>
      </c>
    </row>
    <row r="128" spans="22:22" x14ac:dyDescent="0.25">
      <c r="V128" s="26" t="b">
        <f t="shared" ref="V128" si="2">V78=V29</f>
        <v>1</v>
      </c>
    </row>
    <row r="129" spans="22:22" x14ac:dyDescent="0.25">
      <c r="V129" s="26" t="b">
        <f t="shared" ref="V129" si="3">V79=V30</f>
        <v>1</v>
      </c>
    </row>
    <row r="130" spans="22:22" x14ac:dyDescent="0.25">
      <c r="V130" s="26" t="b">
        <f t="shared" ref="V130" si="4">V80=V31</f>
        <v>1</v>
      </c>
    </row>
    <row r="131" spans="22:22" x14ac:dyDescent="0.25">
      <c r="V131" s="26" t="b">
        <f t="shared" ref="V131" si="5">V81=V32</f>
        <v>1</v>
      </c>
    </row>
    <row r="132" spans="22:22" x14ac:dyDescent="0.25">
      <c r="V132" s="26" t="b">
        <f t="shared" ref="V132" si="6">V82=V33</f>
        <v>1</v>
      </c>
    </row>
    <row r="133" spans="22:22" x14ac:dyDescent="0.25">
      <c r="V133" s="26" t="b">
        <f t="shared" ref="V133" si="7">V83=V34</f>
        <v>1</v>
      </c>
    </row>
    <row r="134" spans="22:22" x14ac:dyDescent="0.25">
      <c r="V134" s="26" t="b">
        <f t="shared" ref="V134" si="8">V84=V35</f>
        <v>1</v>
      </c>
    </row>
    <row r="135" spans="22:22" x14ac:dyDescent="0.25">
      <c r="V135" s="26" t="b">
        <f t="shared" ref="V135" si="9">V85=V36</f>
        <v>1</v>
      </c>
    </row>
    <row r="136" spans="22:22" x14ac:dyDescent="0.25">
      <c r="V136" s="26" t="b">
        <f t="shared" ref="V136" si="10">V86=V37</f>
        <v>1</v>
      </c>
    </row>
    <row r="137" spans="22:22" x14ac:dyDescent="0.25">
      <c r="V137" s="26" t="b">
        <f t="shared" ref="V137" si="11">V87=V38</f>
        <v>1</v>
      </c>
    </row>
    <row r="138" spans="22:22" x14ac:dyDescent="0.25">
      <c r="V138" s="26" t="b">
        <f t="shared" ref="V138" si="12">V88=V39</f>
        <v>1</v>
      </c>
    </row>
    <row r="139" spans="22:22" x14ac:dyDescent="0.25">
      <c r="V139" s="26" t="b">
        <f t="shared" ref="V139" si="13">V89=V40</f>
        <v>1</v>
      </c>
    </row>
    <row r="140" spans="22:22" x14ac:dyDescent="0.25">
      <c r="V140" s="26" t="b">
        <f t="shared" ref="V140" si="14">V90=V41</f>
        <v>1</v>
      </c>
    </row>
    <row r="141" spans="22:22" x14ac:dyDescent="0.25">
      <c r="V141" s="26" t="b">
        <f t="shared" ref="V141" si="15">V91=V42</f>
        <v>1</v>
      </c>
    </row>
    <row r="142" spans="22:22" x14ac:dyDescent="0.25">
      <c r="V142" s="26" t="b">
        <f t="shared" ref="V142" si="16">V92=V43</f>
        <v>1</v>
      </c>
    </row>
    <row r="143" spans="22:22" x14ac:dyDescent="0.25">
      <c r="V143" s="26" t="b">
        <f t="shared" ref="V143" si="17">V93=V44</f>
        <v>1</v>
      </c>
    </row>
    <row r="144" spans="22:22" x14ac:dyDescent="0.25">
      <c r="V144" s="26" t="b">
        <f t="shared" ref="V144" si="18">V94=V45</f>
        <v>1</v>
      </c>
    </row>
    <row r="145" spans="22:22" x14ac:dyDescent="0.25">
      <c r="V145" s="26" t="b">
        <f t="shared" ref="V145" si="19">V95=V46</f>
        <v>1</v>
      </c>
    </row>
    <row r="146" spans="22:22" x14ac:dyDescent="0.25">
      <c r="V146" s="26" t="b">
        <f t="shared" ref="V146" si="20">V96=V47</f>
        <v>1</v>
      </c>
    </row>
    <row r="147" spans="22:22" x14ac:dyDescent="0.25">
      <c r="V147" s="26" t="b">
        <f t="shared" ref="V147" si="21">V97=V48</f>
        <v>1</v>
      </c>
    </row>
    <row r="148" spans="22:22" x14ac:dyDescent="0.25">
      <c r="V148" s="26" t="b">
        <f t="shared" ref="V148" si="22">V98=V49</f>
        <v>1</v>
      </c>
    </row>
    <row r="149" spans="22:22" x14ac:dyDescent="0.25">
      <c r="V149" s="26" t="b">
        <f t="shared" ref="V149" si="23">V99=V50</f>
        <v>1</v>
      </c>
    </row>
    <row r="150" spans="22:22" x14ac:dyDescent="0.25">
      <c r="V150" s="26" t="b">
        <f t="shared" ref="V150" si="24">V100=V51</f>
        <v>1</v>
      </c>
    </row>
    <row r="151" spans="22:22" x14ac:dyDescent="0.25">
      <c r="V151" s="26" t="b">
        <f t="shared" ref="V151" si="25">V101=V52</f>
        <v>1</v>
      </c>
    </row>
    <row r="152" spans="22:22" x14ac:dyDescent="0.25">
      <c r="V152" s="26" t="b">
        <f t="shared" ref="V152" si="26">V102=V53</f>
        <v>1</v>
      </c>
    </row>
    <row r="153" spans="22:22" x14ac:dyDescent="0.25">
      <c r="V153" s="26" t="b">
        <f t="shared" ref="V153" si="27">V103=V54</f>
        <v>1</v>
      </c>
    </row>
    <row r="154" spans="22:22" x14ac:dyDescent="0.25">
      <c r="V154" s="26" t="b">
        <f t="shared" ref="V154" si="28">V104=V55</f>
        <v>1</v>
      </c>
    </row>
    <row r="155" spans="22:22" x14ac:dyDescent="0.25">
      <c r="V155" s="26" t="b">
        <f t="shared" ref="V155" si="29">V105=V56</f>
        <v>1</v>
      </c>
    </row>
    <row r="156" spans="22:22" x14ac:dyDescent="0.25">
      <c r="V156" s="26" t="b">
        <f t="shared" ref="V156" si="30">V106=V57</f>
        <v>1</v>
      </c>
    </row>
    <row r="157" spans="22:22" x14ac:dyDescent="0.25">
      <c r="V157" s="26" t="b">
        <f t="shared" ref="V157" si="31">V107=V58</f>
        <v>1</v>
      </c>
    </row>
    <row r="158" spans="22:22" x14ac:dyDescent="0.25">
      <c r="V158" s="26" t="b">
        <f t="shared" ref="V158" si="32">V108=V59</f>
        <v>1</v>
      </c>
    </row>
    <row r="159" spans="22:22" x14ac:dyDescent="0.25">
      <c r="V159" s="26" t="b">
        <f t="shared" ref="V159" si="33">V109=V60</f>
        <v>1</v>
      </c>
    </row>
    <row r="160" spans="22:22" x14ac:dyDescent="0.25">
      <c r="V160" s="26" t="b">
        <f t="shared" ref="V160" si="34">V110=V61</f>
        <v>1</v>
      </c>
    </row>
    <row r="161" spans="22:22" x14ac:dyDescent="0.25">
      <c r="V161" s="26" t="b">
        <f t="shared" ref="V161" si="35">V111=V62</f>
        <v>1</v>
      </c>
    </row>
    <row r="162" spans="22:22" x14ac:dyDescent="0.25">
      <c r="V162" s="26" t="b">
        <f t="shared" ref="V162" si="36">V112=V63</f>
        <v>1</v>
      </c>
    </row>
    <row r="163" spans="22:22" x14ac:dyDescent="0.25">
      <c r="V163" s="26" t="b">
        <f t="shared" ref="V163" si="37">V113=V64</f>
        <v>1</v>
      </c>
    </row>
    <row r="164" spans="22:22" x14ac:dyDescent="0.25">
      <c r="V164" s="26" t="b">
        <f t="shared" ref="V164" si="38">V114=V65</f>
        <v>1</v>
      </c>
    </row>
    <row r="165" spans="22:22" x14ac:dyDescent="0.25">
      <c r="V165" s="26" t="b">
        <f t="shared" ref="V165" si="39">V115=V66</f>
        <v>1</v>
      </c>
    </row>
    <row r="166" spans="22:22" x14ac:dyDescent="0.25">
      <c r="V166" s="26" t="b">
        <f t="shared" ref="V166" si="40">V116=V67</f>
        <v>1</v>
      </c>
    </row>
    <row r="167" spans="22:22" x14ac:dyDescent="0.25">
      <c r="V167" s="26" t="b">
        <f t="shared" ref="V167" si="41">V117=V68</f>
        <v>1</v>
      </c>
    </row>
    <row r="168" spans="22:22" x14ac:dyDescent="0.25">
      <c r="V168" s="26" t="b">
        <f t="shared" ref="V168" si="42">V118=V69</f>
        <v>1</v>
      </c>
    </row>
    <row r="169" spans="22:22" x14ac:dyDescent="0.25">
      <c r="V169" s="26" t="b">
        <f t="shared" ref="V169" si="43">V119=V70</f>
        <v>1</v>
      </c>
    </row>
    <row r="170" spans="22:22" x14ac:dyDescent="0.25">
      <c r="V170" s="26" t="b">
        <f t="shared" ref="V170" si="44">V120=V71</f>
        <v>1</v>
      </c>
    </row>
    <row r="171" spans="22:22" x14ac:dyDescent="0.25">
      <c r="V171" s="26" t="b">
        <f t="shared" ref="V171" si="45">V121=V72</f>
        <v>1</v>
      </c>
    </row>
    <row r="172" spans="22:22" x14ac:dyDescent="0.25">
      <c r="V172" s="26" t="b">
        <f t="shared" ref="V172" si="46">V122=V73</f>
        <v>1</v>
      </c>
    </row>
    <row r="173" spans="22:22" x14ac:dyDescent="0.25">
      <c r="V173" s="26" t="b">
        <f t="shared" ref="V173" si="47">V123=V74</f>
        <v>1</v>
      </c>
    </row>
  </sheetData>
  <sheetProtection algorithmName="SHA-512" hashValue="BCilR8UsF4Nmdwv+HcND9e+o8TBARFGr9fWKMvLIEMzs40oUVboKChoOYCA4pERbW3T9jA/jaH2V6cKAxnFNHg==" saltValue="aWHL5VKfjcD7oiPtKPgYdg==" spinCount="100000" sheet="1" objects="1" scenarios="1"/>
  <conditionalFormatting sqref="A6:A21">
    <cfRule type="expression" dxfId="389" priority="9" stopIfTrue="1">
      <formula>MOD(ROW(),2)=0</formula>
    </cfRule>
    <cfRule type="expression" dxfId="388" priority="10" stopIfTrue="1">
      <formula>MOD(ROW(),2)&lt;&gt;0</formula>
    </cfRule>
  </conditionalFormatting>
  <conditionalFormatting sqref="A26:A74">
    <cfRule type="expression" dxfId="387" priority="11" stopIfTrue="1">
      <formula>MOD(ROW(),2)=0</formula>
    </cfRule>
    <cfRule type="expression" dxfId="386" priority="12" stopIfTrue="1">
      <formula>MOD(ROW(),2)&lt;&gt;0</formula>
    </cfRule>
  </conditionalFormatting>
  <conditionalFormatting sqref="B17:B21">
    <cfRule type="expression" dxfId="385" priority="1" stopIfTrue="1">
      <formula>MOD(ROW(),2)=0</formula>
    </cfRule>
    <cfRule type="expression" dxfId="384" priority="2" stopIfTrue="1">
      <formula>MOD(ROW(),2)&lt;&gt;0</formula>
    </cfRule>
  </conditionalFormatting>
  <conditionalFormatting sqref="B6:U21">
    <cfRule type="expression" dxfId="383" priority="17" stopIfTrue="1">
      <formula>MOD(ROW(),2)=0</formula>
    </cfRule>
    <cfRule type="expression" dxfId="382" priority="18" stopIfTrue="1">
      <formula>MOD(ROW(),2)&lt;&gt;0</formula>
    </cfRule>
  </conditionalFormatting>
  <conditionalFormatting sqref="B26:U74">
    <cfRule type="expression" dxfId="381" priority="13" stopIfTrue="1">
      <formula>MOD(ROW(),2)=0</formula>
    </cfRule>
    <cfRule type="expression" dxfId="380" priority="14" stopIfTrue="1">
      <formula>MOD(ROW(),2)&lt;&gt;0</formula>
    </cfRule>
  </conditionalFormatting>
  <hyperlinks>
    <hyperlink ref="B24" location="Assumptions!A1" display="Assumptions" xr:uid="{AAA66F19-11FB-4EA2-91F3-F49D48D4DF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3CA78-5D87-491D-9E25-A12F3E339BAB}">
  <sheetPr codeName="Sheet96"/>
  <dimension ref="A1:U74"/>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x-711</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74</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576</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2</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711</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577</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578</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227.4</v>
      </c>
      <c r="C27" s="116">
        <v>115.8</v>
      </c>
      <c r="D27" s="116">
        <v>78.599999999999994</v>
      </c>
      <c r="E27" s="116">
        <v>60</v>
      </c>
      <c r="F27" s="116">
        <v>48.9</v>
      </c>
      <c r="G27" s="116">
        <v>41.5</v>
      </c>
      <c r="H27" s="116">
        <v>36.200000000000003</v>
      </c>
      <c r="I27" s="116">
        <v>32.200000000000003</v>
      </c>
      <c r="J27" s="116">
        <v>29.2</v>
      </c>
      <c r="K27" s="116">
        <v>26.7</v>
      </c>
      <c r="L27" s="116">
        <v>24.7</v>
      </c>
      <c r="M27" s="116">
        <v>23</v>
      </c>
      <c r="N27" s="116">
        <v>21.6</v>
      </c>
      <c r="O27" s="116">
        <v>20.399999999999999</v>
      </c>
      <c r="P27" s="116">
        <v>19.399999999999999</v>
      </c>
      <c r="Q27" s="116">
        <v>18.5</v>
      </c>
      <c r="R27" s="116">
        <v>17.7</v>
      </c>
      <c r="S27" s="116">
        <v>17</v>
      </c>
      <c r="T27" s="116">
        <v>16.399999999999999</v>
      </c>
      <c r="U27" s="116">
        <v>15.8</v>
      </c>
    </row>
    <row r="28" spans="1:21" x14ac:dyDescent="0.25">
      <c r="A28" s="80">
        <v>17</v>
      </c>
      <c r="B28" s="116">
        <v>230.9</v>
      </c>
      <c r="C28" s="116">
        <v>117.6</v>
      </c>
      <c r="D28" s="116">
        <v>79.8</v>
      </c>
      <c r="E28" s="116">
        <v>61</v>
      </c>
      <c r="F28" s="116">
        <v>49.6</v>
      </c>
      <c r="G28" s="116">
        <v>42.1</v>
      </c>
      <c r="H28" s="116">
        <v>36.700000000000003</v>
      </c>
      <c r="I28" s="116">
        <v>32.700000000000003</v>
      </c>
      <c r="J28" s="116">
        <v>29.6</v>
      </c>
      <c r="K28" s="116">
        <v>27.1</v>
      </c>
      <c r="L28" s="116">
        <v>25.1</v>
      </c>
      <c r="M28" s="116">
        <v>23.4</v>
      </c>
      <c r="N28" s="116">
        <v>22</v>
      </c>
      <c r="O28" s="116">
        <v>20.7</v>
      </c>
      <c r="P28" s="116">
        <v>19.7</v>
      </c>
      <c r="Q28" s="116">
        <v>18.8</v>
      </c>
      <c r="R28" s="116">
        <v>18</v>
      </c>
      <c r="S28" s="116">
        <v>17.2</v>
      </c>
      <c r="T28" s="116">
        <v>16.600000000000001</v>
      </c>
      <c r="U28" s="116">
        <v>16</v>
      </c>
    </row>
    <row r="29" spans="1:21" x14ac:dyDescent="0.25">
      <c r="A29" s="80">
        <v>18</v>
      </c>
      <c r="B29" s="116">
        <v>234.5</v>
      </c>
      <c r="C29" s="116">
        <v>119.4</v>
      </c>
      <c r="D29" s="116">
        <v>81.099999999999994</v>
      </c>
      <c r="E29" s="116">
        <v>61.9</v>
      </c>
      <c r="F29" s="116">
        <v>50.4</v>
      </c>
      <c r="G29" s="116">
        <v>42.8</v>
      </c>
      <c r="H29" s="116">
        <v>37.299999999999997</v>
      </c>
      <c r="I29" s="116">
        <v>33.200000000000003</v>
      </c>
      <c r="J29" s="116">
        <v>30.1</v>
      </c>
      <c r="K29" s="116">
        <v>27.5</v>
      </c>
      <c r="L29" s="116">
        <v>25.5</v>
      </c>
      <c r="M29" s="116">
        <v>23.8</v>
      </c>
      <c r="N29" s="116">
        <v>22.3</v>
      </c>
      <c r="O29" s="116">
        <v>21.1</v>
      </c>
      <c r="P29" s="116">
        <v>20</v>
      </c>
      <c r="Q29" s="116">
        <v>19.100000000000001</v>
      </c>
      <c r="R29" s="116">
        <v>18.2</v>
      </c>
      <c r="S29" s="116">
        <v>17.5</v>
      </c>
      <c r="T29" s="116">
        <v>16.899999999999999</v>
      </c>
      <c r="U29" s="116">
        <v>16.3</v>
      </c>
    </row>
    <row r="30" spans="1:21" x14ac:dyDescent="0.25">
      <c r="A30" s="80">
        <v>19</v>
      </c>
      <c r="B30" s="116">
        <v>238</v>
      </c>
      <c r="C30" s="116">
        <v>121.2</v>
      </c>
      <c r="D30" s="116">
        <v>82.3</v>
      </c>
      <c r="E30" s="116">
        <v>62.8</v>
      </c>
      <c r="F30" s="116">
        <v>51.2</v>
      </c>
      <c r="G30" s="116">
        <v>43.4</v>
      </c>
      <c r="H30" s="116">
        <v>37.9</v>
      </c>
      <c r="I30" s="116">
        <v>33.700000000000003</v>
      </c>
      <c r="J30" s="116">
        <v>30.5</v>
      </c>
      <c r="K30" s="116">
        <v>28</v>
      </c>
      <c r="L30" s="116">
        <v>25.9</v>
      </c>
      <c r="M30" s="116">
        <v>24.1</v>
      </c>
      <c r="N30" s="116">
        <v>22.6</v>
      </c>
      <c r="O30" s="116">
        <v>21.4</v>
      </c>
      <c r="P30" s="116">
        <v>20.3</v>
      </c>
      <c r="Q30" s="116">
        <v>19.399999999999999</v>
      </c>
      <c r="R30" s="116">
        <v>18.5</v>
      </c>
      <c r="S30" s="116">
        <v>17.8</v>
      </c>
      <c r="T30" s="116">
        <v>17.100000000000001</v>
      </c>
      <c r="U30" s="116">
        <v>16.5</v>
      </c>
    </row>
    <row r="31" spans="1:21" x14ac:dyDescent="0.25">
      <c r="A31" s="80">
        <v>20</v>
      </c>
      <c r="B31" s="116">
        <v>241.2</v>
      </c>
      <c r="C31" s="116">
        <v>122.8</v>
      </c>
      <c r="D31" s="116">
        <v>83.4</v>
      </c>
      <c r="E31" s="116">
        <v>63.7</v>
      </c>
      <c r="F31" s="116">
        <v>51.9</v>
      </c>
      <c r="G31" s="116">
        <v>44</v>
      </c>
      <c r="H31" s="116">
        <v>38.4</v>
      </c>
      <c r="I31" s="116">
        <v>34.200000000000003</v>
      </c>
      <c r="J31" s="116">
        <v>30.9</v>
      </c>
      <c r="K31" s="116">
        <v>28.3</v>
      </c>
      <c r="L31" s="116">
        <v>26.2</v>
      </c>
      <c r="M31" s="116">
        <v>24.4</v>
      </c>
      <c r="N31" s="116">
        <v>22.9</v>
      </c>
      <c r="O31" s="116">
        <v>21.7</v>
      </c>
      <c r="P31" s="116">
        <v>20.6</v>
      </c>
      <c r="Q31" s="116">
        <v>19.600000000000001</v>
      </c>
      <c r="R31" s="116">
        <v>18.8</v>
      </c>
      <c r="S31" s="116">
        <v>18</v>
      </c>
      <c r="T31" s="116">
        <v>17.399999999999999</v>
      </c>
      <c r="U31" s="116">
        <v>16.8</v>
      </c>
    </row>
    <row r="32" spans="1:21" x14ac:dyDescent="0.25">
      <c r="A32" s="80">
        <v>21</v>
      </c>
      <c r="B32" s="116">
        <v>244.4</v>
      </c>
      <c r="C32" s="116">
        <v>124.5</v>
      </c>
      <c r="D32" s="116">
        <v>84.5</v>
      </c>
      <c r="E32" s="116">
        <v>64.5</v>
      </c>
      <c r="F32" s="116">
        <v>52.6</v>
      </c>
      <c r="G32" s="116">
        <v>44.6</v>
      </c>
      <c r="H32" s="116">
        <v>38.9</v>
      </c>
      <c r="I32" s="116">
        <v>34.700000000000003</v>
      </c>
      <c r="J32" s="116">
        <v>31.3</v>
      </c>
      <c r="K32" s="116">
        <v>28.7</v>
      </c>
      <c r="L32" s="116">
        <v>26.6</v>
      </c>
      <c r="M32" s="116">
        <v>24.8</v>
      </c>
      <c r="N32" s="116">
        <v>23.3</v>
      </c>
      <c r="O32" s="116">
        <v>22</v>
      </c>
      <c r="P32" s="116">
        <v>20.8</v>
      </c>
      <c r="Q32" s="116">
        <v>19.899999999999999</v>
      </c>
      <c r="R32" s="116">
        <v>19</v>
      </c>
      <c r="S32" s="116">
        <v>18.3</v>
      </c>
      <c r="T32" s="116">
        <v>17.600000000000001</v>
      </c>
      <c r="U32" s="116">
        <v>17</v>
      </c>
    </row>
    <row r="33" spans="1:21" x14ac:dyDescent="0.25">
      <c r="A33" s="80">
        <v>22</v>
      </c>
      <c r="B33" s="116">
        <v>247.7</v>
      </c>
      <c r="C33" s="116">
        <v>126.1</v>
      </c>
      <c r="D33" s="116">
        <v>85.6</v>
      </c>
      <c r="E33" s="116">
        <v>65.400000000000006</v>
      </c>
      <c r="F33" s="116">
        <v>53.3</v>
      </c>
      <c r="G33" s="116">
        <v>45.2</v>
      </c>
      <c r="H33" s="116">
        <v>39.4</v>
      </c>
      <c r="I33" s="116">
        <v>35.1</v>
      </c>
      <c r="J33" s="116">
        <v>31.8</v>
      </c>
      <c r="K33" s="116">
        <v>29.1</v>
      </c>
      <c r="L33" s="116">
        <v>26.9</v>
      </c>
      <c r="M33" s="116">
        <v>25.1</v>
      </c>
      <c r="N33" s="116">
        <v>23.6</v>
      </c>
      <c r="O33" s="116">
        <v>22.3</v>
      </c>
      <c r="P33" s="116">
        <v>21.1</v>
      </c>
      <c r="Q33" s="116">
        <v>20.100000000000001</v>
      </c>
      <c r="R33" s="116">
        <v>19.3</v>
      </c>
      <c r="S33" s="116">
        <v>18.5</v>
      </c>
      <c r="T33" s="116">
        <v>17.8</v>
      </c>
      <c r="U33" s="116">
        <v>17.2</v>
      </c>
    </row>
    <row r="34" spans="1:21" x14ac:dyDescent="0.25">
      <c r="A34" s="80">
        <v>23</v>
      </c>
      <c r="B34" s="116">
        <v>251</v>
      </c>
      <c r="C34" s="116">
        <v>127.8</v>
      </c>
      <c r="D34" s="116">
        <v>86.8</v>
      </c>
      <c r="E34" s="116">
        <v>66.3</v>
      </c>
      <c r="F34" s="116">
        <v>54</v>
      </c>
      <c r="G34" s="116">
        <v>45.8</v>
      </c>
      <c r="H34" s="116">
        <v>40</v>
      </c>
      <c r="I34" s="116">
        <v>35.6</v>
      </c>
      <c r="J34" s="116">
        <v>32.200000000000003</v>
      </c>
      <c r="K34" s="116">
        <v>29.5</v>
      </c>
      <c r="L34" s="116">
        <v>27.3</v>
      </c>
      <c r="M34" s="116">
        <v>25.4</v>
      </c>
      <c r="N34" s="116">
        <v>23.9</v>
      </c>
      <c r="O34" s="116">
        <v>22.6</v>
      </c>
      <c r="P34" s="116">
        <v>21.4</v>
      </c>
      <c r="Q34" s="116">
        <v>20.399999999999999</v>
      </c>
      <c r="R34" s="116">
        <v>19.5</v>
      </c>
      <c r="S34" s="116">
        <v>18.8</v>
      </c>
      <c r="T34" s="116">
        <v>18.100000000000001</v>
      </c>
      <c r="U34" s="116">
        <v>17.5</v>
      </c>
    </row>
    <row r="35" spans="1:21" x14ac:dyDescent="0.25">
      <c r="A35" s="80">
        <v>24</v>
      </c>
      <c r="B35" s="116">
        <v>254.3</v>
      </c>
      <c r="C35" s="116">
        <v>129.5</v>
      </c>
      <c r="D35" s="116">
        <v>87.9</v>
      </c>
      <c r="E35" s="116">
        <v>67.099999999999994</v>
      </c>
      <c r="F35" s="116">
        <v>54.7</v>
      </c>
      <c r="G35" s="116">
        <v>46.4</v>
      </c>
      <c r="H35" s="116">
        <v>40.5</v>
      </c>
      <c r="I35" s="116">
        <v>36.1</v>
      </c>
      <c r="J35" s="116">
        <v>32.6</v>
      </c>
      <c r="K35" s="116">
        <v>29.9</v>
      </c>
      <c r="L35" s="116">
        <v>27.6</v>
      </c>
      <c r="M35" s="116">
        <v>25.8</v>
      </c>
      <c r="N35" s="116">
        <v>24.2</v>
      </c>
      <c r="O35" s="116">
        <v>22.9</v>
      </c>
      <c r="P35" s="116">
        <v>21.7</v>
      </c>
      <c r="Q35" s="116">
        <v>20.7</v>
      </c>
      <c r="R35" s="116">
        <v>19.8</v>
      </c>
      <c r="S35" s="116">
        <v>19</v>
      </c>
      <c r="T35" s="116">
        <v>18.3</v>
      </c>
      <c r="U35" s="116">
        <v>17.7</v>
      </c>
    </row>
    <row r="36" spans="1:21" x14ac:dyDescent="0.25">
      <c r="A36" s="80">
        <v>25</v>
      </c>
      <c r="B36" s="116">
        <v>257.7</v>
      </c>
      <c r="C36" s="116">
        <v>131.19999999999999</v>
      </c>
      <c r="D36" s="116">
        <v>89.1</v>
      </c>
      <c r="E36" s="116">
        <v>68</v>
      </c>
      <c r="F36" s="116">
        <v>55.4</v>
      </c>
      <c r="G36" s="116">
        <v>47</v>
      </c>
      <c r="H36" s="116">
        <v>41</v>
      </c>
      <c r="I36" s="116">
        <v>36.5</v>
      </c>
      <c r="J36" s="116">
        <v>33.1</v>
      </c>
      <c r="K36" s="116">
        <v>30.3</v>
      </c>
      <c r="L36" s="116">
        <v>28</v>
      </c>
      <c r="M36" s="116">
        <v>26.1</v>
      </c>
      <c r="N36" s="116">
        <v>24.5</v>
      </c>
      <c r="O36" s="116">
        <v>23.2</v>
      </c>
      <c r="P36" s="116">
        <v>22</v>
      </c>
      <c r="Q36" s="116">
        <v>21</v>
      </c>
      <c r="R36" s="116">
        <v>20.100000000000001</v>
      </c>
      <c r="S36" s="116">
        <v>19.3</v>
      </c>
      <c r="T36" s="116">
        <v>18.600000000000001</v>
      </c>
      <c r="U36" s="116">
        <v>17.899999999999999</v>
      </c>
    </row>
    <row r="37" spans="1:21" x14ac:dyDescent="0.25">
      <c r="A37" s="80">
        <v>26</v>
      </c>
      <c r="B37" s="116">
        <v>261.10000000000002</v>
      </c>
      <c r="C37" s="116">
        <v>133</v>
      </c>
      <c r="D37" s="116">
        <v>90.3</v>
      </c>
      <c r="E37" s="116">
        <v>68.900000000000006</v>
      </c>
      <c r="F37" s="116">
        <v>56.2</v>
      </c>
      <c r="G37" s="116">
        <v>47.6</v>
      </c>
      <c r="H37" s="116">
        <v>41.6</v>
      </c>
      <c r="I37" s="116">
        <v>37</v>
      </c>
      <c r="J37" s="116">
        <v>33.5</v>
      </c>
      <c r="K37" s="116">
        <v>30.7</v>
      </c>
      <c r="L37" s="116">
        <v>28.4</v>
      </c>
      <c r="M37" s="116">
        <v>26.5</v>
      </c>
      <c r="N37" s="116">
        <v>24.9</v>
      </c>
      <c r="O37" s="116">
        <v>23.5</v>
      </c>
      <c r="P37" s="116">
        <v>22.3</v>
      </c>
      <c r="Q37" s="116">
        <v>21.3</v>
      </c>
      <c r="R37" s="116">
        <v>20.3</v>
      </c>
      <c r="S37" s="116">
        <v>19.5</v>
      </c>
      <c r="T37" s="116">
        <v>18.8</v>
      </c>
      <c r="U37" s="116">
        <v>18.2</v>
      </c>
    </row>
    <row r="38" spans="1:21" x14ac:dyDescent="0.25">
      <c r="A38" s="80">
        <v>27</v>
      </c>
      <c r="B38" s="116">
        <v>264.60000000000002</v>
      </c>
      <c r="C38" s="116">
        <v>134.69999999999999</v>
      </c>
      <c r="D38" s="116">
        <v>91.5</v>
      </c>
      <c r="E38" s="116">
        <v>69.900000000000006</v>
      </c>
      <c r="F38" s="116">
        <v>56.9</v>
      </c>
      <c r="G38" s="116">
        <v>48.3</v>
      </c>
      <c r="H38" s="116">
        <v>42.1</v>
      </c>
      <c r="I38" s="116">
        <v>37.5</v>
      </c>
      <c r="J38" s="116">
        <v>33.9</v>
      </c>
      <c r="K38" s="116">
        <v>31.1</v>
      </c>
      <c r="L38" s="116">
        <v>28.8</v>
      </c>
      <c r="M38" s="116">
        <v>26.8</v>
      </c>
      <c r="N38" s="116">
        <v>25.2</v>
      </c>
      <c r="O38" s="116">
        <v>23.8</v>
      </c>
      <c r="P38" s="116">
        <v>22.6</v>
      </c>
      <c r="Q38" s="116">
        <v>21.5</v>
      </c>
      <c r="R38" s="116">
        <v>20.6</v>
      </c>
      <c r="S38" s="116">
        <v>19.8</v>
      </c>
      <c r="T38" s="116">
        <v>19.100000000000001</v>
      </c>
      <c r="U38" s="116">
        <v>18.399999999999999</v>
      </c>
    </row>
    <row r="39" spans="1:21" x14ac:dyDescent="0.25">
      <c r="A39" s="80">
        <v>28</v>
      </c>
      <c r="B39" s="116">
        <v>268.10000000000002</v>
      </c>
      <c r="C39" s="116">
        <v>136.5</v>
      </c>
      <c r="D39" s="116">
        <v>92.7</v>
      </c>
      <c r="E39" s="116">
        <v>70.8</v>
      </c>
      <c r="F39" s="116">
        <v>57.7</v>
      </c>
      <c r="G39" s="116">
        <v>48.9</v>
      </c>
      <c r="H39" s="116">
        <v>42.7</v>
      </c>
      <c r="I39" s="116">
        <v>38</v>
      </c>
      <c r="J39" s="116">
        <v>34.4</v>
      </c>
      <c r="K39" s="116">
        <v>31.5</v>
      </c>
      <c r="L39" s="116">
        <v>29.2</v>
      </c>
      <c r="M39" s="116">
        <v>27.2</v>
      </c>
      <c r="N39" s="116">
        <v>25.5</v>
      </c>
      <c r="O39" s="116">
        <v>24.1</v>
      </c>
      <c r="P39" s="116">
        <v>22.9</v>
      </c>
      <c r="Q39" s="116">
        <v>21.8</v>
      </c>
      <c r="R39" s="116">
        <v>20.9</v>
      </c>
      <c r="S39" s="116">
        <v>20.100000000000001</v>
      </c>
      <c r="T39" s="116">
        <v>19.3</v>
      </c>
      <c r="U39" s="116">
        <v>18.7</v>
      </c>
    </row>
    <row r="40" spans="1:21" x14ac:dyDescent="0.25">
      <c r="A40" s="80">
        <v>29</v>
      </c>
      <c r="B40" s="116">
        <v>271.60000000000002</v>
      </c>
      <c r="C40" s="116">
        <v>138.30000000000001</v>
      </c>
      <c r="D40" s="116">
        <v>93.9</v>
      </c>
      <c r="E40" s="116">
        <v>71.7</v>
      </c>
      <c r="F40" s="116">
        <v>58.4</v>
      </c>
      <c r="G40" s="116">
        <v>49.6</v>
      </c>
      <c r="H40" s="116">
        <v>43.3</v>
      </c>
      <c r="I40" s="116">
        <v>38.5</v>
      </c>
      <c r="J40" s="116">
        <v>34.9</v>
      </c>
      <c r="K40" s="116">
        <v>31.9</v>
      </c>
      <c r="L40" s="116">
        <v>29.5</v>
      </c>
      <c r="M40" s="116">
        <v>27.6</v>
      </c>
      <c r="N40" s="116">
        <v>25.9</v>
      </c>
      <c r="O40" s="116">
        <v>24.4</v>
      </c>
      <c r="P40" s="116">
        <v>23.2</v>
      </c>
      <c r="Q40" s="116">
        <v>22.1</v>
      </c>
      <c r="R40" s="116">
        <v>21.2</v>
      </c>
      <c r="S40" s="116">
        <v>20.399999999999999</v>
      </c>
      <c r="T40" s="116">
        <v>19.600000000000001</v>
      </c>
      <c r="U40" s="116">
        <v>18.899999999999999</v>
      </c>
    </row>
    <row r="41" spans="1:21" x14ac:dyDescent="0.25">
      <c r="A41" s="80">
        <v>30</v>
      </c>
      <c r="B41" s="116">
        <v>275.2</v>
      </c>
      <c r="C41" s="116">
        <v>140.19999999999999</v>
      </c>
      <c r="D41" s="116">
        <v>95.2</v>
      </c>
      <c r="E41" s="116">
        <v>72.7</v>
      </c>
      <c r="F41" s="116">
        <v>59.2</v>
      </c>
      <c r="G41" s="116">
        <v>50.2</v>
      </c>
      <c r="H41" s="116">
        <v>43.8</v>
      </c>
      <c r="I41" s="116">
        <v>39.1</v>
      </c>
      <c r="J41" s="116">
        <v>35.299999999999997</v>
      </c>
      <c r="K41" s="116">
        <v>32.4</v>
      </c>
      <c r="L41" s="116">
        <v>29.9</v>
      </c>
      <c r="M41" s="116">
        <v>27.9</v>
      </c>
      <c r="N41" s="116">
        <v>26.2</v>
      </c>
      <c r="O41" s="116">
        <v>24.8</v>
      </c>
      <c r="P41" s="116">
        <v>23.5</v>
      </c>
      <c r="Q41" s="116">
        <v>22.4</v>
      </c>
      <c r="R41" s="116">
        <v>21.5</v>
      </c>
      <c r="S41" s="116">
        <v>20.6</v>
      </c>
      <c r="T41" s="116">
        <v>19.899999999999999</v>
      </c>
      <c r="U41" s="116">
        <v>19.2</v>
      </c>
    </row>
    <row r="42" spans="1:21" x14ac:dyDescent="0.25">
      <c r="A42" s="80">
        <v>31</v>
      </c>
      <c r="B42" s="116">
        <v>278.89999999999998</v>
      </c>
      <c r="C42" s="116">
        <v>142</v>
      </c>
      <c r="D42" s="116">
        <v>96.4</v>
      </c>
      <c r="E42" s="116">
        <v>73.7</v>
      </c>
      <c r="F42" s="116">
        <v>60</v>
      </c>
      <c r="G42" s="116">
        <v>50.9</v>
      </c>
      <c r="H42" s="116">
        <v>44.4</v>
      </c>
      <c r="I42" s="116">
        <v>39.6</v>
      </c>
      <c r="J42" s="116">
        <v>35.799999999999997</v>
      </c>
      <c r="K42" s="116">
        <v>32.799999999999997</v>
      </c>
      <c r="L42" s="116">
        <v>30.3</v>
      </c>
      <c r="M42" s="116">
        <v>28.3</v>
      </c>
      <c r="N42" s="116">
        <v>26.6</v>
      </c>
      <c r="O42" s="116">
        <v>25.1</v>
      </c>
      <c r="P42" s="116">
        <v>23.9</v>
      </c>
      <c r="Q42" s="116">
        <v>22.7</v>
      </c>
      <c r="R42" s="116">
        <v>21.8</v>
      </c>
      <c r="S42" s="116">
        <v>20.9</v>
      </c>
      <c r="T42" s="116">
        <v>20.2</v>
      </c>
      <c r="U42" s="116">
        <v>19.5</v>
      </c>
    </row>
    <row r="43" spans="1:21" x14ac:dyDescent="0.25">
      <c r="A43" s="80">
        <v>32</v>
      </c>
      <c r="B43" s="116">
        <v>282.5</v>
      </c>
      <c r="C43" s="116">
        <v>143.9</v>
      </c>
      <c r="D43" s="116">
        <v>97.7</v>
      </c>
      <c r="E43" s="116">
        <v>74.599999999999994</v>
      </c>
      <c r="F43" s="116">
        <v>60.8</v>
      </c>
      <c r="G43" s="116">
        <v>51.6</v>
      </c>
      <c r="H43" s="116">
        <v>45</v>
      </c>
      <c r="I43" s="116">
        <v>40.1</v>
      </c>
      <c r="J43" s="116">
        <v>36.299999999999997</v>
      </c>
      <c r="K43" s="116">
        <v>33.200000000000003</v>
      </c>
      <c r="L43" s="116">
        <v>30.8</v>
      </c>
      <c r="M43" s="116">
        <v>28.7</v>
      </c>
      <c r="N43" s="116">
        <v>26.9</v>
      </c>
      <c r="O43" s="116">
        <v>25.5</v>
      </c>
      <c r="P43" s="116">
        <v>24.2</v>
      </c>
      <c r="Q43" s="116">
        <v>23.1</v>
      </c>
      <c r="R43" s="116">
        <v>22.1</v>
      </c>
      <c r="S43" s="116">
        <v>21.2</v>
      </c>
      <c r="T43" s="116">
        <v>20.399999999999999</v>
      </c>
      <c r="U43" s="116">
        <v>19.7</v>
      </c>
    </row>
    <row r="44" spans="1:21" x14ac:dyDescent="0.25">
      <c r="A44" s="80">
        <v>33</v>
      </c>
      <c r="B44" s="116">
        <v>286.3</v>
      </c>
      <c r="C44" s="116">
        <v>145.80000000000001</v>
      </c>
      <c r="D44" s="116">
        <v>99</v>
      </c>
      <c r="E44" s="116">
        <v>75.599999999999994</v>
      </c>
      <c r="F44" s="116">
        <v>61.6</v>
      </c>
      <c r="G44" s="116">
        <v>52.3</v>
      </c>
      <c r="H44" s="116">
        <v>45.6</v>
      </c>
      <c r="I44" s="116">
        <v>40.6</v>
      </c>
      <c r="J44" s="116">
        <v>36.799999999999997</v>
      </c>
      <c r="K44" s="116">
        <v>33.700000000000003</v>
      </c>
      <c r="L44" s="116">
        <v>31.2</v>
      </c>
      <c r="M44" s="116">
        <v>29.1</v>
      </c>
      <c r="N44" s="116">
        <v>27.3</v>
      </c>
      <c r="O44" s="116">
        <v>25.8</v>
      </c>
      <c r="P44" s="116">
        <v>24.5</v>
      </c>
      <c r="Q44" s="116">
        <v>23.4</v>
      </c>
      <c r="R44" s="116">
        <v>22.4</v>
      </c>
      <c r="S44" s="116">
        <v>21.5</v>
      </c>
      <c r="T44" s="116">
        <v>20.7</v>
      </c>
      <c r="U44" s="116">
        <v>20</v>
      </c>
    </row>
    <row r="45" spans="1:21" x14ac:dyDescent="0.25">
      <c r="A45" s="80">
        <v>34</v>
      </c>
      <c r="B45" s="116">
        <v>290</v>
      </c>
      <c r="C45" s="116">
        <v>147.69999999999999</v>
      </c>
      <c r="D45" s="116">
        <v>100.3</v>
      </c>
      <c r="E45" s="116">
        <v>76.599999999999994</v>
      </c>
      <c r="F45" s="116">
        <v>62.4</v>
      </c>
      <c r="G45" s="116">
        <v>53</v>
      </c>
      <c r="H45" s="116">
        <v>46.2</v>
      </c>
      <c r="I45" s="116">
        <v>41.2</v>
      </c>
      <c r="J45" s="116">
        <v>37.299999999999997</v>
      </c>
      <c r="K45" s="116">
        <v>34.1</v>
      </c>
      <c r="L45" s="116">
        <v>31.6</v>
      </c>
      <c r="M45" s="116">
        <v>29.5</v>
      </c>
      <c r="N45" s="116">
        <v>27.7</v>
      </c>
      <c r="O45" s="116">
        <v>26.2</v>
      </c>
      <c r="P45" s="116">
        <v>24.8</v>
      </c>
      <c r="Q45" s="116">
        <v>23.7</v>
      </c>
      <c r="R45" s="116">
        <v>22.7</v>
      </c>
      <c r="S45" s="116">
        <v>21.8</v>
      </c>
      <c r="T45" s="116">
        <v>21</v>
      </c>
      <c r="U45" s="116">
        <v>20.3</v>
      </c>
    </row>
    <row r="46" spans="1:21" x14ac:dyDescent="0.25">
      <c r="A46" s="80">
        <v>35</v>
      </c>
      <c r="B46" s="116">
        <v>293.8</v>
      </c>
      <c r="C46" s="116">
        <v>149.6</v>
      </c>
      <c r="D46" s="116">
        <v>101.6</v>
      </c>
      <c r="E46" s="116">
        <v>77.599999999999994</v>
      </c>
      <c r="F46" s="116">
        <v>63.2</v>
      </c>
      <c r="G46" s="116">
        <v>53.7</v>
      </c>
      <c r="H46" s="116">
        <v>46.8</v>
      </c>
      <c r="I46" s="116">
        <v>41.7</v>
      </c>
      <c r="J46" s="116">
        <v>37.799999999999997</v>
      </c>
      <c r="K46" s="116">
        <v>34.6</v>
      </c>
      <c r="L46" s="116">
        <v>32</v>
      </c>
      <c r="M46" s="116">
        <v>29.9</v>
      </c>
      <c r="N46" s="116">
        <v>28.1</v>
      </c>
      <c r="O46" s="116">
        <v>26.5</v>
      </c>
      <c r="P46" s="116">
        <v>25.2</v>
      </c>
      <c r="Q46" s="116">
        <v>24</v>
      </c>
      <c r="R46" s="116">
        <v>23</v>
      </c>
      <c r="S46" s="116">
        <v>22.1</v>
      </c>
      <c r="T46" s="116">
        <v>21.3</v>
      </c>
      <c r="U46" s="116">
        <v>20.6</v>
      </c>
    </row>
    <row r="47" spans="1:21" x14ac:dyDescent="0.25">
      <c r="A47" s="80">
        <v>36</v>
      </c>
      <c r="B47" s="116">
        <v>297.60000000000002</v>
      </c>
      <c r="C47" s="116">
        <v>151.6</v>
      </c>
      <c r="D47" s="116">
        <v>103</v>
      </c>
      <c r="E47" s="116">
        <v>78.599999999999994</v>
      </c>
      <c r="F47" s="116">
        <v>64.099999999999994</v>
      </c>
      <c r="G47" s="116">
        <v>54.4</v>
      </c>
      <c r="H47" s="116">
        <v>47.5</v>
      </c>
      <c r="I47" s="116">
        <v>42.3</v>
      </c>
      <c r="J47" s="116">
        <v>38.299999999999997</v>
      </c>
      <c r="K47" s="116">
        <v>35.1</v>
      </c>
      <c r="L47" s="116">
        <v>32.4</v>
      </c>
      <c r="M47" s="116">
        <v>30.3</v>
      </c>
      <c r="N47" s="116">
        <v>28.4</v>
      </c>
      <c r="O47" s="116">
        <v>26.9</v>
      </c>
      <c r="P47" s="116">
        <v>25.5</v>
      </c>
      <c r="Q47" s="116">
        <v>24.3</v>
      </c>
      <c r="R47" s="116">
        <v>23.3</v>
      </c>
      <c r="S47" s="116">
        <v>22.4</v>
      </c>
      <c r="T47" s="116">
        <v>21.6</v>
      </c>
      <c r="U47" s="116">
        <v>20.9</v>
      </c>
    </row>
    <row r="48" spans="1:21" x14ac:dyDescent="0.25">
      <c r="A48" s="80">
        <v>37</v>
      </c>
      <c r="B48" s="116">
        <v>301.5</v>
      </c>
      <c r="C48" s="116">
        <v>153.6</v>
      </c>
      <c r="D48" s="116">
        <v>104.3</v>
      </c>
      <c r="E48" s="116">
        <v>79.7</v>
      </c>
      <c r="F48" s="116">
        <v>64.900000000000006</v>
      </c>
      <c r="G48" s="116">
        <v>55.1</v>
      </c>
      <c r="H48" s="116">
        <v>48.1</v>
      </c>
      <c r="I48" s="116">
        <v>42.8</v>
      </c>
      <c r="J48" s="116">
        <v>38.799999999999997</v>
      </c>
      <c r="K48" s="116">
        <v>35.5</v>
      </c>
      <c r="L48" s="116">
        <v>32.9</v>
      </c>
      <c r="M48" s="116">
        <v>30.7</v>
      </c>
      <c r="N48" s="116">
        <v>28.8</v>
      </c>
      <c r="O48" s="116">
        <v>27.2</v>
      </c>
      <c r="P48" s="116">
        <v>25.9</v>
      </c>
      <c r="Q48" s="116">
        <v>24.7</v>
      </c>
      <c r="R48" s="116">
        <v>23.6</v>
      </c>
      <c r="S48" s="116">
        <v>22.7</v>
      </c>
      <c r="T48" s="116">
        <v>21.9</v>
      </c>
      <c r="U48" s="116">
        <v>21.2</v>
      </c>
    </row>
    <row r="49" spans="1:21" x14ac:dyDescent="0.25">
      <c r="A49" s="80">
        <v>38</v>
      </c>
      <c r="B49" s="116">
        <v>305.39999999999998</v>
      </c>
      <c r="C49" s="116">
        <v>155.6</v>
      </c>
      <c r="D49" s="116">
        <v>105.7</v>
      </c>
      <c r="E49" s="116">
        <v>80.7</v>
      </c>
      <c r="F49" s="116">
        <v>65.8</v>
      </c>
      <c r="G49" s="116">
        <v>55.8</v>
      </c>
      <c r="H49" s="116">
        <v>48.7</v>
      </c>
      <c r="I49" s="116">
        <v>43.4</v>
      </c>
      <c r="J49" s="116">
        <v>39.299999999999997</v>
      </c>
      <c r="K49" s="116">
        <v>36</v>
      </c>
      <c r="L49" s="116">
        <v>33.299999999999997</v>
      </c>
      <c r="M49" s="116">
        <v>31.1</v>
      </c>
      <c r="N49" s="116">
        <v>29.2</v>
      </c>
      <c r="O49" s="116">
        <v>27.6</v>
      </c>
      <c r="P49" s="116">
        <v>26.2</v>
      </c>
      <c r="Q49" s="116">
        <v>25</v>
      </c>
      <c r="R49" s="116">
        <v>24</v>
      </c>
      <c r="S49" s="116">
        <v>23</v>
      </c>
      <c r="T49" s="116">
        <v>22.2</v>
      </c>
      <c r="U49" s="116">
        <v>21.5</v>
      </c>
    </row>
    <row r="50" spans="1:21" x14ac:dyDescent="0.25">
      <c r="A50" s="80">
        <v>39</v>
      </c>
      <c r="B50" s="116">
        <v>309.39999999999998</v>
      </c>
      <c r="C50" s="116">
        <v>157.6</v>
      </c>
      <c r="D50" s="116">
        <v>107</v>
      </c>
      <c r="E50" s="116">
        <v>81.8</v>
      </c>
      <c r="F50" s="116">
        <v>66.599999999999994</v>
      </c>
      <c r="G50" s="116">
        <v>56.6</v>
      </c>
      <c r="H50" s="116">
        <v>49.4</v>
      </c>
      <c r="I50" s="116">
        <v>44</v>
      </c>
      <c r="J50" s="116">
        <v>39.799999999999997</v>
      </c>
      <c r="K50" s="116">
        <v>36.5</v>
      </c>
      <c r="L50" s="116">
        <v>33.799999999999997</v>
      </c>
      <c r="M50" s="116">
        <v>31.5</v>
      </c>
      <c r="N50" s="116">
        <v>29.6</v>
      </c>
      <c r="O50" s="116">
        <v>28</v>
      </c>
      <c r="P50" s="116">
        <v>26.6</v>
      </c>
      <c r="Q50" s="116">
        <v>25.4</v>
      </c>
      <c r="R50" s="116">
        <v>24.3</v>
      </c>
      <c r="S50" s="116">
        <v>23.4</v>
      </c>
      <c r="T50" s="116">
        <v>22.5</v>
      </c>
      <c r="U50" s="116">
        <v>21.8</v>
      </c>
    </row>
    <row r="51" spans="1:21" x14ac:dyDescent="0.25">
      <c r="A51" s="80">
        <v>40</v>
      </c>
      <c r="B51" s="116">
        <v>313.39999999999998</v>
      </c>
      <c r="C51" s="116">
        <v>159.69999999999999</v>
      </c>
      <c r="D51" s="116">
        <v>108.5</v>
      </c>
      <c r="E51" s="116">
        <v>82.9</v>
      </c>
      <c r="F51" s="116">
        <v>67.5</v>
      </c>
      <c r="G51" s="116">
        <v>57.3</v>
      </c>
      <c r="H51" s="116">
        <v>50</v>
      </c>
      <c r="I51" s="116">
        <v>44.6</v>
      </c>
      <c r="J51" s="116">
        <v>40.4</v>
      </c>
      <c r="K51" s="116">
        <v>37</v>
      </c>
      <c r="L51" s="116">
        <v>34.200000000000003</v>
      </c>
      <c r="M51" s="116">
        <v>31.9</v>
      </c>
      <c r="N51" s="116">
        <v>30</v>
      </c>
      <c r="O51" s="116">
        <v>28.4</v>
      </c>
      <c r="P51" s="116">
        <v>27</v>
      </c>
      <c r="Q51" s="116">
        <v>25.7</v>
      </c>
      <c r="R51" s="116">
        <v>24.7</v>
      </c>
      <c r="S51" s="116">
        <v>23.7</v>
      </c>
      <c r="T51" s="116">
        <v>22.9</v>
      </c>
      <c r="U51" s="116">
        <v>22.1</v>
      </c>
    </row>
    <row r="52" spans="1:21" x14ac:dyDescent="0.25">
      <c r="A52" s="80">
        <v>41</v>
      </c>
      <c r="B52" s="116">
        <v>317.5</v>
      </c>
      <c r="C52" s="116">
        <v>161.80000000000001</v>
      </c>
      <c r="D52" s="116">
        <v>109.9</v>
      </c>
      <c r="E52" s="116">
        <v>84</v>
      </c>
      <c r="F52" s="116">
        <v>68.400000000000006</v>
      </c>
      <c r="G52" s="116">
        <v>58.1</v>
      </c>
      <c r="H52" s="116">
        <v>50.7</v>
      </c>
      <c r="I52" s="116">
        <v>45.2</v>
      </c>
      <c r="J52" s="116">
        <v>40.9</v>
      </c>
      <c r="K52" s="116">
        <v>37.5</v>
      </c>
      <c r="L52" s="116">
        <v>34.700000000000003</v>
      </c>
      <c r="M52" s="116">
        <v>32.4</v>
      </c>
      <c r="N52" s="116">
        <v>30.4</v>
      </c>
      <c r="O52" s="116">
        <v>28.8</v>
      </c>
      <c r="P52" s="116">
        <v>27.3</v>
      </c>
      <c r="Q52" s="116">
        <v>26.1</v>
      </c>
      <c r="R52" s="116">
        <v>25</v>
      </c>
      <c r="S52" s="116">
        <v>24</v>
      </c>
      <c r="T52" s="116">
        <v>23.2</v>
      </c>
      <c r="U52" s="116">
        <v>22.4</v>
      </c>
    </row>
    <row r="53" spans="1:21" x14ac:dyDescent="0.25">
      <c r="A53" s="80">
        <v>42</v>
      </c>
      <c r="B53" s="116">
        <v>321.60000000000002</v>
      </c>
      <c r="C53" s="116">
        <v>163.9</v>
      </c>
      <c r="D53" s="116">
        <v>111.3</v>
      </c>
      <c r="E53" s="116">
        <v>85.1</v>
      </c>
      <c r="F53" s="116">
        <v>69.3</v>
      </c>
      <c r="G53" s="116">
        <v>58.8</v>
      </c>
      <c r="H53" s="116">
        <v>51.4</v>
      </c>
      <c r="I53" s="116">
        <v>45.8</v>
      </c>
      <c r="J53" s="116">
        <v>41.5</v>
      </c>
      <c r="K53" s="116">
        <v>38</v>
      </c>
      <c r="L53" s="116">
        <v>35.200000000000003</v>
      </c>
      <c r="M53" s="116">
        <v>32.799999999999997</v>
      </c>
      <c r="N53" s="116">
        <v>30.9</v>
      </c>
      <c r="O53" s="116">
        <v>29.2</v>
      </c>
      <c r="P53" s="116">
        <v>27.7</v>
      </c>
      <c r="Q53" s="116">
        <v>26.5</v>
      </c>
      <c r="R53" s="116">
        <v>25.4</v>
      </c>
      <c r="S53" s="116">
        <v>24.4</v>
      </c>
      <c r="T53" s="116">
        <v>23.5</v>
      </c>
      <c r="U53" s="116">
        <v>22.8</v>
      </c>
    </row>
    <row r="54" spans="1:21" x14ac:dyDescent="0.25">
      <c r="A54" s="80">
        <v>43</v>
      </c>
      <c r="B54" s="116">
        <v>325.8</v>
      </c>
      <c r="C54" s="116">
        <v>166</v>
      </c>
      <c r="D54" s="116">
        <v>112.8</v>
      </c>
      <c r="E54" s="116">
        <v>86.2</v>
      </c>
      <c r="F54" s="116">
        <v>70.2</v>
      </c>
      <c r="G54" s="116">
        <v>59.6</v>
      </c>
      <c r="H54" s="116">
        <v>52.1</v>
      </c>
      <c r="I54" s="116">
        <v>46.4</v>
      </c>
      <c r="J54" s="116">
        <v>42</v>
      </c>
      <c r="K54" s="116">
        <v>38.5</v>
      </c>
      <c r="L54" s="116">
        <v>35.700000000000003</v>
      </c>
      <c r="M54" s="116">
        <v>33.299999999999997</v>
      </c>
      <c r="N54" s="116">
        <v>31.3</v>
      </c>
      <c r="O54" s="116">
        <v>29.6</v>
      </c>
      <c r="P54" s="116">
        <v>28.1</v>
      </c>
      <c r="Q54" s="116">
        <v>26.9</v>
      </c>
      <c r="R54" s="116">
        <v>25.8</v>
      </c>
      <c r="S54" s="116">
        <v>24.8</v>
      </c>
      <c r="T54" s="116">
        <v>23.9</v>
      </c>
      <c r="U54" s="116">
        <v>23.1</v>
      </c>
    </row>
    <row r="55" spans="1:21" x14ac:dyDescent="0.25">
      <c r="A55" s="80">
        <v>44</v>
      </c>
      <c r="B55" s="116">
        <v>330</v>
      </c>
      <c r="C55" s="116">
        <v>168.2</v>
      </c>
      <c r="D55" s="116">
        <v>114.2</v>
      </c>
      <c r="E55" s="116">
        <v>87.3</v>
      </c>
      <c r="F55" s="116">
        <v>71.2</v>
      </c>
      <c r="G55" s="116">
        <v>60.4</v>
      </c>
      <c r="H55" s="116">
        <v>52.8</v>
      </c>
      <c r="I55" s="116">
        <v>47</v>
      </c>
      <c r="J55" s="116">
        <v>42.6</v>
      </c>
      <c r="K55" s="116">
        <v>39</v>
      </c>
      <c r="L55" s="116">
        <v>36.200000000000003</v>
      </c>
      <c r="M55" s="116">
        <v>33.799999999999997</v>
      </c>
      <c r="N55" s="116">
        <v>31.7</v>
      </c>
      <c r="O55" s="116">
        <v>30</v>
      </c>
      <c r="P55" s="116">
        <v>28.6</v>
      </c>
      <c r="Q55" s="116">
        <v>27.3</v>
      </c>
      <c r="R55" s="116">
        <v>26.1</v>
      </c>
      <c r="S55" s="116">
        <v>25.2</v>
      </c>
      <c r="T55" s="116">
        <v>24.3</v>
      </c>
      <c r="U55" s="116">
        <v>23.5</v>
      </c>
    </row>
    <row r="56" spans="1:21" x14ac:dyDescent="0.25">
      <c r="A56" s="80">
        <v>45</v>
      </c>
      <c r="B56" s="116">
        <v>334.3</v>
      </c>
      <c r="C56" s="116">
        <v>170.3</v>
      </c>
      <c r="D56" s="116">
        <v>115.7</v>
      </c>
      <c r="E56" s="116">
        <v>88.5</v>
      </c>
      <c r="F56" s="116">
        <v>72.099999999999994</v>
      </c>
      <c r="G56" s="116">
        <v>61.2</v>
      </c>
      <c r="H56" s="116">
        <v>53.5</v>
      </c>
      <c r="I56" s="116">
        <v>47.7</v>
      </c>
      <c r="J56" s="116">
        <v>43.2</v>
      </c>
      <c r="K56" s="116">
        <v>39.6</v>
      </c>
      <c r="L56" s="116">
        <v>36.700000000000003</v>
      </c>
      <c r="M56" s="116">
        <v>34.200000000000003</v>
      </c>
      <c r="N56" s="116">
        <v>32.200000000000003</v>
      </c>
      <c r="O56" s="116">
        <v>30.5</v>
      </c>
      <c r="P56" s="116">
        <v>29</v>
      </c>
      <c r="Q56" s="116">
        <v>27.7</v>
      </c>
      <c r="R56" s="116">
        <v>26.5</v>
      </c>
      <c r="S56" s="116">
        <v>25.5</v>
      </c>
      <c r="T56" s="116">
        <v>24.7</v>
      </c>
      <c r="U56" s="116"/>
    </row>
    <row r="57" spans="1:21" x14ac:dyDescent="0.25">
      <c r="A57" s="80">
        <v>46</v>
      </c>
      <c r="B57" s="116">
        <v>338.6</v>
      </c>
      <c r="C57" s="116">
        <v>172.6</v>
      </c>
      <c r="D57" s="116">
        <v>117.2</v>
      </c>
      <c r="E57" s="116">
        <v>89.6</v>
      </c>
      <c r="F57" s="116">
        <v>73.099999999999994</v>
      </c>
      <c r="G57" s="116">
        <v>62</v>
      </c>
      <c r="H57" s="116">
        <v>54.2</v>
      </c>
      <c r="I57" s="116">
        <v>48.3</v>
      </c>
      <c r="J57" s="116">
        <v>43.8</v>
      </c>
      <c r="K57" s="116">
        <v>40.1</v>
      </c>
      <c r="L57" s="116">
        <v>37.200000000000003</v>
      </c>
      <c r="M57" s="116">
        <v>34.700000000000003</v>
      </c>
      <c r="N57" s="116">
        <v>32.700000000000003</v>
      </c>
      <c r="O57" s="116">
        <v>30.9</v>
      </c>
      <c r="P57" s="116">
        <v>29.4</v>
      </c>
      <c r="Q57" s="116">
        <v>28.1</v>
      </c>
      <c r="R57" s="116">
        <v>27</v>
      </c>
      <c r="S57" s="116">
        <v>26</v>
      </c>
      <c r="T57" s="116"/>
      <c r="U57" s="116"/>
    </row>
    <row r="58" spans="1:21" x14ac:dyDescent="0.25">
      <c r="A58" s="80">
        <v>47</v>
      </c>
      <c r="B58" s="116">
        <v>343</v>
      </c>
      <c r="C58" s="116">
        <v>174.8</v>
      </c>
      <c r="D58" s="116">
        <v>118.8</v>
      </c>
      <c r="E58" s="116">
        <v>90.8</v>
      </c>
      <c r="F58" s="116">
        <v>74</v>
      </c>
      <c r="G58" s="116">
        <v>62.9</v>
      </c>
      <c r="H58" s="116">
        <v>54.9</v>
      </c>
      <c r="I58" s="116">
        <v>49</v>
      </c>
      <c r="J58" s="116">
        <v>44.4</v>
      </c>
      <c r="K58" s="116">
        <v>40.700000000000003</v>
      </c>
      <c r="L58" s="116">
        <v>37.700000000000003</v>
      </c>
      <c r="M58" s="116">
        <v>35.299999999999997</v>
      </c>
      <c r="N58" s="116">
        <v>33.200000000000003</v>
      </c>
      <c r="O58" s="116">
        <v>31.4</v>
      </c>
      <c r="P58" s="116">
        <v>29.9</v>
      </c>
      <c r="Q58" s="116">
        <v>28.6</v>
      </c>
      <c r="R58" s="116">
        <v>27.4</v>
      </c>
      <c r="S58" s="116"/>
      <c r="T58" s="116"/>
      <c r="U58" s="116"/>
    </row>
    <row r="59" spans="1:21" x14ac:dyDescent="0.25">
      <c r="A59" s="80">
        <v>48</v>
      </c>
      <c r="B59" s="116">
        <v>347.5</v>
      </c>
      <c r="C59" s="116">
        <v>177.1</v>
      </c>
      <c r="D59" s="116">
        <v>120.4</v>
      </c>
      <c r="E59" s="116">
        <v>92</v>
      </c>
      <c r="F59" s="116">
        <v>75</v>
      </c>
      <c r="G59" s="116">
        <v>63.8</v>
      </c>
      <c r="H59" s="116">
        <v>55.7</v>
      </c>
      <c r="I59" s="116">
        <v>49.7</v>
      </c>
      <c r="J59" s="116">
        <v>45</v>
      </c>
      <c r="K59" s="116">
        <v>41.3</v>
      </c>
      <c r="L59" s="116">
        <v>38.299999999999997</v>
      </c>
      <c r="M59" s="116">
        <v>35.799999999999997</v>
      </c>
      <c r="N59" s="116">
        <v>33.700000000000003</v>
      </c>
      <c r="O59" s="116">
        <v>31.9</v>
      </c>
      <c r="P59" s="116">
        <v>30.4</v>
      </c>
      <c r="Q59" s="116">
        <v>29</v>
      </c>
      <c r="R59" s="116"/>
      <c r="S59" s="116"/>
      <c r="T59" s="116"/>
      <c r="U59" s="116"/>
    </row>
    <row r="60" spans="1:21" x14ac:dyDescent="0.25">
      <c r="A60" s="80">
        <v>49</v>
      </c>
      <c r="B60" s="116">
        <v>352</v>
      </c>
      <c r="C60" s="116">
        <v>179.4</v>
      </c>
      <c r="D60" s="116">
        <v>122</v>
      </c>
      <c r="E60" s="116">
        <v>93.3</v>
      </c>
      <c r="F60" s="116">
        <v>76.099999999999994</v>
      </c>
      <c r="G60" s="116">
        <v>64.7</v>
      </c>
      <c r="H60" s="116">
        <v>56.5</v>
      </c>
      <c r="I60" s="116">
        <v>50.4</v>
      </c>
      <c r="J60" s="116">
        <v>45.7</v>
      </c>
      <c r="K60" s="116">
        <v>41.9</v>
      </c>
      <c r="L60" s="116">
        <v>38.9</v>
      </c>
      <c r="M60" s="116">
        <v>36.4</v>
      </c>
      <c r="N60" s="116">
        <v>34.200000000000003</v>
      </c>
      <c r="O60" s="116">
        <v>32.4</v>
      </c>
      <c r="P60" s="116">
        <v>30.9</v>
      </c>
      <c r="Q60" s="116"/>
      <c r="R60" s="116"/>
      <c r="S60" s="116"/>
      <c r="T60" s="116"/>
      <c r="U60" s="116"/>
    </row>
    <row r="61" spans="1:21" x14ac:dyDescent="0.25">
      <c r="A61" s="80">
        <v>50</v>
      </c>
      <c r="B61" s="116">
        <v>356.7</v>
      </c>
      <c r="C61" s="116">
        <v>181.9</v>
      </c>
      <c r="D61" s="116">
        <v>123.6</v>
      </c>
      <c r="E61" s="116">
        <v>94.6</v>
      </c>
      <c r="F61" s="116">
        <v>77.2</v>
      </c>
      <c r="G61" s="116">
        <v>65.599999999999994</v>
      </c>
      <c r="H61" s="116">
        <v>57.3</v>
      </c>
      <c r="I61" s="116">
        <v>51.2</v>
      </c>
      <c r="J61" s="116">
        <v>46.4</v>
      </c>
      <c r="K61" s="116">
        <v>42.6</v>
      </c>
      <c r="L61" s="116">
        <v>39.5</v>
      </c>
      <c r="M61" s="116">
        <v>36.9</v>
      </c>
      <c r="N61" s="116">
        <v>34.799999999999997</v>
      </c>
      <c r="O61" s="116">
        <v>32.9</v>
      </c>
      <c r="P61" s="116"/>
      <c r="Q61" s="116"/>
      <c r="R61" s="116"/>
      <c r="S61" s="116"/>
      <c r="T61" s="116"/>
      <c r="U61" s="116"/>
    </row>
    <row r="62" spans="1:21" x14ac:dyDescent="0.25">
      <c r="A62" s="80">
        <v>51</v>
      </c>
      <c r="B62" s="116">
        <v>361.4</v>
      </c>
      <c r="C62" s="116">
        <v>184.3</v>
      </c>
      <c r="D62" s="116">
        <v>125.3</v>
      </c>
      <c r="E62" s="116">
        <v>95.9</v>
      </c>
      <c r="F62" s="116">
        <v>78.3</v>
      </c>
      <c r="G62" s="116">
        <v>66.5</v>
      </c>
      <c r="H62" s="116">
        <v>58.2</v>
      </c>
      <c r="I62" s="116">
        <v>51.9</v>
      </c>
      <c r="J62" s="116">
        <v>47.1</v>
      </c>
      <c r="K62" s="116">
        <v>43.3</v>
      </c>
      <c r="L62" s="116">
        <v>40.1</v>
      </c>
      <c r="M62" s="116">
        <v>37.5</v>
      </c>
      <c r="N62" s="116">
        <v>35.4</v>
      </c>
      <c r="O62" s="116"/>
      <c r="P62" s="116"/>
      <c r="Q62" s="116"/>
      <c r="R62" s="116"/>
      <c r="S62" s="116"/>
      <c r="T62" s="116"/>
      <c r="U62" s="116"/>
    </row>
    <row r="63" spans="1:21" x14ac:dyDescent="0.25">
      <c r="A63" s="80">
        <v>52</v>
      </c>
      <c r="B63" s="116">
        <v>366.2</v>
      </c>
      <c r="C63" s="116">
        <v>186.8</v>
      </c>
      <c r="D63" s="116">
        <v>127.1</v>
      </c>
      <c r="E63" s="116">
        <v>97.2</v>
      </c>
      <c r="F63" s="116">
        <v>79.400000000000006</v>
      </c>
      <c r="G63" s="116">
        <v>67.5</v>
      </c>
      <c r="H63" s="116">
        <v>59.1</v>
      </c>
      <c r="I63" s="116">
        <v>52.7</v>
      </c>
      <c r="J63" s="116">
        <v>47.8</v>
      </c>
      <c r="K63" s="116">
        <v>43.9</v>
      </c>
      <c r="L63" s="116">
        <v>40.799999999999997</v>
      </c>
      <c r="M63" s="116">
        <v>38.1</v>
      </c>
      <c r="N63" s="116"/>
      <c r="O63" s="116"/>
      <c r="P63" s="116"/>
      <c r="Q63" s="116"/>
      <c r="R63" s="116"/>
      <c r="S63" s="116"/>
      <c r="T63" s="116"/>
      <c r="U63" s="116"/>
    </row>
    <row r="64" spans="1:21" x14ac:dyDescent="0.25">
      <c r="A64" s="80">
        <v>53</v>
      </c>
      <c r="B64" s="116">
        <v>371</v>
      </c>
      <c r="C64" s="116">
        <v>189.3</v>
      </c>
      <c r="D64" s="116">
        <v>128.80000000000001</v>
      </c>
      <c r="E64" s="116">
        <v>98.6</v>
      </c>
      <c r="F64" s="116">
        <v>80.5</v>
      </c>
      <c r="G64" s="116">
        <v>68.5</v>
      </c>
      <c r="H64" s="116">
        <v>59.9</v>
      </c>
      <c r="I64" s="116">
        <v>53.5</v>
      </c>
      <c r="J64" s="116">
        <v>48.6</v>
      </c>
      <c r="K64" s="116">
        <v>44.6</v>
      </c>
      <c r="L64" s="116">
        <v>41.4</v>
      </c>
      <c r="M64" s="116"/>
      <c r="N64" s="116"/>
      <c r="O64" s="116"/>
      <c r="P64" s="116"/>
      <c r="Q64" s="116"/>
      <c r="R64" s="116"/>
      <c r="S64" s="116"/>
      <c r="T64" s="116"/>
      <c r="U64" s="116"/>
    </row>
    <row r="65" spans="1:21" x14ac:dyDescent="0.25">
      <c r="A65" s="80">
        <v>54</v>
      </c>
      <c r="B65" s="116">
        <v>376</v>
      </c>
      <c r="C65" s="116">
        <v>191.9</v>
      </c>
      <c r="D65" s="116">
        <v>130.6</v>
      </c>
      <c r="E65" s="116">
        <v>100</v>
      </c>
      <c r="F65" s="116">
        <v>81.7</v>
      </c>
      <c r="G65" s="116">
        <v>69.5</v>
      </c>
      <c r="H65" s="116">
        <v>60.8</v>
      </c>
      <c r="I65" s="116">
        <v>54.4</v>
      </c>
      <c r="J65" s="116">
        <v>49.3</v>
      </c>
      <c r="K65" s="116">
        <v>45.4</v>
      </c>
      <c r="L65" s="116"/>
      <c r="M65" s="116"/>
      <c r="N65" s="116"/>
      <c r="O65" s="116"/>
      <c r="P65" s="116"/>
      <c r="Q65" s="116"/>
      <c r="R65" s="116"/>
      <c r="S65" s="116"/>
      <c r="T65" s="116"/>
      <c r="U65" s="116"/>
    </row>
    <row r="66" spans="1:21" x14ac:dyDescent="0.25">
      <c r="A66" s="80">
        <v>55</v>
      </c>
      <c r="B66" s="116">
        <v>381</v>
      </c>
      <c r="C66" s="116">
        <v>194.5</v>
      </c>
      <c r="D66" s="116">
        <v>132.4</v>
      </c>
      <c r="E66" s="116">
        <v>101.5</v>
      </c>
      <c r="F66" s="116">
        <v>82.9</v>
      </c>
      <c r="G66" s="116">
        <v>70.599999999999994</v>
      </c>
      <c r="H66" s="116">
        <v>61.8</v>
      </c>
      <c r="I66" s="116">
        <v>55.2</v>
      </c>
      <c r="J66" s="116">
        <v>50.1</v>
      </c>
      <c r="K66" s="116"/>
      <c r="L66" s="116"/>
      <c r="M66" s="116"/>
      <c r="N66" s="116"/>
      <c r="O66" s="116"/>
      <c r="P66" s="116"/>
      <c r="Q66" s="116"/>
      <c r="R66" s="116"/>
      <c r="S66" s="116"/>
      <c r="T66" s="116"/>
      <c r="U66" s="116"/>
    </row>
    <row r="67" spans="1:21" x14ac:dyDescent="0.25">
      <c r="A67" s="80">
        <v>56</v>
      </c>
      <c r="B67" s="116">
        <v>386.2</v>
      </c>
      <c r="C67" s="116">
        <v>197.2</v>
      </c>
      <c r="D67" s="116">
        <v>134.30000000000001</v>
      </c>
      <c r="E67" s="116">
        <v>102.9</v>
      </c>
      <c r="F67" s="116">
        <v>84.1</v>
      </c>
      <c r="G67" s="116">
        <v>71.599999999999994</v>
      </c>
      <c r="H67" s="116">
        <v>62.7</v>
      </c>
      <c r="I67" s="116">
        <v>56.1</v>
      </c>
      <c r="J67" s="116"/>
      <c r="K67" s="116"/>
      <c r="L67" s="116"/>
      <c r="M67" s="116"/>
      <c r="N67" s="116"/>
      <c r="O67" s="116"/>
      <c r="P67" s="116"/>
      <c r="Q67" s="116"/>
      <c r="R67" s="116"/>
      <c r="S67" s="116"/>
      <c r="T67" s="116"/>
      <c r="U67" s="116"/>
    </row>
    <row r="68" spans="1:21" x14ac:dyDescent="0.25">
      <c r="A68" s="80">
        <v>57</v>
      </c>
      <c r="B68" s="116">
        <v>391.4</v>
      </c>
      <c r="C68" s="116">
        <v>200</v>
      </c>
      <c r="D68" s="116">
        <v>136.19999999999999</v>
      </c>
      <c r="E68" s="116">
        <v>104.4</v>
      </c>
      <c r="F68" s="116">
        <v>85.4</v>
      </c>
      <c r="G68" s="116">
        <v>72.7</v>
      </c>
      <c r="H68" s="116">
        <v>63.7</v>
      </c>
      <c r="I68" s="116"/>
      <c r="J68" s="116"/>
      <c r="K68" s="116"/>
      <c r="L68" s="116"/>
      <c r="M68" s="116"/>
      <c r="N68" s="116"/>
      <c r="O68" s="116"/>
      <c r="P68" s="116"/>
      <c r="Q68" s="116"/>
      <c r="R68" s="116"/>
      <c r="S68" s="116"/>
      <c r="T68" s="116"/>
      <c r="U68" s="116"/>
    </row>
    <row r="69" spans="1:21" x14ac:dyDescent="0.25">
      <c r="A69" s="80">
        <v>58</v>
      </c>
      <c r="B69" s="116">
        <v>396.9</v>
      </c>
      <c r="C69" s="116">
        <v>202.8</v>
      </c>
      <c r="D69" s="116">
        <v>138.19999999999999</v>
      </c>
      <c r="E69" s="116">
        <v>106</v>
      </c>
      <c r="F69" s="116">
        <v>86.7</v>
      </c>
      <c r="G69" s="116">
        <v>73.8</v>
      </c>
      <c r="H69" s="116"/>
      <c r="I69" s="116"/>
      <c r="J69" s="116"/>
      <c r="K69" s="116"/>
      <c r="L69" s="116"/>
      <c r="M69" s="116"/>
      <c r="N69" s="116"/>
      <c r="O69" s="116"/>
      <c r="P69" s="116"/>
      <c r="Q69" s="116"/>
      <c r="R69" s="116"/>
      <c r="S69" s="116"/>
      <c r="T69" s="116"/>
      <c r="U69" s="116"/>
    </row>
    <row r="70" spans="1:21" x14ac:dyDescent="0.25">
      <c r="A70" s="80">
        <v>59</v>
      </c>
      <c r="B70" s="116">
        <v>400.8</v>
      </c>
      <c r="C70" s="116">
        <v>204.9</v>
      </c>
      <c r="D70" s="116">
        <v>139.69999999999999</v>
      </c>
      <c r="E70" s="116">
        <v>107.1</v>
      </c>
      <c r="F70" s="116">
        <v>87.6</v>
      </c>
      <c r="G70" s="116"/>
      <c r="H70" s="116"/>
      <c r="I70" s="116"/>
      <c r="J70" s="116"/>
      <c r="K70" s="116"/>
      <c r="L70" s="116"/>
      <c r="M70" s="116"/>
      <c r="N70" s="116"/>
      <c r="O70" s="116"/>
      <c r="P70" s="116"/>
      <c r="Q70" s="116"/>
      <c r="R70" s="116"/>
      <c r="S70" s="116"/>
      <c r="T70" s="116"/>
      <c r="U70" s="116"/>
    </row>
    <row r="71" spans="1:21" x14ac:dyDescent="0.25">
      <c r="A71" s="80">
        <v>60</v>
      </c>
      <c r="B71" s="116">
        <v>402.5</v>
      </c>
      <c r="C71" s="116">
        <v>205.9</v>
      </c>
      <c r="D71" s="116">
        <v>140.4</v>
      </c>
      <c r="E71" s="116">
        <v>107.7</v>
      </c>
      <c r="F71" s="116"/>
      <c r="G71" s="116"/>
      <c r="H71" s="116"/>
      <c r="I71" s="116"/>
      <c r="J71" s="116"/>
      <c r="K71" s="116"/>
      <c r="L71" s="116"/>
      <c r="M71" s="116"/>
      <c r="N71" s="116"/>
      <c r="O71" s="116"/>
      <c r="P71" s="116"/>
      <c r="Q71" s="116"/>
      <c r="R71" s="116"/>
      <c r="S71" s="116"/>
      <c r="T71" s="116"/>
      <c r="U71" s="116"/>
    </row>
    <row r="72" spans="1:21" x14ac:dyDescent="0.25">
      <c r="A72" s="80">
        <v>61</v>
      </c>
      <c r="B72" s="116">
        <v>404.4</v>
      </c>
      <c r="C72" s="116">
        <v>206.9</v>
      </c>
      <c r="D72" s="116">
        <v>141.1</v>
      </c>
      <c r="E72" s="116"/>
      <c r="F72" s="116"/>
      <c r="G72" s="116"/>
      <c r="H72" s="116"/>
      <c r="I72" s="116"/>
      <c r="J72" s="116"/>
      <c r="K72" s="116"/>
      <c r="L72" s="116"/>
      <c r="M72" s="116"/>
      <c r="N72" s="116"/>
      <c r="O72" s="116"/>
      <c r="P72" s="116"/>
      <c r="Q72" s="116"/>
      <c r="R72" s="116"/>
      <c r="S72" s="116"/>
      <c r="T72" s="116"/>
      <c r="U72" s="116"/>
    </row>
    <row r="73" spans="1:21" x14ac:dyDescent="0.25">
      <c r="A73" s="80">
        <v>62</v>
      </c>
      <c r="B73" s="116">
        <v>406.8</v>
      </c>
      <c r="C73" s="116">
        <v>208.2</v>
      </c>
      <c r="D73" s="116"/>
      <c r="E73" s="116"/>
      <c r="F73" s="116"/>
      <c r="G73" s="116"/>
      <c r="H73" s="116"/>
      <c r="I73" s="116"/>
      <c r="J73" s="116"/>
      <c r="K73" s="116"/>
      <c r="L73" s="116"/>
      <c r="M73" s="116"/>
      <c r="N73" s="116"/>
      <c r="O73" s="116"/>
      <c r="P73" s="116"/>
      <c r="Q73" s="116"/>
      <c r="R73" s="116"/>
      <c r="S73" s="116"/>
      <c r="T73" s="116"/>
      <c r="U73" s="116"/>
    </row>
    <row r="74" spans="1:21" x14ac:dyDescent="0.25">
      <c r="A74" s="80">
        <v>63</v>
      </c>
      <c r="B74" s="116">
        <v>409</v>
      </c>
      <c r="C74" s="116"/>
      <c r="D74" s="116"/>
      <c r="E74" s="116"/>
      <c r="F74" s="116"/>
      <c r="G74" s="116"/>
      <c r="H74" s="116"/>
      <c r="I74" s="116"/>
      <c r="J74" s="116"/>
      <c r="K74" s="116"/>
      <c r="L74" s="116"/>
      <c r="M74" s="116"/>
      <c r="N74" s="116"/>
      <c r="O74" s="116"/>
      <c r="P74" s="116"/>
      <c r="Q74" s="116"/>
      <c r="R74" s="116"/>
      <c r="S74" s="116"/>
      <c r="T74" s="116"/>
      <c r="U74" s="116"/>
    </row>
  </sheetData>
  <sheetProtection algorithmName="SHA-512" hashValue="5rUjqX2f22cZyDDbaA5KFkKaMIQSaZo6H7RhaolYgpXlVkFl47N0HR2tEaHs1EOr0lDc+DNrXp0G0h48TGN8PQ==" saltValue="3aRXs/OCbM2nT6RauXBNfQ==" spinCount="100000" sheet="1" objects="1" scenarios="1"/>
  <conditionalFormatting sqref="A6:A21">
    <cfRule type="expression" dxfId="379" priority="9" stopIfTrue="1">
      <formula>MOD(ROW(),2)=0</formula>
    </cfRule>
    <cfRule type="expression" dxfId="378" priority="10" stopIfTrue="1">
      <formula>MOD(ROW(),2)&lt;&gt;0</formula>
    </cfRule>
  </conditionalFormatting>
  <conditionalFormatting sqref="A26:A74">
    <cfRule type="expression" dxfId="377" priority="11" stopIfTrue="1">
      <formula>MOD(ROW(),2)=0</formula>
    </cfRule>
    <cfRule type="expression" dxfId="376" priority="12" stopIfTrue="1">
      <formula>MOD(ROW(),2)&lt;&gt;0</formula>
    </cfRule>
  </conditionalFormatting>
  <conditionalFormatting sqref="B17:B21">
    <cfRule type="expression" dxfId="375" priority="1" stopIfTrue="1">
      <formula>MOD(ROW(),2)=0</formula>
    </cfRule>
    <cfRule type="expression" dxfId="374" priority="2" stopIfTrue="1">
      <formula>MOD(ROW(),2)&lt;&gt;0</formula>
    </cfRule>
  </conditionalFormatting>
  <conditionalFormatting sqref="B6:U21">
    <cfRule type="expression" dxfId="373" priority="17" stopIfTrue="1">
      <formula>MOD(ROW(),2)=0</formula>
    </cfRule>
    <cfRule type="expression" dxfId="372" priority="18" stopIfTrue="1">
      <formula>MOD(ROW(),2)&lt;&gt;0</formula>
    </cfRule>
  </conditionalFormatting>
  <conditionalFormatting sqref="B26:U74">
    <cfRule type="expression" dxfId="371" priority="13" stopIfTrue="1">
      <formula>MOD(ROW(),2)=0</formula>
    </cfRule>
    <cfRule type="expression" dxfId="370" priority="14" stopIfTrue="1">
      <formula>MOD(ROW(),2)&lt;&gt;0</formula>
    </cfRule>
  </conditionalFormatting>
  <hyperlinks>
    <hyperlink ref="B24" location="Assumptions!A1" display="Assumptions" xr:uid="{67754D17-5E03-4F58-BAB7-0862C8F827E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6FA5-4308-4CF8-8990-3E782E406671}">
  <sheetPr codeName="Sheet97"/>
  <dimension ref="A1:U75"/>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x-712</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73</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579</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0</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712</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580</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581</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193.6</v>
      </c>
      <c r="C27" s="116">
        <v>98.6</v>
      </c>
      <c r="D27" s="116">
        <v>66.900000000000006</v>
      </c>
      <c r="E27" s="116">
        <v>51.1</v>
      </c>
      <c r="F27" s="116">
        <v>41.6</v>
      </c>
      <c r="G27" s="116">
        <v>35.299999999999997</v>
      </c>
      <c r="H27" s="116">
        <v>30.8</v>
      </c>
      <c r="I27" s="116">
        <v>27.4</v>
      </c>
      <c r="J27" s="116">
        <v>24.8</v>
      </c>
      <c r="K27" s="116">
        <v>22.7</v>
      </c>
      <c r="L27" s="116">
        <v>21</v>
      </c>
      <c r="M27" s="116">
        <v>19.600000000000001</v>
      </c>
      <c r="N27" s="116">
        <v>18.399999999999999</v>
      </c>
      <c r="O27" s="116">
        <v>17.399999999999999</v>
      </c>
      <c r="P27" s="116">
        <v>16.5</v>
      </c>
      <c r="Q27" s="116">
        <v>15.7</v>
      </c>
      <c r="R27" s="116">
        <v>15.1</v>
      </c>
      <c r="S27" s="116">
        <v>14.5</v>
      </c>
      <c r="T27" s="116">
        <v>13.9</v>
      </c>
      <c r="U27" s="116">
        <v>13.4</v>
      </c>
    </row>
    <row r="28" spans="1:21" x14ac:dyDescent="0.25">
      <c r="A28" s="80">
        <v>17</v>
      </c>
      <c r="B28" s="116">
        <v>196.4</v>
      </c>
      <c r="C28" s="116">
        <v>100</v>
      </c>
      <c r="D28" s="116">
        <v>67.900000000000006</v>
      </c>
      <c r="E28" s="116">
        <v>51.9</v>
      </c>
      <c r="F28" s="116">
        <v>42.2</v>
      </c>
      <c r="G28" s="116">
        <v>35.799999999999997</v>
      </c>
      <c r="H28" s="116">
        <v>31.3</v>
      </c>
      <c r="I28" s="116">
        <v>27.8</v>
      </c>
      <c r="J28" s="116">
        <v>25.2</v>
      </c>
      <c r="K28" s="116">
        <v>23.1</v>
      </c>
      <c r="L28" s="116">
        <v>21.3</v>
      </c>
      <c r="M28" s="116">
        <v>19.899999999999999</v>
      </c>
      <c r="N28" s="116">
        <v>18.7</v>
      </c>
      <c r="O28" s="116">
        <v>17.600000000000001</v>
      </c>
      <c r="P28" s="116">
        <v>16.8</v>
      </c>
      <c r="Q28" s="116">
        <v>16</v>
      </c>
      <c r="R28" s="116">
        <v>15.3</v>
      </c>
      <c r="S28" s="116">
        <v>14.7</v>
      </c>
      <c r="T28" s="116">
        <v>14.1</v>
      </c>
      <c r="U28" s="116">
        <v>13.6</v>
      </c>
    </row>
    <row r="29" spans="1:21" x14ac:dyDescent="0.25">
      <c r="A29" s="80">
        <v>18</v>
      </c>
      <c r="B29" s="116">
        <v>199.3</v>
      </c>
      <c r="C29" s="116">
        <v>101.5</v>
      </c>
      <c r="D29" s="116">
        <v>68.900000000000006</v>
      </c>
      <c r="E29" s="116">
        <v>52.6</v>
      </c>
      <c r="F29" s="116">
        <v>42.9</v>
      </c>
      <c r="G29" s="116">
        <v>36.4</v>
      </c>
      <c r="H29" s="116">
        <v>31.7</v>
      </c>
      <c r="I29" s="116">
        <v>28.3</v>
      </c>
      <c r="J29" s="116">
        <v>25.6</v>
      </c>
      <c r="K29" s="116">
        <v>23.4</v>
      </c>
      <c r="L29" s="116">
        <v>21.7</v>
      </c>
      <c r="M29" s="116">
        <v>20.2</v>
      </c>
      <c r="N29" s="116">
        <v>19</v>
      </c>
      <c r="O29" s="116">
        <v>17.899999999999999</v>
      </c>
      <c r="P29" s="116">
        <v>17</v>
      </c>
      <c r="Q29" s="116">
        <v>16.2</v>
      </c>
      <c r="R29" s="116">
        <v>15.5</v>
      </c>
      <c r="S29" s="116">
        <v>14.9</v>
      </c>
      <c r="T29" s="116">
        <v>14.3</v>
      </c>
      <c r="U29" s="116">
        <v>13.9</v>
      </c>
    </row>
    <row r="30" spans="1:21" x14ac:dyDescent="0.25">
      <c r="A30" s="80">
        <v>19</v>
      </c>
      <c r="B30" s="116">
        <v>202.3</v>
      </c>
      <c r="C30" s="116">
        <v>103</v>
      </c>
      <c r="D30" s="116">
        <v>69.900000000000006</v>
      </c>
      <c r="E30" s="116">
        <v>53.4</v>
      </c>
      <c r="F30" s="116">
        <v>43.5</v>
      </c>
      <c r="G30" s="116">
        <v>36.9</v>
      </c>
      <c r="H30" s="116">
        <v>32.200000000000003</v>
      </c>
      <c r="I30" s="116">
        <v>28.7</v>
      </c>
      <c r="J30" s="116">
        <v>25.9</v>
      </c>
      <c r="K30" s="116">
        <v>23.8</v>
      </c>
      <c r="L30" s="116">
        <v>22</v>
      </c>
      <c r="M30" s="116">
        <v>20.5</v>
      </c>
      <c r="N30" s="116">
        <v>19.2</v>
      </c>
      <c r="O30" s="116">
        <v>18.2</v>
      </c>
      <c r="P30" s="116">
        <v>17.3</v>
      </c>
      <c r="Q30" s="116">
        <v>16.399999999999999</v>
      </c>
      <c r="R30" s="116">
        <v>15.7</v>
      </c>
      <c r="S30" s="116">
        <v>15.1</v>
      </c>
      <c r="T30" s="116">
        <v>14.6</v>
      </c>
      <c r="U30" s="116">
        <v>14.1</v>
      </c>
    </row>
    <row r="31" spans="1:21" x14ac:dyDescent="0.25">
      <c r="A31" s="80">
        <v>20</v>
      </c>
      <c r="B31" s="116">
        <v>205.2</v>
      </c>
      <c r="C31" s="116">
        <v>104.5</v>
      </c>
      <c r="D31" s="116">
        <v>70.900000000000006</v>
      </c>
      <c r="E31" s="116">
        <v>54.2</v>
      </c>
      <c r="F31" s="116">
        <v>44.1</v>
      </c>
      <c r="G31" s="116">
        <v>37.4</v>
      </c>
      <c r="H31" s="116">
        <v>32.700000000000003</v>
      </c>
      <c r="I31" s="116">
        <v>29.1</v>
      </c>
      <c r="J31" s="116">
        <v>26.3</v>
      </c>
      <c r="K31" s="116">
        <v>24.1</v>
      </c>
      <c r="L31" s="116">
        <v>22.3</v>
      </c>
      <c r="M31" s="116">
        <v>20.8</v>
      </c>
      <c r="N31" s="116">
        <v>19.5</v>
      </c>
      <c r="O31" s="116">
        <v>18.399999999999999</v>
      </c>
      <c r="P31" s="116">
        <v>17.5</v>
      </c>
      <c r="Q31" s="116">
        <v>16.7</v>
      </c>
      <c r="R31" s="116">
        <v>16</v>
      </c>
      <c r="S31" s="116">
        <v>15.3</v>
      </c>
      <c r="T31" s="116">
        <v>14.8</v>
      </c>
      <c r="U31" s="116">
        <v>14.3</v>
      </c>
    </row>
    <row r="32" spans="1:21" x14ac:dyDescent="0.25">
      <c r="A32" s="80">
        <v>21</v>
      </c>
      <c r="B32" s="116">
        <v>208.2</v>
      </c>
      <c r="C32" s="116">
        <v>106</v>
      </c>
      <c r="D32" s="116">
        <v>72</v>
      </c>
      <c r="E32" s="116">
        <v>55</v>
      </c>
      <c r="F32" s="116">
        <v>44.8</v>
      </c>
      <c r="G32" s="116">
        <v>38</v>
      </c>
      <c r="H32" s="116">
        <v>33.1</v>
      </c>
      <c r="I32" s="116">
        <v>29.5</v>
      </c>
      <c r="J32" s="116">
        <v>26.7</v>
      </c>
      <c r="K32" s="116">
        <v>24.5</v>
      </c>
      <c r="L32" s="116">
        <v>22.6</v>
      </c>
      <c r="M32" s="116">
        <v>21.1</v>
      </c>
      <c r="N32" s="116">
        <v>19.8</v>
      </c>
      <c r="O32" s="116">
        <v>18.7</v>
      </c>
      <c r="P32" s="116">
        <v>17.8</v>
      </c>
      <c r="Q32" s="116">
        <v>16.899999999999999</v>
      </c>
      <c r="R32" s="116">
        <v>16.2</v>
      </c>
      <c r="S32" s="116">
        <v>15.6</v>
      </c>
      <c r="T32" s="116">
        <v>15</v>
      </c>
      <c r="U32" s="116">
        <v>14.5</v>
      </c>
    </row>
    <row r="33" spans="1:21" x14ac:dyDescent="0.25">
      <c r="A33" s="80">
        <v>22</v>
      </c>
      <c r="B33" s="116">
        <v>211.2</v>
      </c>
      <c r="C33" s="116">
        <v>107.6</v>
      </c>
      <c r="D33" s="116">
        <v>73</v>
      </c>
      <c r="E33" s="116">
        <v>55.8</v>
      </c>
      <c r="F33" s="116">
        <v>45.4</v>
      </c>
      <c r="G33" s="116">
        <v>38.5</v>
      </c>
      <c r="H33" s="116">
        <v>33.6</v>
      </c>
      <c r="I33" s="116">
        <v>29.9</v>
      </c>
      <c r="J33" s="116">
        <v>27.1</v>
      </c>
      <c r="K33" s="116">
        <v>24.8</v>
      </c>
      <c r="L33" s="116">
        <v>22.9</v>
      </c>
      <c r="M33" s="116">
        <v>21.4</v>
      </c>
      <c r="N33" s="116">
        <v>20.100000000000001</v>
      </c>
      <c r="O33" s="116">
        <v>19</v>
      </c>
      <c r="P33" s="116">
        <v>18</v>
      </c>
      <c r="Q33" s="116">
        <v>17.2</v>
      </c>
      <c r="R33" s="116">
        <v>16.399999999999999</v>
      </c>
      <c r="S33" s="116">
        <v>15.8</v>
      </c>
      <c r="T33" s="116">
        <v>15.2</v>
      </c>
      <c r="U33" s="116">
        <v>14.7</v>
      </c>
    </row>
    <row r="34" spans="1:21" x14ac:dyDescent="0.25">
      <c r="A34" s="80">
        <v>23</v>
      </c>
      <c r="B34" s="116">
        <v>214.3</v>
      </c>
      <c r="C34" s="116">
        <v>109.1</v>
      </c>
      <c r="D34" s="116">
        <v>74.099999999999994</v>
      </c>
      <c r="E34" s="116">
        <v>56.6</v>
      </c>
      <c r="F34" s="116">
        <v>46.1</v>
      </c>
      <c r="G34" s="116">
        <v>39.1</v>
      </c>
      <c r="H34" s="116">
        <v>34.1</v>
      </c>
      <c r="I34" s="116">
        <v>30.4</v>
      </c>
      <c r="J34" s="116">
        <v>27.5</v>
      </c>
      <c r="K34" s="116">
        <v>25.2</v>
      </c>
      <c r="L34" s="116">
        <v>23.3</v>
      </c>
      <c r="M34" s="116">
        <v>21.7</v>
      </c>
      <c r="N34" s="116">
        <v>20.399999999999999</v>
      </c>
      <c r="O34" s="116">
        <v>19.3</v>
      </c>
      <c r="P34" s="116">
        <v>18.3</v>
      </c>
      <c r="Q34" s="116">
        <v>17.399999999999999</v>
      </c>
      <c r="R34" s="116">
        <v>16.7</v>
      </c>
      <c r="S34" s="116">
        <v>16</v>
      </c>
      <c r="T34" s="116">
        <v>15.4</v>
      </c>
      <c r="U34" s="116">
        <v>14.9</v>
      </c>
    </row>
    <row r="35" spans="1:21" x14ac:dyDescent="0.25">
      <c r="A35" s="80">
        <v>24</v>
      </c>
      <c r="B35" s="116">
        <v>217.4</v>
      </c>
      <c r="C35" s="116">
        <v>110.7</v>
      </c>
      <c r="D35" s="116">
        <v>75.2</v>
      </c>
      <c r="E35" s="116">
        <v>57.4</v>
      </c>
      <c r="F35" s="116">
        <v>46.8</v>
      </c>
      <c r="G35" s="116">
        <v>39.700000000000003</v>
      </c>
      <c r="H35" s="116">
        <v>34.6</v>
      </c>
      <c r="I35" s="116">
        <v>30.8</v>
      </c>
      <c r="J35" s="116">
        <v>27.9</v>
      </c>
      <c r="K35" s="116">
        <v>25.5</v>
      </c>
      <c r="L35" s="116">
        <v>23.6</v>
      </c>
      <c r="M35" s="116">
        <v>22</v>
      </c>
      <c r="N35" s="116">
        <v>20.7</v>
      </c>
      <c r="O35" s="116">
        <v>19.5</v>
      </c>
      <c r="P35" s="116">
        <v>18.600000000000001</v>
      </c>
      <c r="Q35" s="116">
        <v>17.7</v>
      </c>
      <c r="R35" s="116">
        <v>16.899999999999999</v>
      </c>
      <c r="S35" s="116">
        <v>16.3</v>
      </c>
      <c r="T35" s="116">
        <v>15.7</v>
      </c>
      <c r="U35" s="116">
        <v>15.1</v>
      </c>
    </row>
    <row r="36" spans="1:21" x14ac:dyDescent="0.25">
      <c r="A36" s="80">
        <v>25</v>
      </c>
      <c r="B36" s="116">
        <v>220.5</v>
      </c>
      <c r="C36" s="116">
        <v>112.3</v>
      </c>
      <c r="D36" s="116">
        <v>76.2</v>
      </c>
      <c r="E36" s="116">
        <v>58.2</v>
      </c>
      <c r="F36" s="116">
        <v>47.4</v>
      </c>
      <c r="G36" s="116">
        <v>40.200000000000003</v>
      </c>
      <c r="H36" s="116">
        <v>35.1</v>
      </c>
      <c r="I36" s="116">
        <v>31.3</v>
      </c>
      <c r="J36" s="116">
        <v>28.3</v>
      </c>
      <c r="K36" s="116">
        <v>25.9</v>
      </c>
      <c r="L36" s="116">
        <v>24</v>
      </c>
      <c r="M36" s="116">
        <v>22.4</v>
      </c>
      <c r="N36" s="116">
        <v>21</v>
      </c>
      <c r="O36" s="116">
        <v>19.8</v>
      </c>
      <c r="P36" s="116">
        <v>18.8</v>
      </c>
      <c r="Q36" s="116">
        <v>17.899999999999999</v>
      </c>
      <c r="R36" s="116">
        <v>17.2</v>
      </c>
      <c r="S36" s="116">
        <v>16.5</v>
      </c>
      <c r="T36" s="116">
        <v>15.9</v>
      </c>
      <c r="U36" s="116">
        <v>15.3</v>
      </c>
    </row>
    <row r="37" spans="1:21" x14ac:dyDescent="0.25">
      <c r="A37" s="80">
        <v>26</v>
      </c>
      <c r="B37" s="116">
        <v>223.7</v>
      </c>
      <c r="C37" s="116">
        <v>113.9</v>
      </c>
      <c r="D37" s="116">
        <v>77.3</v>
      </c>
      <c r="E37" s="116">
        <v>59.1</v>
      </c>
      <c r="F37" s="116">
        <v>48.1</v>
      </c>
      <c r="G37" s="116">
        <v>40.799999999999997</v>
      </c>
      <c r="H37" s="116">
        <v>35.6</v>
      </c>
      <c r="I37" s="116">
        <v>31.7</v>
      </c>
      <c r="J37" s="116">
        <v>28.7</v>
      </c>
      <c r="K37" s="116">
        <v>26.3</v>
      </c>
      <c r="L37" s="116">
        <v>24.3</v>
      </c>
      <c r="M37" s="116">
        <v>22.7</v>
      </c>
      <c r="N37" s="116">
        <v>21.3</v>
      </c>
      <c r="O37" s="116">
        <v>20.100000000000001</v>
      </c>
      <c r="P37" s="116">
        <v>19.100000000000001</v>
      </c>
      <c r="Q37" s="116">
        <v>18.2</v>
      </c>
      <c r="R37" s="116">
        <v>17.399999999999999</v>
      </c>
      <c r="S37" s="116">
        <v>16.7</v>
      </c>
      <c r="T37" s="116">
        <v>16.100000000000001</v>
      </c>
      <c r="U37" s="116">
        <v>15.6</v>
      </c>
    </row>
    <row r="38" spans="1:21" x14ac:dyDescent="0.25">
      <c r="A38" s="80">
        <v>27</v>
      </c>
      <c r="B38" s="116">
        <v>226.9</v>
      </c>
      <c r="C38" s="116">
        <v>115.6</v>
      </c>
      <c r="D38" s="116">
        <v>78.5</v>
      </c>
      <c r="E38" s="116">
        <v>59.9</v>
      </c>
      <c r="F38" s="116">
        <v>48.8</v>
      </c>
      <c r="G38" s="116">
        <v>41.4</v>
      </c>
      <c r="H38" s="116">
        <v>36.1</v>
      </c>
      <c r="I38" s="116">
        <v>32.200000000000003</v>
      </c>
      <c r="J38" s="116">
        <v>29.1</v>
      </c>
      <c r="K38" s="116">
        <v>26.7</v>
      </c>
      <c r="L38" s="116">
        <v>24.7</v>
      </c>
      <c r="M38" s="116">
        <v>23</v>
      </c>
      <c r="N38" s="116">
        <v>21.6</v>
      </c>
      <c r="O38" s="116">
        <v>20.399999999999999</v>
      </c>
      <c r="P38" s="116">
        <v>19.399999999999999</v>
      </c>
      <c r="Q38" s="116">
        <v>18.5</v>
      </c>
      <c r="R38" s="116">
        <v>17.7</v>
      </c>
      <c r="S38" s="116">
        <v>17</v>
      </c>
      <c r="T38" s="116">
        <v>16.399999999999999</v>
      </c>
      <c r="U38" s="116">
        <v>15.8</v>
      </c>
    </row>
    <row r="39" spans="1:21" x14ac:dyDescent="0.25">
      <c r="A39" s="80">
        <v>28</v>
      </c>
      <c r="B39" s="116">
        <v>230.2</v>
      </c>
      <c r="C39" s="116">
        <v>117.2</v>
      </c>
      <c r="D39" s="116">
        <v>79.599999999999994</v>
      </c>
      <c r="E39" s="116">
        <v>60.8</v>
      </c>
      <c r="F39" s="116">
        <v>49.5</v>
      </c>
      <c r="G39" s="116">
        <v>42</v>
      </c>
      <c r="H39" s="116">
        <v>36.700000000000003</v>
      </c>
      <c r="I39" s="116">
        <v>32.700000000000003</v>
      </c>
      <c r="J39" s="116">
        <v>29.5</v>
      </c>
      <c r="K39" s="116">
        <v>27.1</v>
      </c>
      <c r="L39" s="116">
        <v>25</v>
      </c>
      <c r="M39" s="116">
        <v>23.3</v>
      </c>
      <c r="N39" s="116">
        <v>21.9</v>
      </c>
      <c r="O39" s="116">
        <v>20.7</v>
      </c>
      <c r="P39" s="116">
        <v>19.7</v>
      </c>
      <c r="Q39" s="116">
        <v>18.8</v>
      </c>
      <c r="R39" s="116">
        <v>18</v>
      </c>
      <c r="S39" s="116">
        <v>17.2</v>
      </c>
      <c r="T39" s="116">
        <v>16.600000000000001</v>
      </c>
      <c r="U39" s="116">
        <v>16</v>
      </c>
    </row>
    <row r="40" spans="1:21" x14ac:dyDescent="0.25">
      <c r="A40" s="80">
        <v>29</v>
      </c>
      <c r="B40" s="116">
        <v>233.5</v>
      </c>
      <c r="C40" s="116">
        <v>118.9</v>
      </c>
      <c r="D40" s="116">
        <v>80.7</v>
      </c>
      <c r="E40" s="116">
        <v>61.7</v>
      </c>
      <c r="F40" s="116">
        <v>50.2</v>
      </c>
      <c r="G40" s="116">
        <v>42.6</v>
      </c>
      <c r="H40" s="116">
        <v>37.200000000000003</v>
      </c>
      <c r="I40" s="116">
        <v>33.1</v>
      </c>
      <c r="J40" s="116">
        <v>30</v>
      </c>
      <c r="K40" s="116">
        <v>27.5</v>
      </c>
      <c r="L40" s="116">
        <v>25.4</v>
      </c>
      <c r="M40" s="116">
        <v>23.7</v>
      </c>
      <c r="N40" s="116">
        <v>22.2</v>
      </c>
      <c r="O40" s="116">
        <v>21</v>
      </c>
      <c r="P40" s="116">
        <v>20</v>
      </c>
      <c r="Q40" s="116">
        <v>19</v>
      </c>
      <c r="R40" s="116">
        <v>18.2</v>
      </c>
      <c r="S40" s="116">
        <v>17.5</v>
      </c>
      <c r="T40" s="116">
        <v>16.899999999999999</v>
      </c>
      <c r="U40" s="116">
        <v>16.3</v>
      </c>
    </row>
    <row r="41" spans="1:21" x14ac:dyDescent="0.25">
      <c r="A41" s="80">
        <v>30</v>
      </c>
      <c r="B41" s="116">
        <v>236.9</v>
      </c>
      <c r="C41" s="116">
        <v>120.6</v>
      </c>
      <c r="D41" s="116">
        <v>81.900000000000006</v>
      </c>
      <c r="E41" s="116">
        <v>62.6</v>
      </c>
      <c r="F41" s="116">
        <v>51</v>
      </c>
      <c r="G41" s="116">
        <v>43.2</v>
      </c>
      <c r="H41" s="116">
        <v>37.700000000000003</v>
      </c>
      <c r="I41" s="116">
        <v>33.6</v>
      </c>
      <c r="J41" s="116">
        <v>30.4</v>
      </c>
      <c r="K41" s="116">
        <v>27.9</v>
      </c>
      <c r="L41" s="116">
        <v>25.8</v>
      </c>
      <c r="M41" s="116">
        <v>24</v>
      </c>
      <c r="N41" s="116">
        <v>22.6</v>
      </c>
      <c r="O41" s="116">
        <v>21.3</v>
      </c>
      <c r="P41" s="116">
        <v>20.3</v>
      </c>
      <c r="Q41" s="116">
        <v>19.3</v>
      </c>
      <c r="R41" s="116">
        <v>18.5</v>
      </c>
      <c r="S41" s="116">
        <v>17.8</v>
      </c>
      <c r="T41" s="116">
        <v>17.100000000000001</v>
      </c>
      <c r="U41" s="116">
        <v>16.5</v>
      </c>
    </row>
    <row r="42" spans="1:21" x14ac:dyDescent="0.25">
      <c r="A42" s="80">
        <v>31</v>
      </c>
      <c r="B42" s="116">
        <v>240.3</v>
      </c>
      <c r="C42" s="116">
        <v>122.4</v>
      </c>
      <c r="D42" s="116">
        <v>83.1</v>
      </c>
      <c r="E42" s="116">
        <v>63.5</v>
      </c>
      <c r="F42" s="116">
        <v>51.7</v>
      </c>
      <c r="G42" s="116">
        <v>43.9</v>
      </c>
      <c r="H42" s="116">
        <v>38.299999999999997</v>
      </c>
      <c r="I42" s="116">
        <v>34.1</v>
      </c>
      <c r="J42" s="116">
        <v>30.9</v>
      </c>
      <c r="K42" s="116">
        <v>28.3</v>
      </c>
      <c r="L42" s="116">
        <v>26.1</v>
      </c>
      <c r="M42" s="116">
        <v>24.4</v>
      </c>
      <c r="N42" s="116">
        <v>22.9</v>
      </c>
      <c r="O42" s="116">
        <v>21.6</v>
      </c>
      <c r="P42" s="116">
        <v>20.6</v>
      </c>
      <c r="Q42" s="116">
        <v>19.600000000000001</v>
      </c>
      <c r="R42" s="116">
        <v>18.8</v>
      </c>
      <c r="S42" s="116">
        <v>18</v>
      </c>
      <c r="T42" s="116">
        <v>17.399999999999999</v>
      </c>
      <c r="U42" s="116">
        <v>16.8</v>
      </c>
    </row>
    <row r="43" spans="1:21" x14ac:dyDescent="0.25">
      <c r="A43" s="80">
        <v>32</v>
      </c>
      <c r="B43" s="116">
        <v>243.7</v>
      </c>
      <c r="C43" s="116">
        <v>124.1</v>
      </c>
      <c r="D43" s="116">
        <v>84.3</v>
      </c>
      <c r="E43" s="116">
        <v>64.400000000000006</v>
      </c>
      <c r="F43" s="116">
        <v>52.4</v>
      </c>
      <c r="G43" s="116">
        <v>44.5</v>
      </c>
      <c r="H43" s="116">
        <v>38.799999999999997</v>
      </c>
      <c r="I43" s="116">
        <v>34.6</v>
      </c>
      <c r="J43" s="116">
        <v>31.3</v>
      </c>
      <c r="K43" s="116">
        <v>28.7</v>
      </c>
      <c r="L43" s="116">
        <v>26.5</v>
      </c>
      <c r="M43" s="116">
        <v>24.7</v>
      </c>
      <c r="N43" s="116">
        <v>23.2</v>
      </c>
      <c r="O43" s="116">
        <v>22</v>
      </c>
      <c r="P43" s="116">
        <v>20.9</v>
      </c>
      <c r="Q43" s="116">
        <v>19.899999999999999</v>
      </c>
      <c r="R43" s="116">
        <v>19</v>
      </c>
      <c r="S43" s="116">
        <v>18.3</v>
      </c>
      <c r="T43" s="116">
        <v>17.600000000000001</v>
      </c>
      <c r="U43" s="116">
        <v>17</v>
      </c>
    </row>
    <row r="44" spans="1:21" x14ac:dyDescent="0.25">
      <c r="A44" s="80">
        <v>33</v>
      </c>
      <c r="B44" s="116">
        <v>247.2</v>
      </c>
      <c r="C44" s="116">
        <v>125.9</v>
      </c>
      <c r="D44" s="116">
        <v>85.5</v>
      </c>
      <c r="E44" s="116">
        <v>65.3</v>
      </c>
      <c r="F44" s="116">
        <v>53.2</v>
      </c>
      <c r="G44" s="116">
        <v>45.1</v>
      </c>
      <c r="H44" s="116">
        <v>39.4</v>
      </c>
      <c r="I44" s="116">
        <v>35.1</v>
      </c>
      <c r="J44" s="116">
        <v>31.8</v>
      </c>
      <c r="K44" s="116">
        <v>29.1</v>
      </c>
      <c r="L44" s="116">
        <v>26.9</v>
      </c>
      <c r="M44" s="116">
        <v>25.1</v>
      </c>
      <c r="N44" s="116">
        <v>23.6</v>
      </c>
      <c r="O44" s="116">
        <v>22.3</v>
      </c>
      <c r="P44" s="116">
        <v>21.2</v>
      </c>
      <c r="Q44" s="116">
        <v>20.2</v>
      </c>
      <c r="R44" s="116">
        <v>19.3</v>
      </c>
      <c r="S44" s="116">
        <v>18.600000000000001</v>
      </c>
      <c r="T44" s="116">
        <v>17.899999999999999</v>
      </c>
      <c r="U44" s="116">
        <v>17.3</v>
      </c>
    </row>
    <row r="45" spans="1:21" x14ac:dyDescent="0.25">
      <c r="A45" s="80">
        <v>34</v>
      </c>
      <c r="B45" s="116">
        <v>250.8</v>
      </c>
      <c r="C45" s="116">
        <v>127.7</v>
      </c>
      <c r="D45" s="116">
        <v>86.7</v>
      </c>
      <c r="E45" s="116">
        <v>66.2</v>
      </c>
      <c r="F45" s="116">
        <v>54</v>
      </c>
      <c r="G45" s="116">
        <v>45.8</v>
      </c>
      <c r="H45" s="116">
        <v>40</v>
      </c>
      <c r="I45" s="116">
        <v>35.6</v>
      </c>
      <c r="J45" s="116">
        <v>32.200000000000003</v>
      </c>
      <c r="K45" s="116">
        <v>29.5</v>
      </c>
      <c r="L45" s="116">
        <v>27.3</v>
      </c>
      <c r="M45" s="116">
        <v>25.5</v>
      </c>
      <c r="N45" s="116">
        <v>23.9</v>
      </c>
      <c r="O45" s="116">
        <v>22.6</v>
      </c>
      <c r="P45" s="116">
        <v>21.5</v>
      </c>
      <c r="Q45" s="116">
        <v>20.5</v>
      </c>
      <c r="R45" s="116">
        <v>19.600000000000001</v>
      </c>
      <c r="S45" s="116">
        <v>18.8</v>
      </c>
      <c r="T45" s="116">
        <v>18.2</v>
      </c>
      <c r="U45" s="116">
        <v>17.5</v>
      </c>
    </row>
    <row r="46" spans="1:21" x14ac:dyDescent="0.25">
      <c r="A46" s="80">
        <v>35</v>
      </c>
      <c r="B46" s="116">
        <v>254.3</v>
      </c>
      <c r="C46" s="116">
        <v>129.6</v>
      </c>
      <c r="D46" s="116">
        <v>88</v>
      </c>
      <c r="E46" s="116">
        <v>67.2</v>
      </c>
      <c r="F46" s="116">
        <v>54.8</v>
      </c>
      <c r="G46" s="116">
        <v>46.5</v>
      </c>
      <c r="H46" s="116">
        <v>40.5</v>
      </c>
      <c r="I46" s="116">
        <v>36.1</v>
      </c>
      <c r="J46" s="116">
        <v>32.700000000000003</v>
      </c>
      <c r="K46" s="116">
        <v>29.9</v>
      </c>
      <c r="L46" s="116">
        <v>27.7</v>
      </c>
      <c r="M46" s="116">
        <v>25.9</v>
      </c>
      <c r="N46" s="116">
        <v>24.3</v>
      </c>
      <c r="O46" s="116">
        <v>22.9</v>
      </c>
      <c r="P46" s="116">
        <v>21.8</v>
      </c>
      <c r="Q46" s="116">
        <v>20.8</v>
      </c>
      <c r="R46" s="116">
        <v>19.899999999999999</v>
      </c>
      <c r="S46" s="116">
        <v>19.100000000000001</v>
      </c>
      <c r="T46" s="116">
        <v>18.399999999999999</v>
      </c>
      <c r="U46" s="116">
        <v>17.8</v>
      </c>
    </row>
    <row r="47" spans="1:21" x14ac:dyDescent="0.25">
      <c r="A47" s="80">
        <v>36</v>
      </c>
      <c r="B47" s="116">
        <v>258</v>
      </c>
      <c r="C47" s="116">
        <v>131.4</v>
      </c>
      <c r="D47" s="116">
        <v>89.2</v>
      </c>
      <c r="E47" s="116">
        <v>68.2</v>
      </c>
      <c r="F47" s="116">
        <v>55.5</v>
      </c>
      <c r="G47" s="116">
        <v>47.1</v>
      </c>
      <c r="H47" s="116">
        <v>41.1</v>
      </c>
      <c r="I47" s="116">
        <v>36.6</v>
      </c>
      <c r="J47" s="116">
        <v>33.200000000000003</v>
      </c>
      <c r="K47" s="116">
        <v>30.4</v>
      </c>
      <c r="L47" s="116">
        <v>28.1</v>
      </c>
      <c r="M47" s="116">
        <v>26.2</v>
      </c>
      <c r="N47" s="116">
        <v>24.6</v>
      </c>
      <c r="O47" s="116">
        <v>23.3</v>
      </c>
      <c r="P47" s="116">
        <v>22.1</v>
      </c>
      <c r="Q47" s="116">
        <v>21.1</v>
      </c>
      <c r="R47" s="116">
        <v>20.2</v>
      </c>
      <c r="S47" s="116">
        <v>19.399999999999999</v>
      </c>
      <c r="T47" s="116">
        <v>18.7</v>
      </c>
      <c r="U47" s="116">
        <v>18.100000000000001</v>
      </c>
    </row>
    <row r="48" spans="1:21" x14ac:dyDescent="0.25">
      <c r="A48" s="80">
        <v>37</v>
      </c>
      <c r="B48" s="116">
        <v>261.7</v>
      </c>
      <c r="C48" s="116">
        <v>133.30000000000001</v>
      </c>
      <c r="D48" s="116">
        <v>90.5</v>
      </c>
      <c r="E48" s="116">
        <v>69.099999999999994</v>
      </c>
      <c r="F48" s="116">
        <v>56.3</v>
      </c>
      <c r="G48" s="116">
        <v>47.8</v>
      </c>
      <c r="H48" s="116">
        <v>41.7</v>
      </c>
      <c r="I48" s="116">
        <v>37.200000000000003</v>
      </c>
      <c r="J48" s="116">
        <v>33.6</v>
      </c>
      <c r="K48" s="116">
        <v>30.8</v>
      </c>
      <c r="L48" s="116">
        <v>28.5</v>
      </c>
      <c r="M48" s="116">
        <v>26.6</v>
      </c>
      <c r="N48" s="116">
        <v>25</v>
      </c>
      <c r="O48" s="116">
        <v>23.6</v>
      </c>
      <c r="P48" s="116">
        <v>22.4</v>
      </c>
      <c r="Q48" s="116">
        <v>21.4</v>
      </c>
      <c r="R48" s="116">
        <v>20.5</v>
      </c>
      <c r="S48" s="116">
        <v>19.7</v>
      </c>
      <c r="T48" s="116">
        <v>19</v>
      </c>
      <c r="U48" s="116">
        <v>18.399999999999999</v>
      </c>
    </row>
    <row r="49" spans="1:21" x14ac:dyDescent="0.25">
      <c r="A49" s="80">
        <v>38</v>
      </c>
      <c r="B49" s="116">
        <v>265.39999999999998</v>
      </c>
      <c r="C49" s="116">
        <v>135.19999999999999</v>
      </c>
      <c r="D49" s="116">
        <v>91.8</v>
      </c>
      <c r="E49" s="116">
        <v>70.099999999999994</v>
      </c>
      <c r="F49" s="116">
        <v>57.2</v>
      </c>
      <c r="G49" s="116">
        <v>48.5</v>
      </c>
      <c r="H49" s="116">
        <v>42.3</v>
      </c>
      <c r="I49" s="116">
        <v>37.700000000000003</v>
      </c>
      <c r="J49" s="116">
        <v>34.1</v>
      </c>
      <c r="K49" s="116">
        <v>31.3</v>
      </c>
      <c r="L49" s="116">
        <v>29</v>
      </c>
      <c r="M49" s="116">
        <v>27</v>
      </c>
      <c r="N49" s="116">
        <v>25.4</v>
      </c>
      <c r="O49" s="116">
        <v>24</v>
      </c>
      <c r="P49" s="116">
        <v>22.8</v>
      </c>
      <c r="Q49" s="116">
        <v>21.7</v>
      </c>
      <c r="R49" s="116">
        <v>20.8</v>
      </c>
      <c r="S49" s="116">
        <v>20</v>
      </c>
      <c r="T49" s="116">
        <v>19.3</v>
      </c>
      <c r="U49" s="116">
        <v>18.7</v>
      </c>
    </row>
    <row r="50" spans="1:21" x14ac:dyDescent="0.25">
      <c r="A50" s="80">
        <v>39</v>
      </c>
      <c r="B50" s="116">
        <v>269.2</v>
      </c>
      <c r="C50" s="116">
        <v>137.1</v>
      </c>
      <c r="D50" s="116">
        <v>93.1</v>
      </c>
      <c r="E50" s="116">
        <v>71.2</v>
      </c>
      <c r="F50" s="116">
        <v>58</v>
      </c>
      <c r="G50" s="116">
        <v>49.2</v>
      </c>
      <c r="H50" s="116">
        <v>43</v>
      </c>
      <c r="I50" s="116">
        <v>38.299999999999997</v>
      </c>
      <c r="J50" s="116">
        <v>34.6</v>
      </c>
      <c r="K50" s="116">
        <v>31.7</v>
      </c>
      <c r="L50" s="116">
        <v>29.4</v>
      </c>
      <c r="M50" s="116">
        <v>27.4</v>
      </c>
      <c r="N50" s="116">
        <v>25.8</v>
      </c>
      <c r="O50" s="116">
        <v>24.3</v>
      </c>
      <c r="P50" s="116">
        <v>23.1</v>
      </c>
      <c r="Q50" s="116">
        <v>22.1</v>
      </c>
      <c r="R50" s="116">
        <v>21.1</v>
      </c>
      <c r="S50" s="116">
        <v>20.3</v>
      </c>
      <c r="T50" s="116">
        <v>19.600000000000001</v>
      </c>
      <c r="U50" s="116">
        <v>18.899999999999999</v>
      </c>
    </row>
    <row r="51" spans="1:21" x14ac:dyDescent="0.25">
      <c r="A51" s="80">
        <v>40</v>
      </c>
      <c r="B51" s="116">
        <v>273</v>
      </c>
      <c r="C51" s="116">
        <v>139.1</v>
      </c>
      <c r="D51" s="116">
        <v>94.5</v>
      </c>
      <c r="E51" s="116">
        <v>72.2</v>
      </c>
      <c r="F51" s="116">
        <v>58.8</v>
      </c>
      <c r="G51" s="116">
        <v>49.9</v>
      </c>
      <c r="H51" s="116">
        <v>43.6</v>
      </c>
      <c r="I51" s="116">
        <v>38.799999999999997</v>
      </c>
      <c r="J51" s="116">
        <v>35.200000000000003</v>
      </c>
      <c r="K51" s="116">
        <v>32.200000000000003</v>
      </c>
      <c r="L51" s="116">
        <v>29.8</v>
      </c>
      <c r="M51" s="116">
        <v>27.8</v>
      </c>
      <c r="N51" s="116">
        <v>26.1</v>
      </c>
      <c r="O51" s="116">
        <v>24.7</v>
      </c>
      <c r="P51" s="116">
        <v>23.5</v>
      </c>
      <c r="Q51" s="116">
        <v>22.4</v>
      </c>
      <c r="R51" s="116">
        <v>21.5</v>
      </c>
      <c r="S51" s="116">
        <v>20.6</v>
      </c>
      <c r="T51" s="116">
        <v>19.899999999999999</v>
      </c>
      <c r="U51" s="116">
        <v>19.3</v>
      </c>
    </row>
    <row r="52" spans="1:21" x14ac:dyDescent="0.25">
      <c r="A52" s="80">
        <v>41</v>
      </c>
      <c r="B52" s="116">
        <v>276.89999999999998</v>
      </c>
      <c r="C52" s="116">
        <v>141.1</v>
      </c>
      <c r="D52" s="116">
        <v>95.8</v>
      </c>
      <c r="E52" s="116">
        <v>73.2</v>
      </c>
      <c r="F52" s="116">
        <v>59.7</v>
      </c>
      <c r="G52" s="116">
        <v>50.7</v>
      </c>
      <c r="H52" s="116">
        <v>44.2</v>
      </c>
      <c r="I52" s="116">
        <v>39.4</v>
      </c>
      <c r="J52" s="116">
        <v>35.700000000000003</v>
      </c>
      <c r="K52" s="116">
        <v>32.700000000000003</v>
      </c>
      <c r="L52" s="116">
        <v>30.3</v>
      </c>
      <c r="M52" s="116">
        <v>28.2</v>
      </c>
      <c r="N52" s="116">
        <v>26.5</v>
      </c>
      <c r="O52" s="116">
        <v>25.1</v>
      </c>
      <c r="P52" s="116">
        <v>23.8</v>
      </c>
      <c r="Q52" s="116">
        <v>22.8</v>
      </c>
      <c r="R52" s="116">
        <v>21.8</v>
      </c>
      <c r="S52" s="116">
        <v>21</v>
      </c>
      <c r="T52" s="116">
        <v>20.2</v>
      </c>
      <c r="U52" s="116">
        <v>19.600000000000001</v>
      </c>
    </row>
    <row r="53" spans="1:21" x14ac:dyDescent="0.25">
      <c r="A53" s="80">
        <v>42</v>
      </c>
      <c r="B53" s="116">
        <v>280.89999999999998</v>
      </c>
      <c r="C53" s="116">
        <v>143.1</v>
      </c>
      <c r="D53" s="116">
        <v>97.2</v>
      </c>
      <c r="E53" s="116">
        <v>74.3</v>
      </c>
      <c r="F53" s="116">
        <v>60.5</v>
      </c>
      <c r="G53" s="116">
        <v>51.4</v>
      </c>
      <c r="H53" s="116">
        <v>44.9</v>
      </c>
      <c r="I53" s="116">
        <v>40</v>
      </c>
      <c r="J53" s="116">
        <v>36.200000000000003</v>
      </c>
      <c r="K53" s="116">
        <v>33.200000000000003</v>
      </c>
      <c r="L53" s="116">
        <v>30.7</v>
      </c>
      <c r="M53" s="116">
        <v>28.7</v>
      </c>
      <c r="N53" s="116">
        <v>27</v>
      </c>
      <c r="O53" s="116">
        <v>25.5</v>
      </c>
      <c r="P53" s="116">
        <v>24.2</v>
      </c>
      <c r="Q53" s="116">
        <v>23.1</v>
      </c>
      <c r="R53" s="116">
        <v>22.2</v>
      </c>
      <c r="S53" s="116">
        <v>21.3</v>
      </c>
      <c r="T53" s="116">
        <v>20.6</v>
      </c>
      <c r="U53" s="116">
        <v>19.899999999999999</v>
      </c>
    </row>
    <row r="54" spans="1:21" x14ac:dyDescent="0.25">
      <c r="A54" s="80">
        <v>43</v>
      </c>
      <c r="B54" s="116">
        <v>284.89999999999998</v>
      </c>
      <c r="C54" s="116">
        <v>145.19999999999999</v>
      </c>
      <c r="D54" s="116">
        <v>98.6</v>
      </c>
      <c r="E54" s="116">
        <v>75.400000000000006</v>
      </c>
      <c r="F54" s="116">
        <v>61.4</v>
      </c>
      <c r="G54" s="116">
        <v>52.1</v>
      </c>
      <c r="H54" s="116">
        <v>45.5</v>
      </c>
      <c r="I54" s="116">
        <v>40.6</v>
      </c>
      <c r="J54" s="116">
        <v>36.700000000000003</v>
      </c>
      <c r="K54" s="116">
        <v>33.700000000000003</v>
      </c>
      <c r="L54" s="116">
        <v>31.2</v>
      </c>
      <c r="M54" s="116">
        <v>29.1</v>
      </c>
      <c r="N54" s="116">
        <v>27.4</v>
      </c>
      <c r="O54" s="116">
        <v>25.9</v>
      </c>
      <c r="P54" s="116">
        <v>24.6</v>
      </c>
      <c r="Q54" s="116">
        <v>23.5</v>
      </c>
      <c r="R54" s="116">
        <v>22.5</v>
      </c>
      <c r="S54" s="116">
        <v>21.7</v>
      </c>
      <c r="T54" s="116">
        <v>20.9</v>
      </c>
      <c r="U54" s="116">
        <v>20.2</v>
      </c>
    </row>
    <row r="55" spans="1:21" x14ac:dyDescent="0.25">
      <c r="A55" s="80">
        <v>44</v>
      </c>
      <c r="B55" s="116">
        <v>289</v>
      </c>
      <c r="C55" s="116">
        <v>147.19999999999999</v>
      </c>
      <c r="D55" s="116">
        <v>100</v>
      </c>
      <c r="E55" s="116">
        <v>76.400000000000006</v>
      </c>
      <c r="F55" s="116">
        <v>62.3</v>
      </c>
      <c r="G55" s="116">
        <v>52.9</v>
      </c>
      <c r="H55" s="116">
        <v>46.2</v>
      </c>
      <c r="I55" s="116">
        <v>41.2</v>
      </c>
      <c r="J55" s="116">
        <v>37.299999999999997</v>
      </c>
      <c r="K55" s="116">
        <v>34.200000000000003</v>
      </c>
      <c r="L55" s="116">
        <v>31.7</v>
      </c>
      <c r="M55" s="116">
        <v>29.6</v>
      </c>
      <c r="N55" s="116">
        <v>27.8</v>
      </c>
      <c r="O55" s="116">
        <v>26.3</v>
      </c>
      <c r="P55" s="116">
        <v>25</v>
      </c>
      <c r="Q55" s="116">
        <v>23.9</v>
      </c>
      <c r="R55" s="116">
        <v>22.9</v>
      </c>
      <c r="S55" s="116">
        <v>22</v>
      </c>
      <c r="T55" s="116">
        <v>21.3</v>
      </c>
      <c r="U55" s="116">
        <v>20.6</v>
      </c>
    </row>
    <row r="56" spans="1:21" x14ac:dyDescent="0.25">
      <c r="A56" s="80">
        <v>45</v>
      </c>
      <c r="B56" s="116">
        <v>293.10000000000002</v>
      </c>
      <c r="C56" s="116">
        <v>149.4</v>
      </c>
      <c r="D56" s="116">
        <v>101.5</v>
      </c>
      <c r="E56" s="116">
        <v>77.599999999999994</v>
      </c>
      <c r="F56" s="116">
        <v>63.2</v>
      </c>
      <c r="G56" s="116">
        <v>53.7</v>
      </c>
      <c r="H56" s="116">
        <v>46.9</v>
      </c>
      <c r="I56" s="116">
        <v>41.8</v>
      </c>
      <c r="J56" s="116">
        <v>37.799999999999997</v>
      </c>
      <c r="K56" s="116">
        <v>34.700000000000003</v>
      </c>
      <c r="L56" s="116">
        <v>32.1</v>
      </c>
      <c r="M56" s="116">
        <v>30</v>
      </c>
      <c r="N56" s="116">
        <v>28.2</v>
      </c>
      <c r="O56" s="116">
        <v>26.7</v>
      </c>
      <c r="P56" s="116">
        <v>25.4</v>
      </c>
      <c r="Q56" s="116">
        <v>24.3</v>
      </c>
      <c r="R56" s="116">
        <v>23.3</v>
      </c>
      <c r="S56" s="116">
        <v>22.4</v>
      </c>
      <c r="T56" s="116">
        <v>21.6</v>
      </c>
      <c r="U56" s="116">
        <v>20.9</v>
      </c>
    </row>
    <row r="57" spans="1:21" x14ac:dyDescent="0.25">
      <c r="A57" s="80">
        <v>46</v>
      </c>
      <c r="B57" s="116">
        <v>297.3</v>
      </c>
      <c r="C57" s="116">
        <v>151.5</v>
      </c>
      <c r="D57" s="116">
        <v>102.9</v>
      </c>
      <c r="E57" s="116">
        <v>78.7</v>
      </c>
      <c r="F57" s="116">
        <v>64.099999999999994</v>
      </c>
      <c r="G57" s="116">
        <v>54.5</v>
      </c>
      <c r="H57" s="116">
        <v>47.6</v>
      </c>
      <c r="I57" s="116">
        <v>42.4</v>
      </c>
      <c r="J57" s="116">
        <v>38.4</v>
      </c>
      <c r="K57" s="116">
        <v>35.200000000000003</v>
      </c>
      <c r="L57" s="116">
        <v>32.700000000000003</v>
      </c>
      <c r="M57" s="116">
        <v>30.5</v>
      </c>
      <c r="N57" s="116">
        <v>28.7</v>
      </c>
      <c r="O57" s="116">
        <v>27.2</v>
      </c>
      <c r="P57" s="116">
        <v>25.8</v>
      </c>
      <c r="Q57" s="116">
        <v>24.7</v>
      </c>
      <c r="R57" s="116">
        <v>23.7</v>
      </c>
      <c r="S57" s="116">
        <v>22.8</v>
      </c>
      <c r="T57" s="116">
        <v>22</v>
      </c>
      <c r="U57" s="116"/>
    </row>
    <row r="58" spans="1:21" x14ac:dyDescent="0.25">
      <c r="A58" s="80">
        <v>47</v>
      </c>
      <c r="B58" s="116">
        <v>301.60000000000002</v>
      </c>
      <c r="C58" s="116">
        <v>153.69999999999999</v>
      </c>
      <c r="D58" s="116">
        <v>104.4</v>
      </c>
      <c r="E58" s="116">
        <v>79.8</v>
      </c>
      <c r="F58" s="116">
        <v>65.099999999999994</v>
      </c>
      <c r="G58" s="116">
        <v>55.3</v>
      </c>
      <c r="H58" s="116">
        <v>48.3</v>
      </c>
      <c r="I58" s="116">
        <v>43.1</v>
      </c>
      <c r="J58" s="116">
        <v>39</v>
      </c>
      <c r="K58" s="116">
        <v>35.799999999999997</v>
      </c>
      <c r="L58" s="116">
        <v>33.200000000000003</v>
      </c>
      <c r="M58" s="116">
        <v>31</v>
      </c>
      <c r="N58" s="116">
        <v>29.2</v>
      </c>
      <c r="O58" s="116">
        <v>27.6</v>
      </c>
      <c r="P58" s="116">
        <v>26.3</v>
      </c>
      <c r="Q58" s="116">
        <v>25.1</v>
      </c>
      <c r="R58" s="116">
        <v>24.1</v>
      </c>
      <c r="S58" s="116">
        <v>23.2</v>
      </c>
      <c r="T58" s="116"/>
      <c r="U58" s="116"/>
    </row>
    <row r="59" spans="1:21" x14ac:dyDescent="0.25">
      <c r="A59" s="80">
        <v>48</v>
      </c>
      <c r="B59" s="116">
        <v>305.89999999999998</v>
      </c>
      <c r="C59" s="116">
        <v>155.9</v>
      </c>
      <c r="D59" s="116">
        <v>106</v>
      </c>
      <c r="E59" s="116">
        <v>81</v>
      </c>
      <c r="F59" s="116">
        <v>66.099999999999994</v>
      </c>
      <c r="G59" s="116">
        <v>56.1</v>
      </c>
      <c r="H59" s="116">
        <v>49</v>
      </c>
      <c r="I59" s="116">
        <v>43.7</v>
      </c>
      <c r="J59" s="116">
        <v>39.6</v>
      </c>
      <c r="K59" s="116">
        <v>36.4</v>
      </c>
      <c r="L59" s="116">
        <v>33.700000000000003</v>
      </c>
      <c r="M59" s="116">
        <v>31.5</v>
      </c>
      <c r="N59" s="116">
        <v>29.7</v>
      </c>
      <c r="O59" s="116">
        <v>28.1</v>
      </c>
      <c r="P59" s="116">
        <v>26.7</v>
      </c>
      <c r="Q59" s="116">
        <v>25.5</v>
      </c>
      <c r="R59" s="116">
        <v>24.5</v>
      </c>
      <c r="S59" s="116"/>
      <c r="T59" s="116"/>
      <c r="U59" s="116"/>
    </row>
    <row r="60" spans="1:21" x14ac:dyDescent="0.25">
      <c r="A60" s="80">
        <v>49</v>
      </c>
      <c r="B60" s="116">
        <v>310.3</v>
      </c>
      <c r="C60" s="116">
        <v>158.19999999999999</v>
      </c>
      <c r="D60" s="116">
        <v>107.5</v>
      </c>
      <c r="E60" s="116">
        <v>82.2</v>
      </c>
      <c r="F60" s="116">
        <v>67.099999999999994</v>
      </c>
      <c r="G60" s="116">
        <v>57</v>
      </c>
      <c r="H60" s="116">
        <v>49.8</v>
      </c>
      <c r="I60" s="116">
        <v>44.5</v>
      </c>
      <c r="J60" s="116">
        <v>40.299999999999997</v>
      </c>
      <c r="K60" s="116">
        <v>37</v>
      </c>
      <c r="L60" s="116">
        <v>34.299999999999997</v>
      </c>
      <c r="M60" s="116">
        <v>32.1</v>
      </c>
      <c r="N60" s="116">
        <v>30.2</v>
      </c>
      <c r="O60" s="116">
        <v>28.6</v>
      </c>
      <c r="P60" s="116">
        <v>27.2</v>
      </c>
      <c r="Q60" s="116">
        <v>26</v>
      </c>
      <c r="R60" s="116"/>
      <c r="S60" s="116"/>
      <c r="T60" s="116"/>
      <c r="U60" s="116"/>
    </row>
    <row r="61" spans="1:21" x14ac:dyDescent="0.25">
      <c r="A61" s="80">
        <v>50</v>
      </c>
      <c r="B61" s="116">
        <v>314.89999999999998</v>
      </c>
      <c r="C61" s="116">
        <v>160.6</v>
      </c>
      <c r="D61" s="116">
        <v>109.2</v>
      </c>
      <c r="E61" s="116">
        <v>83.5</v>
      </c>
      <c r="F61" s="116">
        <v>68.099999999999994</v>
      </c>
      <c r="G61" s="116">
        <v>57.9</v>
      </c>
      <c r="H61" s="116">
        <v>50.6</v>
      </c>
      <c r="I61" s="116">
        <v>45.2</v>
      </c>
      <c r="J61" s="116">
        <v>41</v>
      </c>
      <c r="K61" s="116">
        <v>37.6</v>
      </c>
      <c r="L61" s="116">
        <v>34.9</v>
      </c>
      <c r="M61" s="116">
        <v>32.6</v>
      </c>
      <c r="N61" s="116">
        <v>30.7</v>
      </c>
      <c r="O61" s="116">
        <v>29.1</v>
      </c>
      <c r="P61" s="116">
        <v>27.7</v>
      </c>
      <c r="Q61" s="116"/>
      <c r="R61" s="116"/>
      <c r="S61" s="116"/>
      <c r="T61" s="116"/>
      <c r="U61" s="116"/>
    </row>
    <row r="62" spans="1:21" x14ac:dyDescent="0.25">
      <c r="A62" s="80">
        <v>51</v>
      </c>
      <c r="B62" s="116">
        <v>319.5</v>
      </c>
      <c r="C62" s="116">
        <v>163</v>
      </c>
      <c r="D62" s="116">
        <v>110.8</v>
      </c>
      <c r="E62" s="116">
        <v>84.8</v>
      </c>
      <c r="F62" s="116">
        <v>69.2</v>
      </c>
      <c r="G62" s="116">
        <v>58.8</v>
      </c>
      <c r="H62" s="116">
        <v>51.5</v>
      </c>
      <c r="I62" s="116">
        <v>45.9</v>
      </c>
      <c r="J62" s="116">
        <v>41.7</v>
      </c>
      <c r="K62" s="116">
        <v>38.299999999999997</v>
      </c>
      <c r="L62" s="116">
        <v>35.5</v>
      </c>
      <c r="M62" s="116">
        <v>33.200000000000003</v>
      </c>
      <c r="N62" s="116">
        <v>31.3</v>
      </c>
      <c r="O62" s="116">
        <v>29.6</v>
      </c>
      <c r="P62" s="116"/>
      <c r="Q62" s="116"/>
      <c r="R62" s="116"/>
      <c r="S62" s="116"/>
      <c r="T62" s="116"/>
      <c r="U62" s="116"/>
    </row>
    <row r="63" spans="1:21" x14ac:dyDescent="0.25">
      <c r="A63" s="80">
        <v>52</v>
      </c>
      <c r="B63" s="116">
        <v>324.3</v>
      </c>
      <c r="C63" s="116">
        <v>165.4</v>
      </c>
      <c r="D63" s="116">
        <v>112.5</v>
      </c>
      <c r="E63" s="116">
        <v>86.1</v>
      </c>
      <c r="F63" s="116">
        <v>70.3</v>
      </c>
      <c r="G63" s="116">
        <v>59.8</v>
      </c>
      <c r="H63" s="116">
        <v>52.3</v>
      </c>
      <c r="I63" s="116">
        <v>46.7</v>
      </c>
      <c r="J63" s="116">
        <v>42.4</v>
      </c>
      <c r="K63" s="116">
        <v>38.9</v>
      </c>
      <c r="L63" s="116">
        <v>36.1</v>
      </c>
      <c r="M63" s="116">
        <v>33.799999999999997</v>
      </c>
      <c r="N63" s="116">
        <v>31.8</v>
      </c>
      <c r="O63" s="116"/>
      <c r="P63" s="116"/>
      <c r="Q63" s="116"/>
      <c r="R63" s="116"/>
      <c r="S63" s="116"/>
      <c r="T63" s="116"/>
      <c r="U63" s="116"/>
    </row>
    <row r="64" spans="1:21" x14ac:dyDescent="0.25">
      <c r="A64" s="80">
        <v>53</v>
      </c>
      <c r="B64" s="116">
        <v>329.1</v>
      </c>
      <c r="C64" s="116">
        <v>167.9</v>
      </c>
      <c r="D64" s="116">
        <v>114.3</v>
      </c>
      <c r="E64" s="116">
        <v>87.5</v>
      </c>
      <c r="F64" s="116">
        <v>71.400000000000006</v>
      </c>
      <c r="G64" s="116">
        <v>60.8</v>
      </c>
      <c r="H64" s="116">
        <v>53.2</v>
      </c>
      <c r="I64" s="116">
        <v>47.5</v>
      </c>
      <c r="J64" s="116">
        <v>43.1</v>
      </c>
      <c r="K64" s="116">
        <v>39.6</v>
      </c>
      <c r="L64" s="116">
        <v>36.700000000000003</v>
      </c>
      <c r="M64" s="116">
        <v>34.4</v>
      </c>
      <c r="N64" s="116"/>
      <c r="O64" s="116"/>
      <c r="P64" s="116"/>
      <c r="Q64" s="116"/>
      <c r="R64" s="116"/>
      <c r="S64" s="116"/>
      <c r="T64" s="116"/>
      <c r="U64" s="116"/>
    </row>
    <row r="65" spans="1:21" x14ac:dyDescent="0.25">
      <c r="A65" s="80">
        <v>54</v>
      </c>
      <c r="B65" s="116">
        <v>334</v>
      </c>
      <c r="C65" s="116">
        <v>170.5</v>
      </c>
      <c r="D65" s="116">
        <v>116</v>
      </c>
      <c r="E65" s="116">
        <v>88.8</v>
      </c>
      <c r="F65" s="116">
        <v>72.599999999999994</v>
      </c>
      <c r="G65" s="116">
        <v>61.7</v>
      </c>
      <c r="H65" s="116">
        <v>54</v>
      </c>
      <c r="I65" s="116">
        <v>48.3</v>
      </c>
      <c r="J65" s="116">
        <v>43.8</v>
      </c>
      <c r="K65" s="116">
        <v>40.299999999999997</v>
      </c>
      <c r="L65" s="116">
        <v>37.4</v>
      </c>
      <c r="M65" s="116"/>
      <c r="N65" s="116"/>
      <c r="O65" s="116"/>
      <c r="P65" s="116"/>
      <c r="Q65" s="116"/>
      <c r="R65" s="116"/>
      <c r="S65" s="116"/>
      <c r="T65" s="116"/>
      <c r="U65" s="116"/>
    </row>
    <row r="66" spans="1:21" x14ac:dyDescent="0.25">
      <c r="A66" s="80">
        <v>55</v>
      </c>
      <c r="B66" s="116">
        <v>339</v>
      </c>
      <c r="C66" s="116">
        <v>173.1</v>
      </c>
      <c r="D66" s="116">
        <v>117.8</v>
      </c>
      <c r="E66" s="116">
        <v>90.3</v>
      </c>
      <c r="F66" s="116">
        <v>73.7</v>
      </c>
      <c r="G66" s="116">
        <v>62.8</v>
      </c>
      <c r="H66" s="116">
        <v>55</v>
      </c>
      <c r="I66" s="116">
        <v>49.1</v>
      </c>
      <c r="J66" s="116">
        <v>44.6</v>
      </c>
      <c r="K66" s="116">
        <v>41</v>
      </c>
      <c r="L66" s="116"/>
      <c r="M66" s="116"/>
      <c r="N66" s="116"/>
      <c r="O66" s="116"/>
      <c r="P66" s="116"/>
      <c r="Q66" s="116"/>
      <c r="R66" s="116"/>
      <c r="S66" s="116"/>
      <c r="T66" s="116"/>
      <c r="U66" s="116"/>
    </row>
    <row r="67" spans="1:21" x14ac:dyDescent="0.25">
      <c r="A67" s="80">
        <v>56</v>
      </c>
      <c r="B67" s="116">
        <v>344.1</v>
      </c>
      <c r="C67" s="116">
        <v>175.8</v>
      </c>
      <c r="D67" s="116">
        <v>119.7</v>
      </c>
      <c r="E67" s="116">
        <v>91.7</v>
      </c>
      <c r="F67" s="116">
        <v>75</v>
      </c>
      <c r="G67" s="116">
        <v>63.8</v>
      </c>
      <c r="H67" s="116">
        <v>55.9</v>
      </c>
      <c r="I67" s="116">
        <v>50</v>
      </c>
      <c r="J67" s="116">
        <v>45.4</v>
      </c>
      <c r="K67" s="116"/>
      <c r="L67" s="116"/>
      <c r="M67" s="116"/>
      <c r="N67" s="116"/>
      <c r="O67" s="116"/>
      <c r="P67" s="116"/>
      <c r="Q67" s="116"/>
      <c r="R67" s="116"/>
      <c r="S67" s="116"/>
      <c r="T67" s="116"/>
      <c r="U67" s="116"/>
    </row>
    <row r="68" spans="1:21" x14ac:dyDescent="0.25">
      <c r="A68" s="80">
        <v>57</v>
      </c>
      <c r="B68" s="116">
        <v>349.4</v>
      </c>
      <c r="C68" s="116">
        <v>178.5</v>
      </c>
      <c r="D68" s="116">
        <v>121.6</v>
      </c>
      <c r="E68" s="116">
        <v>93.2</v>
      </c>
      <c r="F68" s="116">
        <v>76.2</v>
      </c>
      <c r="G68" s="116">
        <v>64.900000000000006</v>
      </c>
      <c r="H68" s="116">
        <v>56.9</v>
      </c>
      <c r="I68" s="116">
        <v>50.9</v>
      </c>
      <c r="J68" s="116"/>
      <c r="K68" s="116"/>
      <c r="L68" s="116"/>
      <c r="M68" s="116"/>
      <c r="N68" s="116"/>
      <c r="O68" s="116"/>
      <c r="P68" s="116"/>
      <c r="Q68" s="116"/>
      <c r="R68" s="116"/>
      <c r="S68" s="116"/>
      <c r="T68" s="116"/>
      <c r="U68" s="116"/>
    </row>
    <row r="69" spans="1:21" x14ac:dyDescent="0.25">
      <c r="A69" s="80">
        <v>58</v>
      </c>
      <c r="B69" s="116">
        <v>354.9</v>
      </c>
      <c r="C69" s="116">
        <v>181.4</v>
      </c>
      <c r="D69" s="116">
        <v>123.6</v>
      </c>
      <c r="E69" s="116">
        <v>94.8</v>
      </c>
      <c r="F69" s="116">
        <v>77.5</v>
      </c>
      <c r="G69" s="116">
        <v>66</v>
      </c>
      <c r="H69" s="116">
        <v>57.9</v>
      </c>
      <c r="I69" s="116"/>
      <c r="J69" s="116"/>
      <c r="K69" s="116"/>
      <c r="L69" s="116"/>
      <c r="M69" s="116"/>
      <c r="N69" s="116"/>
      <c r="O69" s="116"/>
      <c r="P69" s="116"/>
      <c r="Q69" s="116"/>
      <c r="R69" s="116"/>
      <c r="S69" s="116"/>
      <c r="T69" s="116"/>
      <c r="U69" s="116"/>
    </row>
    <row r="70" spans="1:21" x14ac:dyDescent="0.25">
      <c r="A70" s="80">
        <v>59</v>
      </c>
      <c r="B70" s="116">
        <v>360.6</v>
      </c>
      <c r="C70" s="116">
        <v>184.4</v>
      </c>
      <c r="D70" s="116">
        <v>125.7</v>
      </c>
      <c r="E70" s="116">
        <v>96.4</v>
      </c>
      <c r="F70" s="116">
        <v>78.900000000000006</v>
      </c>
      <c r="G70" s="116">
        <v>67.2</v>
      </c>
      <c r="H70" s="116"/>
      <c r="I70" s="116"/>
      <c r="J70" s="116"/>
      <c r="K70" s="116"/>
      <c r="L70" s="116"/>
      <c r="M70" s="116"/>
      <c r="N70" s="116"/>
      <c r="O70" s="116"/>
      <c r="P70" s="116"/>
      <c r="Q70" s="116"/>
      <c r="R70" s="116"/>
      <c r="S70" s="116"/>
      <c r="T70" s="116"/>
      <c r="U70" s="116"/>
    </row>
    <row r="71" spans="1:21" x14ac:dyDescent="0.25">
      <c r="A71" s="80">
        <v>60</v>
      </c>
      <c r="B71" s="116">
        <v>366.5</v>
      </c>
      <c r="C71" s="116">
        <v>187.5</v>
      </c>
      <c r="D71" s="116">
        <v>127.8</v>
      </c>
      <c r="E71" s="116">
        <v>98.1</v>
      </c>
      <c r="F71" s="116">
        <v>80.3</v>
      </c>
      <c r="G71" s="116"/>
      <c r="H71" s="116"/>
      <c r="I71" s="116"/>
      <c r="J71" s="116"/>
      <c r="K71" s="116"/>
      <c r="L71" s="116"/>
      <c r="M71" s="116"/>
      <c r="N71" s="116"/>
      <c r="O71" s="116"/>
      <c r="P71" s="116"/>
      <c r="Q71" s="116"/>
      <c r="R71" s="116"/>
      <c r="S71" s="116"/>
      <c r="T71" s="116"/>
      <c r="U71" s="116"/>
    </row>
    <row r="72" spans="1:21" x14ac:dyDescent="0.25">
      <c r="A72" s="80">
        <v>61</v>
      </c>
      <c r="B72" s="116">
        <v>372.7</v>
      </c>
      <c r="C72" s="116">
        <v>190.7</v>
      </c>
      <c r="D72" s="116">
        <v>130.1</v>
      </c>
      <c r="E72" s="116">
        <v>99.9</v>
      </c>
      <c r="F72" s="116"/>
      <c r="G72" s="116"/>
      <c r="H72" s="116"/>
      <c r="I72" s="116"/>
      <c r="J72" s="116"/>
      <c r="K72" s="116"/>
      <c r="L72" s="116"/>
      <c r="M72" s="116"/>
      <c r="N72" s="116"/>
      <c r="O72" s="116"/>
      <c r="P72" s="116"/>
      <c r="Q72" s="116"/>
      <c r="R72" s="116"/>
      <c r="S72" s="116"/>
      <c r="T72" s="116"/>
      <c r="U72" s="116"/>
    </row>
    <row r="73" spans="1:21" x14ac:dyDescent="0.25">
      <c r="A73" s="80">
        <v>62</v>
      </c>
      <c r="B73" s="116">
        <v>379.2</v>
      </c>
      <c r="C73" s="116">
        <v>194</v>
      </c>
      <c r="D73" s="116">
        <v>132.4</v>
      </c>
      <c r="E73" s="116"/>
      <c r="F73" s="116"/>
      <c r="G73" s="116"/>
      <c r="H73" s="116"/>
      <c r="I73" s="116"/>
      <c r="J73" s="116"/>
      <c r="K73" s="116"/>
      <c r="L73" s="116"/>
      <c r="M73" s="116"/>
      <c r="N73" s="116"/>
      <c r="O73" s="116"/>
      <c r="P73" s="116"/>
      <c r="Q73" s="116"/>
      <c r="R73" s="116"/>
      <c r="S73" s="116"/>
      <c r="T73" s="116"/>
      <c r="U73" s="116"/>
    </row>
    <row r="74" spans="1:21" x14ac:dyDescent="0.25">
      <c r="A74" s="80">
        <v>63</v>
      </c>
      <c r="B74" s="116">
        <v>385.9</v>
      </c>
      <c r="C74" s="116">
        <v>197.6</v>
      </c>
      <c r="D74" s="116"/>
      <c r="E74" s="116"/>
      <c r="F74" s="116"/>
      <c r="G74" s="116"/>
      <c r="H74" s="116"/>
      <c r="I74" s="116"/>
      <c r="J74" s="116"/>
      <c r="K74" s="116"/>
      <c r="L74" s="116"/>
      <c r="M74" s="116"/>
      <c r="N74" s="116"/>
      <c r="O74" s="116"/>
      <c r="P74" s="116"/>
      <c r="Q74" s="116"/>
      <c r="R74" s="116"/>
      <c r="S74" s="116"/>
      <c r="T74" s="116"/>
      <c r="U74" s="116"/>
    </row>
    <row r="75" spans="1:21" x14ac:dyDescent="0.25">
      <c r="A75" s="80">
        <v>64</v>
      </c>
      <c r="B75" s="116">
        <v>392.9</v>
      </c>
      <c r="C75" s="116"/>
      <c r="D75" s="116"/>
      <c r="E75" s="116"/>
      <c r="F75" s="116"/>
      <c r="G75" s="116"/>
      <c r="H75" s="116"/>
      <c r="I75" s="116"/>
      <c r="J75" s="116"/>
      <c r="K75" s="116"/>
      <c r="L75" s="116"/>
      <c r="M75" s="116"/>
      <c r="N75" s="116"/>
      <c r="O75" s="116"/>
      <c r="P75" s="116"/>
      <c r="Q75" s="116"/>
      <c r="R75" s="116"/>
      <c r="S75" s="116"/>
      <c r="T75" s="116"/>
      <c r="U75" s="116"/>
    </row>
  </sheetData>
  <sheetProtection algorithmName="SHA-512" hashValue="L16fLVL2DH+7MPUxbkiH74FimrcQ/XZ9C1kQrgOqCNly70xEZoaQpjeh5Y1sh81PMax032PgAeSw9aBice9Bxg==" saltValue="wbWEBwe7KMoQuq2oWRWs0A==" spinCount="100000" sheet="1" objects="1" scenarios="1"/>
  <conditionalFormatting sqref="A6:A21">
    <cfRule type="expression" dxfId="369" priority="9" stopIfTrue="1">
      <formula>MOD(ROW(),2)=0</formula>
    </cfRule>
    <cfRule type="expression" dxfId="368" priority="10" stopIfTrue="1">
      <formula>MOD(ROW(),2)&lt;&gt;0</formula>
    </cfRule>
  </conditionalFormatting>
  <conditionalFormatting sqref="A26:A75">
    <cfRule type="expression" dxfId="367" priority="11" stopIfTrue="1">
      <formula>MOD(ROW(),2)=0</formula>
    </cfRule>
    <cfRule type="expression" dxfId="366" priority="12" stopIfTrue="1">
      <formula>MOD(ROW(),2)&lt;&gt;0</formula>
    </cfRule>
  </conditionalFormatting>
  <conditionalFormatting sqref="B17:B21">
    <cfRule type="expression" dxfId="365" priority="1" stopIfTrue="1">
      <formula>MOD(ROW(),2)=0</formula>
    </cfRule>
    <cfRule type="expression" dxfId="364" priority="2" stopIfTrue="1">
      <formula>MOD(ROW(),2)&lt;&gt;0</formula>
    </cfRule>
  </conditionalFormatting>
  <conditionalFormatting sqref="B6:U21">
    <cfRule type="expression" dxfId="363" priority="17" stopIfTrue="1">
      <formula>MOD(ROW(),2)=0</formula>
    </cfRule>
    <cfRule type="expression" dxfId="362" priority="18" stopIfTrue="1">
      <formula>MOD(ROW(),2)&lt;&gt;0</formula>
    </cfRule>
  </conditionalFormatting>
  <conditionalFormatting sqref="B26:U75">
    <cfRule type="expression" dxfId="361" priority="13" stopIfTrue="1">
      <formula>MOD(ROW(),2)=0</formula>
    </cfRule>
    <cfRule type="expression" dxfId="360" priority="14" stopIfTrue="1">
      <formula>MOD(ROW(),2)&lt;&gt;0</formula>
    </cfRule>
  </conditionalFormatting>
  <hyperlinks>
    <hyperlink ref="B24" location="Assumptions!A1" display="Assumptions" xr:uid="{C11FB690-0A30-429E-88BC-178B3DB7F0E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F3F0-F703-4167-9553-DBEBEBB73184}">
  <sheetPr codeName="Sheet98"/>
  <dimension ref="A1:V178"/>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x-713</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73</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582</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0</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713</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583</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584</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185.2</v>
      </c>
      <c r="C27" s="116">
        <v>94.3</v>
      </c>
      <c r="D27" s="116">
        <v>64</v>
      </c>
      <c r="E27" s="116">
        <v>48.9</v>
      </c>
      <c r="F27" s="116">
        <v>39.799999999999997</v>
      </c>
      <c r="G27" s="116">
        <v>33.799999999999997</v>
      </c>
      <c r="H27" s="116">
        <v>29.5</v>
      </c>
      <c r="I27" s="116">
        <v>26.3</v>
      </c>
      <c r="J27" s="116">
        <v>23.7</v>
      </c>
      <c r="K27" s="116">
        <v>21.7</v>
      </c>
      <c r="L27" s="116">
        <v>20.100000000000001</v>
      </c>
      <c r="M27" s="116">
        <v>18.8</v>
      </c>
      <c r="N27" s="116">
        <v>17.600000000000001</v>
      </c>
      <c r="O27" s="116">
        <v>16.600000000000001</v>
      </c>
      <c r="P27" s="116">
        <v>15.8</v>
      </c>
      <c r="Q27" s="116">
        <v>15.1</v>
      </c>
      <c r="R27" s="116">
        <v>14.4</v>
      </c>
      <c r="S27" s="116">
        <v>13.8</v>
      </c>
      <c r="T27" s="116">
        <v>13.3</v>
      </c>
      <c r="U27" s="116">
        <v>12.9</v>
      </c>
    </row>
    <row r="28" spans="1:21" x14ac:dyDescent="0.25">
      <c r="A28" s="80">
        <v>17</v>
      </c>
      <c r="B28" s="116">
        <v>187.9</v>
      </c>
      <c r="C28" s="116">
        <v>95.7</v>
      </c>
      <c r="D28" s="116">
        <v>65</v>
      </c>
      <c r="E28" s="116">
        <v>49.6</v>
      </c>
      <c r="F28" s="116">
        <v>40.4</v>
      </c>
      <c r="G28" s="116">
        <v>34.299999999999997</v>
      </c>
      <c r="H28" s="116">
        <v>29.9</v>
      </c>
      <c r="I28" s="116">
        <v>26.6</v>
      </c>
      <c r="J28" s="116">
        <v>24.1</v>
      </c>
      <c r="K28" s="116">
        <v>22.1</v>
      </c>
      <c r="L28" s="116">
        <v>20.399999999999999</v>
      </c>
      <c r="M28" s="116">
        <v>19</v>
      </c>
      <c r="N28" s="116">
        <v>17.899999999999999</v>
      </c>
      <c r="O28" s="116">
        <v>16.899999999999999</v>
      </c>
      <c r="P28" s="116">
        <v>16</v>
      </c>
      <c r="Q28" s="116">
        <v>15.3</v>
      </c>
      <c r="R28" s="116">
        <v>14.6</v>
      </c>
      <c r="S28" s="116">
        <v>14</v>
      </c>
      <c r="T28" s="116">
        <v>13.5</v>
      </c>
      <c r="U28" s="116">
        <v>13.1</v>
      </c>
    </row>
    <row r="29" spans="1:21" x14ac:dyDescent="0.25">
      <c r="A29" s="80">
        <v>18</v>
      </c>
      <c r="B29" s="116">
        <v>190.7</v>
      </c>
      <c r="C29" s="116">
        <v>97.1</v>
      </c>
      <c r="D29" s="116">
        <v>65.900000000000006</v>
      </c>
      <c r="E29" s="116">
        <v>50.3</v>
      </c>
      <c r="F29" s="116">
        <v>41</v>
      </c>
      <c r="G29" s="116">
        <v>34.799999999999997</v>
      </c>
      <c r="H29" s="116">
        <v>30.4</v>
      </c>
      <c r="I29" s="116">
        <v>27</v>
      </c>
      <c r="J29" s="116">
        <v>24.5</v>
      </c>
      <c r="K29" s="116">
        <v>22.4</v>
      </c>
      <c r="L29" s="116">
        <v>20.7</v>
      </c>
      <c r="M29" s="116">
        <v>19.3</v>
      </c>
      <c r="N29" s="116">
        <v>18.100000000000001</v>
      </c>
      <c r="O29" s="116">
        <v>17.100000000000001</v>
      </c>
      <c r="P29" s="116">
        <v>16.3</v>
      </c>
      <c r="Q29" s="116">
        <v>15.5</v>
      </c>
      <c r="R29" s="116">
        <v>14.8</v>
      </c>
      <c r="S29" s="116">
        <v>14.2</v>
      </c>
      <c r="T29" s="116">
        <v>13.7</v>
      </c>
      <c r="U29" s="116">
        <v>13.3</v>
      </c>
    </row>
    <row r="30" spans="1:21" x14ac:dyDescent="0.25">
      <c r="A30" s="80">
        <v>19</v>
      </c>
      <c r="B30" s="116">
        <v>193.5</v>
      </c>
      <c r="C30" s="116">
        <v>98.5</v>
      </c>
      <c r="D30" s="116">
        <v>66.900000000000006</v>
      </c>
      <c r="E30" s="116">
        <v>51.1</v>
      </c>
      <c r="F30" s="116">
        <v>41.6</v>
      </c>
      <c r="G30" s="116">
        <v>35.299999999999997</v>
      </c>
      <c r="H30" s="116">
        <v>30.8</v>
      </c>
      <c r="I30" s="116">
        <v>27.4</v>
      </c>
      <c r="J30" s="116">
        <v>24.8</v>
      </c>
      <c r="K30" s="116">
        <v>22.7</v>
      </c>
      <c r="L30" s="116">
        <v>21</v>
      </c>
      <c r="M30" s="116">
        <v>19.600000000000001</v>
      </c>
      <c r="N30" s="116">
        <v>18.399999999999999</v>
      </c>
      <c r="O30" s="116">
        <v>17.399999999999999</v>
      </c>
      <c r="P30" s="116">
        <v>16.5</v>
      </c>
      <c r="Q30" s="116">
        <v>15.7</v>
      </c>
      <c r="R30" s="116">
        <v>15.1</v>
      </c>
      <c r="S30" s="116">
        <v>14.5</v>
      </c>
      <c r="T30" s="116">
        <v>13.9</v>
      </c>
      <c r="U30" s="116">
        <v>13.4</v>
      </c>
    </row>
    <row r="31" spans="1:21" x14ac:dyDescent="0.25">
      <c r="A31" s="80">
        <v>20</v>
      </c>
      <c r="B31" s="116">
        <v>196.3</v>
      </c>
      <c r="C31" s="116">
        <v>99.9</v>
      </c>
      <c r="D31" s="116">
        <v>67.900000000000006</v>
      </c>
      <c r="E31" s="116">
        <v>51.8</v>
      </c>
      <c r="F31" s="116">
        <v>42.2</v>
      </c>
      <c r="G31" s="116">
        <v>35.799999999999997</v>
      </c>
      <c r="H31" s="116">
        <v>31.2</v>
      </c>
      <c r="I31" s="116">
        <v>27.8</v>
      </c>
      <c r="J31" s="116">
        <v>25.2</v>
      </c>
      <c r="K31" s="116">
        <v>23.1</v>
      </c>
      <c r="L31" s="116">
        <v>21.3</v>
      </c>
      <c r="M31" s="116">
        <v>19.899999999999999</v>
      </c>
      <c r="N31" s="116">
        <v>18.7</v>
      </c>
      <c r="O31" s="116">
        <v>17.600000000000001</v>
      </c>
      <c r="P31" s="116">
        <v>16.7</v>
      </c>
      <c r="Q31" s="116">
        <v>16</v>
      </c>
      <c r="R31" s="116">
        <v>15.3</v>
      </c>
      <c r="S31" s="116">
        <v>14.7</v>
      </c>
      <c r="T31" s="116">
        <v>14.1</v>
      </c>
      <c r="U31" s="116">
        <v>13.6</v>
      </c>
    </row>
    <row r="32" spans="1:21" x14ac:dyDescent="0.25">
      <c r="A32" s="80">
        <v>21</v>
      </c>
      <c r="B32" s="116">
        <v>199.1</v>
      </c>
      <c r="C32" s="116">
        <v>101.4</v>
      </c>
      <c r="D32" s="116">
        <v>68.8</v>
      </c>
      <c r="E32" s="116">
        <v>52.6</v>
      </c>
      <c r="F32" s="116">
        <v>42.8</v>
      </c>
      <c r="G32" s="116">
        <v>36.299999999999997</v>
      </c>
      <c r="H32" s="116">
        <v>31.7</v>
      </c>
      <c r="I32" s="116">
        <v>28.2</v>
      </c>
      <c r="J32" s="116">
        <v>25.5</v>
      </c>
      <c r="K32" s="116">
        <v>23.4</v>
      </c>
      <c r="L32" s="116">
        <v>21.6</v>
      </c>
      <c r="M32" s="116">
        <v>20.2</v>
      </c>
      <c r="N32" s="116">
        <v>18.899999999999999</v>
      </c>
      <c r="O32" s="116">
        <v>17.899999999999999</v>
      </c>
      <c r="P32" s="116">
        <v>17</v>
      </c>
      <c r="Q32" s="116">
        <v>16.2</v>
      </c>
      <c r="R32" s="116">
        <v>15.5</v>
      </c>
      <c r="S32" s="116">
        <v>14.9</v>
      </c>
      <c r="T32" s="116">
        <v>14.3</v>
      </c>
      <c r="U32" s="116">
        <v>13.8</v>
      </c>
    </row>
    <row r="33" spans="1:21" x14ac:dyDescent="0.25">
      <c r="A33" s="80">
        <v>22</v>
      </c>
      <c r="B33" s="116">
        <v>202</v>
      </c>
      <c r="C33" s="116">
        <v>102.9</v>
      </c>
      <c r="D33" s="116">
        <v>69.8</v>
      </c>
      <c r="E33" s="116">
        <v>53.3</v>
      </c>
      <c r="F33" s="116">
        <v>43.4</v>
      </c>
      <c r="G33" s="116">
        <v>36.9</v>
      </c>
      <c r="H33" s="116">
        <v>32.200000000000003</v>
      </c>
      <c r="I33" s="116">
        <v>28.6</v>
      </c>
      <c r="J33" s="116">
        <v>25.9</v>
      </c>
      <c r="K33" s="116">
        <v>23.7</v>
      </c>
      <c r="L33" s="116">
        <v>21.9</v>
      </c>
      <c r="M33" s="116">
        <v>20.5</v>
      </c>
      <c r="N33" s="116">
        <v>19.2</v>
      </c>
      <c r="O33" s="116">
        <v>18.2</v>
      </c>
      <c r="P33" s="116">
        <v>17.2</v>
      </c>
      <c r="Q33" s="116">
        <v>16.399999999999999</v>
      </c>
      <c r="R33" s="116">
        <v>15.7</v>
      </c>
      <c r="S33" s="116">
        <v>15.1</v>
      </c>
      <c r="T33" s="116">
        <v>14.5</v>
      </c>
      <c r="U33" s="116">
        <v>14</v>
      </c>
    </row>
    <row r="34" spans="1:21" x14ac:dyDescent="0.25">
      <c r="A34" s="80">
        <v>23</v>
      </c>
      <c r="B34" s="116">
        <v>204.9</v>
      </c>
      <c r="C34" s="116">
        <v>104.3</v>
      </c>
      <c r="D34" s="116">
        <v>70.8</v>
      </c>
      <c r="E34" s="116">
        <v>54.1</v>
      </c>
      <c r="F34" s="116">
        <v>44.1</v>
      </c>
      <c r="G34" s="116">
        <v>37.4</v>
      </c>
      <c r="H34" s="116">
        <v>32.6</v>
      </c>
      <c r="I34" s="116">
        <v>29.1</v>
      </c>
      <c r="J34" s="116">
        <v>26.3</v>
      </c>
      <c r="K34" s="116">
        <v>24.1</v>
      </c>
      <c r="L34" s="116">
        <v>22.3</v>
      </c>
      <c r="M34" s="116">
        <v>20.8</v>
      </c>
      <c r="N34" s="116">
        <v>19.5</v>
      </c>
      <c r="O34" s="116">
        <v>18.399999999999999</v>
      </c>
      <c r="P34" s="116">
        <v>17.5</v>
      </c>
      <c r="Q34" s="116">
        <v>16.7</v>
      </c>
      <c r="R34" s="116">
        <v>16</v>
      </c>
      <c r="S34" s="116">
        <v>15.3</v>
      </c>
      <c r="T34" s="116">
        <v>14.8</v>
      </c>
      <c r="U34" s="116">
        <v>14.3</v>
      </c>
    </row>
    <row r="35" spans="1:21" x14ac:dyDescent="0.25">
      <c r="A35" s="80">
        <v>24</v>
      </c>
      <c r="B35" s="116">
        <v>207.8</v>
      </c>
      <c r="C35" s="116">
        <v>105.8</v>
      </c>
      <c r="D35" s="116">
        <v>71.900000000000006</v>
      </c>
      <c r="E35" s="116">
        <v>54.9</v>
      </c>
      <c r="F35" s="116">
        <v>44.7</v>
      </c>
      <c r="G35" s="116">
        <v>37.9</v>
      </c>
      <c r="H35" s="116">
        <v>33.1</v>
      </c>
      <c r="I35" s="116">
        <v>29.5</v>
      </c>
      <c r="J35" s="116">
        <v>26.7</v>
      </c>
      <c r="K35" s="116">
        <v>24.4</v>
      </c>
      <c r="L35" s="116">
        <v>22.6</v>
      </c>
      <c r="M35" s="116">
        <v>21.1</v>
      </c>
      <c r="N35" s="116">
        <v>19.8</v>
      </c>
      <c r="O35" s="116">
        <v>18.7</v>
      </c>
      <c r="P35" s="116">
        <v>17.7</v>
      </c>
      <c r="Q35" s="116">
        <v>16.899999999999999</v>
      </c>
      <c r="R35" s="116">
        <v>16.2</v>
      </c>
      <c r="S35" s="116">
        <v>15.5</v>
      </c>
      <c r="T35" s="116">
        <v>15</v>
      </c>
      <c r="U35" s="116">
        <v>14.5</v>
      </c>
    </row>
    <row r="36" spans="1:21" x14ac:dyDescent="0.25">
      <c r="A36" s="80">
        <v>25</v>
      </c>
      <c r="B36" s="116">
        <v>210.8</v>
      </c>
      <c r="C36" s="116">
        <v>107.4</v>
      </c>
      <c r="D36" s="116">
        <v>72.900000000000006</v>
      </c>
      <c r="E36" s="116">
        <v>55.7</v>
      </c>
      <c r="F36" s="116">
        <v>45.3</v>
      </c>
      <c r="G36" s="116">
        <v>38.5</v>
      </c>
      <c r="H36" s="116">
        <v>33.6</v>
      </c>
      <c r="I36" s="116">
        <v>29.9</v>
      </c>
      <c r="J36" s="116">
        <v>27</v>
      </c>
      <c r="K36" s="116">
        <v>24.8</v>
      </c>
      <c r="L36" s="116">
        <v>22.9</v>
      </c>
      <c r="M36" s="116">
        <v>21.4</v>
      </c>
      <c r="N36" s="116">
        <v>20.100000000000001</v>
      </c>
      <c r="O36" s="116">
        <v>19</v>
      </c>
      <c r="P36" s="116">
        <v>18</v>
      </c>
      <c r="Q36" s="116">
        <v>17.2</v>
      </c>
      <c r="R36" s="116">
        <v>16.399999999999999</v>
      </c>
      <c r="S36" s="116">
        <v>15.8</v>
      </c>
      <c r="T36" s="116">
        <v>15.2</v>
      </c>
      <c r="U36" s="116">
        <v>14.7</v>
      </c>
    </row>
    <row r="37" spans="1:21" x14ac:dyDescent="0.25">
      <c r="A37" s="80">
        <v>26</v>
      </c>
      <c r="B37" s="116">
        <v>213.8</v>
      </c>
      <c r="C37" s="116">
        <v>108.9</v>
      </c>
      <c r="D37" s="116">
        <v>73.900000000000006</v>
      </c>
      <c r="E37" s="116">
        <v>56.5</v>
      </c>
      <c r="F37" s="116">
        <v>46</v>
      </c>
      <c r="G37" s="116">
        <v>39</v>
      </c>
      <c r="H37" s="116">
        <v>34.1</v>
      </c>
      <c r="I37" s="116">
        <v>30.3</v>
      </c>
      <c r="J37" s="116">
        <v>27.4</v>
      </c>
      <c r="K37" s="116">
        <v>25.1</v>
      </c>
      <c r="L37" s="116">
        <v>23.2</v>
      </c>
      <c r="M37" s="116">
        <v>21.7</v>
      </c>
      <c r="N37" s="116">
        <v>20.399999999999999</v>
      </c>
      <c r="O37" s="116">
        <v>19.2</v>
      </c>
      <c r="P37" s="116">
        <v>18.3</v>
      </c>
      <c r="Q37" s="116">
        <v>17.399999999999999</v>
      </c>
      <c r="R37" s="116">
        <v>16.7</v>
      </c>
      <c r="S37" s="116">
        <v>16</v>
      </c>
      <c r="T37" s="116">
        <v>15.4</v>
      </c>
      <c r="U37" s="116">
        <v>14.9</v>
      </c>
    </row>
    <row r="38" spans="1:21" x14ac:dyDescent="0.25">
      <c r="A38" s="80">
        <v>27</v>
      </c>
      <c r="B38" s="116">
        <v>216.9</v>
      </c>
      <c r="C38" s="116">
        <v>110.5</v>
      </c>
      <c r="D38" s="116">
        <v>75</v>
      </c>
      <c r="E38" s="116">
        <v>57.3</v>
      </c>
      <c r="F38" s="116">
        <v>46.7</v>
      </c>
      <c r="G38" s="116">
        <v>39.6</v>
      </c>
      <c r="H38" s="116">
        <v>34.5</v>
      </c>
      <c r="I38" s="116">
        <v>30.8</v>
      </c>
      <c r="J38" s="116">
        <v>27.8</v>
      </c>
      <c r="K38" s="116">
        <v>25.5</v>
      </c>
      <c r="L38" s="116">
        <v>23.6</v>
      </c>
      <c r="M38" s="116">
        <v>22</v>
      </c>
      <c r="N38" s="116">
        <v>20.7</v>
      </c>
      <c r="O38" s="116">
        <v>19.5</v>
      </c>
      <c r="P38" s="116">
        <v>18.5</v>
      </c>
      <c r="Q38" s="116">
        <v>17.7</v>
      </c>
      <c r="R38" s="116">
        <v>16.899999999999999</v>
      </c>
      <c r="S38" s="116">
        <v>16.2</v>
      </c>
      <c r="T38" s="116">
        <v>15.6</v>
      </c>
      <c r="U38" s="116">
        <v>15.1</v>
      </c>
    </row>
    <row r="39" spans="1:21" x14ac:dyDescent="0.25">
      <c r="A39" s="80">
        <v>28</v>
      </c>
      <c r="B39" s="116">
        <v>220</v>
      </c>
      <c r="C39" s="116">
        <v>112</v>
      </c>
      <c r="D39" s="116">
        <v>76.099999999999994</v>
      </c>
      <c r="E39" s="116">
        <v>58.1</v>
      </c>
      <c r="F39" s="116">
        <v>47.3</v>
      </c>
      <c r="G39" s="116">
        <v>40.200000000000003</v>
      </c>
      <c r="H39" s="116">
        <v>35</v>
      </c>
      <c r="I39" s="116">
        <v>31.2</v>
      </c>
      <c r="J39" s="116">
        <v>28.2</v>
      </c>
      <c r="K39" s="116">
        <v>25.9</v>
      </c>
      <c r="L39" s="116">
        <v>23.9</v>
      </c>
      <c r="M39" s="116">
        <v>22.3</v>
      </c>
      <c r="N39" s="116">
        <v>21</v>
      </c>
      <c r="O39" s="116">
        <v>19.8</v>
      </c>
      <c r="P39" s="116">
        <v>18.8</v>
      </c>
      <c r="Q39" s="116">
        <v>17.899999999999999</v>
      </c>
      <c r="R39" s="116">
        <v>17.2</v>
      </c>
      <c r="S39" s="116">
        <v>16.5</v>
      </c>
      <c r="T39" s="116">
        <v>15.9</v>
      </c>
      <c r="U39" s="116">
        <v>15.3</v>
      </c>
    </row>
    <row r="40" spans="1:21" x14ac:dyDescent="0.25">
      <c r="A40" s="80">
        <v>29</v>
      </c>
      <c r="B40" s="116">
        <v>223.2</v>
      </c>
      <c r="C40" s="116">
        <v>113.6</v>
      </c>
      <c r="D40" s="116">
        <v>77.2</v>
      </c>
      <c r="E40" s="116">
        <v>58.9</v>
      </c>
      <c r="F40" s="116">
        <v>48</v>
      </c>
      <c r="G40" s="116">
        <v>40.700000000000003</v>
      </c>
      <c r="H40" s="116">
        <v>35.5</v>
      </c>
      <c r="I40" s="116">
        <v>31.7</v>
      </c>
      <c r="J40" s="116">
        <v>28.6</v>
      </c>
      <c r="K40" s="116">
        <v>26.2</v>
      </c>
      <c r="L40" s="116">
        <v>24.3</v>
      </c>
      <c r="M40" s="116">
        <v>22.6</v>
      </c>
      <c r="N40" s="116">
        <v>21.3</v>
      </c>
      <c r="O40" s="116">
        <v>20.100000000000001</v>
      </c>
      <c r="P40" s="116">
        <v>19.100000000000001</v>
      </c>
      <c r="Q40" s="116">
        <v>18.2</v>
      </c>
      <c r="R40" s="116">
        <v>17.399999999999999</v>
      </c>
      <c r="S40" s="116">
        <v>16.7</v>
      </c>
      <c r="T40" s="116">
        <v>16.100000000000001</v>
      </c>
      <c r="U40" s="116">
        <v>15.6</v>
      </c>
    </row>
    <row r="41" spans="1:21" x14ac:dyDescent="0.25">
      <c r="A41" s="80">
        <v>30</v>
      </c>
      <c r="B41" s="116">
        <v>226.3</v>
      </c>
      <c r="C41" s="116">
        <v>115.3</v>
      </c>
      <c r="D41" s="116">
        <v>78.3</v>
      </c>
      <c r="E41" s="116">
        <v>59.8</v>
      </c>
      <c r="F41" s="116">
        <v>48.7</v>
      </c>
      <c r="G41" s="116">
        <v>41.3</v>
      </c>
      <c r="H41" s="116">
        <v>36.1</v>
      </c>
      <c r="I41" s="116">
        <v>32.1</v>
      </c>
      <c r="J41" s="116">
        <v>29.1</v>
      </c>
      <c r="K41" s="116">
        <v>26.6</v>
      </c>
      <c r="L41" s="116">
        <v>24.6</v>
      </c>
      <c r="M41" s="116">
        <v>23</v>
      </c>
      <c r="N41" s="116">
        <v>21.6</v>
      </c>
      <c r="O41" s="116">
        <v>20.399999999999999</v>
      </c>
      <c r="P41" s="116">
        <v>19.399999999999999</v>
      </c>
      <c r="Q41" s="116">
        <v>18.5</v>
      </c>
      <c r="R41" s="116">
        <v>17.7</v>
      </c>
      <c r="S41" s="116">
        <v>17</v>
      </c>
      <c r="T41" s="116">
        <v>16.3</v>
      </c>
      <c r="U41" s="116">
        <v>15.8</v>
      </c>
    </row>
    <row r="42" spans="1:21" x14ac:dyDescent="0.25">
      <c r="A42" s="80">
        <v>31</v>
      </c>
      <c r="B42" s="116">
        <v>229.6</v>
      </c>
      <c r="C42" s="116">
        <v>116.9</v>
      </c>
      <c r="D42" s="116">
        <v>79.400000000000006</v>
      </c>
      <c r="E42" s="116">
        <v>60.6</v>
      </c>
      <c r="F42" s="116">
        <v>49.4</v>
      </c>
      <c r="G42" s="116">
        <v>41.9</v>
      </c>
      <c r="H42" s="116">
        <v>36.6</v>
      </c>
      <c r="I42" s="116">
        <v>32.6</v>
      </c>
      <c r="J42" s="116">
        <v>29.5</v>
      </c>
      <c r="K42" s="116">
        <v>27</v>
      </c>
      <c r="L42" s="116">
        <v>25</v>
      </c>
      <c r="M42" s="116">
        <v>23.3</v>
      </c>
      <c r="N42" s="116">
        <v>21.9</v>
      </c>
      <c r="O42" s="116">
        <v>20.7</v>
      </c>
      <c r="P42" s="116">
        <v>19.600000000000001</v>
      </c>
      <c r="Q42" s="116">
        <v>18.7</v>
      </c>
      <c r="R42" s="116">
        <v>17.899999999999999</v>
      </c>
      <c r="S42" s="116">
        <v>17.2</v>
      </c>
      <c r="T42" s="116">
        <v>16.600000000000001</v>
      </c>
      <c r="U42" s="116">
        <v>16</v>
      </c>
    </row>
    <row r="43" spans="1:21" x14ac:dyDescent="0.25">
      <c r="A43" s="80">
        <v>32</v>
      </c>
      <c r="B43" s="116">
        <v>232.8</v>
      </c>
      <c r="C43" s="116">
        <v>118.6</v>
      </c>
      <c r="D43" s="116">
        <v>80.5</v>
      </c>
      <c r="E43" s="116">
        <v>61.5</v>
      </c>
      <c r="F43" s="116">
        <v>50.1</v>
      </c>
      <c r="G43" s="116">
        <v>42.5</v>
      </c>
      <c r="H43" s="116">
        <v>37.1</v>
      </c>
      <c r="I43" s="116">
        <v>33.1</v>
      </c>
      <c r="J43" s="116">
        <v>29.9</v>
      </c>
      <c r="K43" s="116">
        <v>27.4</v>
      </c>
      <c r="L43" s="116">
        <v>25.3</v>
      </c>
      <c r="M43" s="116">
        <v>23.6</v>
      </c>
      <c r="N43" s="116">
        <v>22.2</v>
      </c>
      <c r="O43" s="116">
        <v>21</v>
      </c>
      <c r="P43" s="116">
        <v>19.899999999999999</v>
      </c>
      <c r="Q43" s="116">
        <v>19</v>
      </c>
      <c r="R43" s="116">
        <v>18.2</v>
      </c>
      <c r="S43" s="116">
        <v>17.5</v>
      </c>
      <c r="T43" s="116">
        <v>16.8</v>
      </c>
      <c r="U43" s="116">
        <v>16.3</v>
      </c>
    </row>
    <row r="44" spans="1:21" x14ac:dyDescent="0.25">
      <c r="A44" s="80">
        <v>33</v>
      </c>
      <c r="B44" s="116">
        <v>236.2</v>
      </c>
      <c r="C44" s="116">
        <v>120.3</v>
      </c>
      <c r="D44" s="116">
        <v>81.7</v>
      </c>
      <c r="E44" s="116">
        <v>62.4</v>
      </c>
      <c r="F44" s="116">
        <v>50.8</v>
      </c>
      <c r="G44" s="116">
        <v>43.1</v>
      </c>
      <c r="H44" s="116">
        <v>37.6</v>
      </c>
      <c r="I44" s="116">
        <v>33.5</v>
      </c>
      <c r="J44" s="116">
        <v>30.3</v>
      </c>
      <c r="K44" s="116">
        <v>27.8</v>
      </c>
      <c r="L44" s="116">
        <v>25.7</v>
      </c>
      <c r="M44" s="116">
        <v>24</v>
      </c>
      <c r="N44" s="116">
        <v>22.5</v>
      </c>
      <c r="O44" s="116">
        <v>21.3</v>
      </c>
      <c r="P44" s="116">
        <v>20.2</v>
      </c>
      <c r="Q44" s="116">
        <v>19.3</v>
      </c>
      <c r="R44" s="116">
        <v>18.5</v>
      </c>
      <c r="S44" s="116">
        <v>17.7</v>
      </c>
      <c r="T44" s="116">
        <v>17.100000000000001</v>
      </c>
      <c r="U44" s="116">
        <v>16.5</v>
      </c>
    </row>
    <row r="45" spans="1:21" x14ac:dyDescent="0.25">
      <c r="A45" s="80">
        <v>34</v>
      </c>
      <c r="B45" s="116">
        <v>239.5</v>
      </c>
      <c r="C45" s="116">
        <v>122</v>
      </c>
      <c r="D45" s="116">
        <v>82.8</v>
      </c>
      <c r="E45" s="116">
        <v>63.3</v>
      </c>
      <c r="F45" s="116">
        <v>51.6</v>
      </c>
      <c r="G45" s="116">
        <v>43.7</v>
      </c>
      <c r="H45" s="116">
        <v>38.200000000000003</v>
      </c>
      <c r="I45" s="116">
        <v>34</v>
      </c>
      <c r="J45" s="116">
        <v>30.8</v>
      </c>
      <c r="K45" s="116">
        <v>28.2</v>
      </c>
      <c r="L45" s="116">
        <v>26.1</v>
      </c>
      <c r="M45" s="116">
        <v>24.3</v>
      </c>
      <c r="N45" s="116">
        <v>22.9</v>
      </c>
      <c r="O45" s="116">
        <v>21.6</v>
      </c>
      <c r="P45" s="116">
        <v>20.5</v>
      </c>
      <c r="Q45" s="116">
        <v>19.600000000000001</v>
      </c>
      <c r="R45" s="116">
        <v>18.7</v>
      </c>
      <c r="S45" s="116">
        <v>18</v>
      </c>
      <c r="T45" s="116">
        <v>17.3</v>
      </c>
      <c r="U45" s="116">
        <v>16.8</v>
      </c>
    </row>
    <row r="46" spans="1:21" x14ac:dyDescent="0.25">
      <c r="A46" s="80">
        <v>35</v>
      </c>
      <c r="B46" s="116">
        <v>242.9</v>
      </c>
      <c r="C46" s="116">
        <v>123.7</v>
      </c>
      <c r="D46" s="116">
        <v>84</v>
      </c>
      <c r="E46" s="116">
        <v>64.2</v>
      </c>
      <c r="F46" s="116">
        <v>52.3</v>
      </c>
      <c r="G46" s="116">
        <v>44.4</v>
      </c>
      <c r="H46" s="116">
        <v>38.700000000000003</v>
      </c>
      <c r="I46" s="116">
        <v>34.5</v>
      </c>
      <c r="J46" s="116">
        <v>31.2</v>
      </c>
      <c r="K46" s="116">
        <v>28.6</v>
      </c>
      <c r="L46" s="116">
        <v>26.5</v>
      </c>
      <c r="M46" s="116">
        <v>24.7</v>
      </c>
      <c r="N46" s="116">
        <v>23.2</v>
      </c>
      <c r="O46" s="116">
        <v>21.9</v>
      </c>
      <c r="P46" s="116">
        <v>20.8</v>
      </c>
      <c r="Q46" s="116">
        <v>19.899999999999999</v>
      </c>
      <c r="R46" s="116">
        <v>19</v>
      </c>
      <c r="S46" s="116">
        <v>18.3</v>
      </c>
      <c r="T46" s="116">
        <v>17.600000000000001</v>
      </c>
      <c r="U46" s="116">
        <v>17</v>
      </c>
    </row>
    <row r="47" spans="1:21" x14ac:dyDescent="0.25">
      <c r="A47" s="80">
        <v>36</v>
      </c>
      <c r="B47" s="116">
        <v>246.3</v>
      </c>
      <c r="C47" s="116">
        <v>125.5</v>
      </c>
      <c r="D47" s="116">
        <v>85.2</v>
      </c>
      <c r="E47" s="116">
        <v>65.099999999999994</v>
      </c>
      <c r="F47" s="116">
        <v>53</v>
      </c>
      <c r="G47" s="116">
        <v>45</v>
      </c>
      <c r="H47" s="116">
        <v>39.299999999999997</v>
      </c>
      <c r="I47" s="116">
        <v>35</v>
      </c>
      <c r="J47" s="116">
        <v>31.7</v>
      </c>
      <c r="K47" s="116">
        <v>29</v>
      </c>
      <c r="L47" s="116">
        <v>26.9</v>
      </c>
      <c r="M47" s="116">
        <v>25.1</v>
      </c>
      <c r="N47" s="116">
        <v>23.5</v>
      </c>
      <c r="O47" s="116">
        <v>22.2</v>
      </c>
      <c r="P47" s="116">
        <v>21.1</v>
      </c>
      <c r="Q47" s="116">
        <v>20.100000000000001</v>
      </c>
      <c r="R47" s="116">
        <v>19.3</v>
      </c>
      <c r="S47" s="116">
        <v>18.5</v>
      </c>
      <c r="T47" s="116">
        <v>17.899999999999999</v>
      </c>
      <c r="U47" s="116">
        <v>17.3</v>
      </c>
    </row>
    <row r="48" spans="1:21" x14ac:dyDescent="0.25">
      <c r="A48" s="80">
        <v>37</v>
      </c>
      <c r="B48" s="116">
        <v>249.8</v>
      </c>
      <c r="C48" s="116">
        <v>127.3</v>
      </c>
      <c r="D48" s="116">
        <v>86.4</v>
      </c>
      <c r="E48" s="116">
        <v>66</v>
      </c>
      <c r="F48" s="116">
        <v>53.8</v>
      </c>
      <c r="G48" s="116">
        <v>45.7</v>
      </c>
      <c r="H48" s="116">
        <v>39.799999999999997</v>
      </c>
      <c r="I48" s="116">
        <v>35.5</v>
      </c>
      <c r="J48" s="116">
        <v>32.1</v>
      </c>
      <c r="K48" s="116">
        <v>29.4</v>
      </c>
      <c r="L48" s="116">
        <v>27.2</v>
      </c>
      <c r="M48" s="116">
        <v>25.4</v>
      </c>
      <c r="N48" s="116">
        <v>23.9</v>
      </c>
      <c r="O48" s="116">
        <v>22.6</v>
      </c>
      <c r="P48" s="116">
        <v>21.4</v>
      </c>
      <c r="Q48" s="116">
        <v>20.399999999999999</v>
      </c>
      <c r="R48" s="116">
        <v>19.600000000000001</v>
      </c>
      <c r="S48" s="116">
        <v>18.8</v>
      </c>
      <c r="T48" s="116">
        <v>18.100000000000001</v>
      </c>
      <c r="U48" s="116">
        <v>17.5</v>
      </c>
    </row>
    <row r="49" spans="1:21" x14ac:dyDescent="0.25">
      <c r="A49" s="80">
        <v>38</v>
      </c>
      <c r="B49" s="116">
        <v>253.4</v>
      </c>
      <c r="C49" s="116">
        <v>129.1</v>
      </c>
      <c r="D49" s="116">
        <v>87.6</v>
      </c>
      <c r="E49" s="116">
        <v>67</v>
      </c>
      <c r="F49" s="116">
        <v>54.6</v>
      </c>
      <c r="G49" s="116">
        <v>46.3</v>
      </c>
      <c r="H49" s="116">
        <v>40.4</v>
      </c>
      <c r="I49" s="116">
        <v>36</v>
      </c>
      <c r="J49" s="116">
        <v>32.6</v>
      </c>
      <c r="K49" s="116">
        <v>29.9</v>
      </c>
      <c r="L49" s="116">
        <v>27.6</v>
      </c>
      <c r="M49" s="116">
        <v>25.8</v>
      </c>
      <c r="N49" s="116">
        <v>24.2</v>
      </c>
      <c r="O49" s="116">
        <v>22.9</v>
      </c>
      <c r="P49" s="116">
        <v>21.8</v>
      </c>
      <c r="Q49" s="116">
        <v>20.8</v>
      </c>
      <c r="R49" s="116">
        <v>19.899999999999999</v>
      </c>
      <c r="S49" s="116">
        <v>19.100000000000001</v>
      </c>
      <c r="T49" s="116">
        <v>18.399999999999999</v>
      </c>
      <c r="U49" s="116">
        <v>17.8</v>
      </c>
    </row>
    <row r="50" spans="1:21" x14ac:dyDescent="0.25">
      <c r="A50" s="80">
        <v>39</v>
      </c>
      <c r="B50" s="116">
        <v>256.89999999999998</v>
      </c>
      <c r="C50" s="116">
        <v>130.9</v>
      </c>
      <c r="D50" s="116">
        <v>88.9</v>
      </c>
      <c r="E50" s="116">
        <v>67.900000000000006</v>
      </c>
      <c r="F50" s="116">
        <v>55.3</v>
      </c>
      <c r="G50" s="116">
        <v>47</v>
      </c>
      <c r="H50" s="116">
        <v>41</v>
      </c>
      <c r="I50" s="116">
        <v>36.5</v>
      </c>
      <c r="J50" s="116">
        <v>33.1</v>
      </c>
      <c r="K50" s="116">
        <v>30.3</v>
      </c>
      <c r="L50" s="116">
        <v>28</v>
      </c>
      <c r="M50" s="116">
        <v>26.2</v>
      </c>
      <c r="N50" s="116">
        <v>24.6</v>
      </c>
      <c r="O50" s="116">
        <v>23.2</v>
      </c>
      <c r="P50" s="116">
        <v>22.1</v>
      </c>
      <c r="Q50" s="116">
        <v>21.1</v>
      </c>
      <c r="R50" s="116">
        <v>20.2</v>
      </c>
      <c r="S50" s="116">
        <v>19.399999999999999</v>
      </c>
      <c r="T50" s="116">
        <v>18.7</v>
      </c>
      <c r="U50" s="116">
        <v>18.100000000000001</v>
      </c>
    </row>
    <row r="51" spans="1:21" x14ac:dyDescent="0.25">
      <c r="A51" s="80">
        <v>40</v>
      </c>
      <c r="B51" s="116">
        <v>260.60000000000002</v>
      </c>
      <c r="C51" s="116">
        <v>132.69999999999999</v>
      </c>
      <c r="D51" s="116">
        <v>90.2</v>
      </c>
      <c r="E51" s="116">
        <v>68.900000000000006</v>
      </c>
      <c r="F51" s="116">
        <v>56.1</v>
      </c>
      <c r="G51" s="116">
        <v>47.7</v>
      </c>
      <c r="H51" s="116">
        <v>41.6</v>
      </c>
      <c r="I51" s="116">
        <v>37.1</v>
      </c>
      <c r="J51" s="116">
        <v>33.6</v>
      </c>
      <c r="K51" s="116">
        <v>30.7</v>
      </c>
      <c r="L51" s="116">
        <v>28.5</v>
      </c>
      <c r="M51" s="116">
        <v>26.6</v>
      </c>
      <c r="N51" s="116">
        <v>25</v>
      </c>
      <c r="O51" s="116">
        <v>23.6</v>
      </c>
      <c r="P51" s="116">
        <v>22.4</v>
      </c>
      <c r="Q51" s="116">
        <v>21.4</v>
      </c>
      <c r="R51" s="116">
        <v>20.5</v>
      </c>
      <c r="S51" s="116">
        <v>19.7</v>
      </c>
      <c r="T51" s="116">
        <v>19</v>
      </c>
      <c r="U51" s="116">
        <v>18.399999999999999</v>
      </c>
    </row>
    <row r="52" spans="1:21" x14ac:dyDescent="0.25">
      <c r="A52" s="80">
        <v>41</v>
      </c>
      <c r="B52" s="116">
        <v>264.3</v>
      </c>
      <c r="C52" s="116">
        <v>134.6</v>
      </c>
      <c r="D52" s="116">
        <v>91.5</v>
      </c>
      <c r="E52" s="116">
        <v>69.900000000000006</v>
      </c>
      <c r="F52" s="116">
        <v>56.9</v>
      </c>
      <c r="G52" s="116">
        <v>48.3</v>
      </c>
      <c r="H52" s="116">
        <v>42.2</v>
      </c>
      <c r="I52" s="116">
        <v>37.6</v>
      </c>
      <c r="J52" s="116">
        <v>34</v>
      </c>
      <c r="K52" s="116">
        <v>31.2</v>
      </c>
      <c r="L52" s="116">
        <v>28.9</v>
      </c>
      <c r="M52" s="116">
        <v>27</v>
      </c>
      <c r="N52" s="116">
        <v>25.3</v>
      </c>
      <c r="O52" s="116">
        <v>24</v>
      </c>
      <c r="P52" s="116">
        <v>22.8</v>
      </c>
      <c r="Q52" s="116">
        <v>21.7</v>
      </c>
      <c r="R52" s="116">
        <v>20.8</v>
      </c>
      <c r="S52" s="116">
        <v>20</v>
      </c>
      <c r="T52" s="116">
        <v>19.3</v>
      </c>
      <c r="U52" s="116">
        <v>18.7</v>
      </c>
    </row>
    <row r="53" spans="1:21" x14ac:dyDescent="0.25">
      <c r="A53" s="80">
        <v>42</v>
      </c>
      <c r="B53" s="116">
        <v>268</v>
      </c>
      <c r="C53" s="116">
        <v>136.5</v>
      </c>
      <c r="D53" s="116">
        <v>92.8</v>
      </c>
      <c r="E53" s="116">
        <v>70.900000000000006</v>
      </c>
      <c r="F53" s="116">
        <v>57.8</v>
      </c>
      <c r="G53" s="116">
        <v>49</v>
      </c>
      <c r="H53" s="116">
        <v>42.8</v>
      </c>
      <c r="I53" s="116">
        <v>38.200000000000003</v>
      </c>
      <c r="J53" s="116">
        <v>34.5</v>
      </c>
      <c r="K53" s="116">
        <v>31.7</v>
      </c>
      <c r="L53" s="116">
        <v>29.3</v>
      </c>
      <c r="M53" s="116">
        <v>27.4</v>
      </c>
      <c r="N53" s="116">
        <v>25.7</v>
      </c>
      <c r="O53" s="116">
        <v>24.3</v>
      </c>
      <c r="P53" s="116">
        <v>23.1</v>
      </c>
      <c r="Q53" s="116">
        <v>22.1</v>
      </c>
      <c r="R53" s="116">
        <v>21.1</v>
      </c>
      <c r="S53" s="116">
        <v>20.3</v>
      </c>
      <c r="T53" s="116">
        <v>19.600000000000001</v>
      </c>
      <c r="U53" s="116">
        <v>19</v>
      </c>
    </row>
    <row r="54" spans="1:21" x14ac:dyDescent="0.25">
      <c r="A54" s="80">
        <v>43</v>
      </c>
      <c r="B54" s="116">
        <v>271.8</v>
      </c>
      <c r="C54" s="116">
        <v>138.5</v>
      </c>
      <c r="D54" s="116">
        <v>94.1</v>
      </c>
      <c r="E54" s="116">
        <v>71.900000000000006</v>
      </c>
      <c r="F54" s="116">
        <v>58.6</v>
      </c>
      <c r="G54" s="116">
        <v>49.7</v>
      </c>
      <c r="H54" s="116">
        <v>43.4</v>
      </c>
      <c r="I54" s="116">
        <v>38.700000000000003</v>
      </c>
      <c r="J54" s="116">
        <v>35</v>
      </c>
      <c r="K54" s="116">
        <v>32.1</v>
      </c>
      <c r="L54" s="116">
        <v>29.7</v>
      </c>
      <c r="M54" s="116">
        <v>27.8</v>
      </c>
      <c r="N54" s="116">
        <v>26.1</v>
      </c>
      <c r="O54" s="116">
        <v>24.7</v>
      </c>
      <c r="P54" s="116">
        <v>23.5</v>
      </c>
      <c r="Q54" s="116">
        <v>22.4</v>
      </c>
      <c r="R54" s="116">
        <v>21.5</v>
      </c>
      <c r="S54" s="116">
        <v>20.7</v>
      </c>
      <c r="T54" s="116">
        <v>19.899999999999999</v>
      </c>
      <c r="U54" s="116">
        <v>19.3</v>
      </c>
    </row>
    <row r="55" spans="1:21" x14ac:dyDescent="0.25">
      <c r="A55" s="80">
        <v>44</v>
      </c>
      <c r="B55" s="116">
        <v>275.60000000000002</v>
      </c>
      <c r="C55" s="116">
        <v>140.4</v>
      </c>
      <c r="D55" s="116">
        <v>95.4</v>
      </c>
      <c r="E55" s="116">
        <v>72.900000000000006</v>
      </c>
      <c r="F55" s="116">
        <v>59.4</v>
      </c>
      <c r="G55" s="116">
        <v>50.5</v>
      </c>
      <c r="H55" s="116">
        <v>44.1</v>
      </c>
      <c r="I55" s="116">
        <v>39.299999999999997</v>
      </c>
      <c r="J55" s="116">
        <v>35.6</v>
      </c>
      <c r="K55" s="116">
        <v>32.6</v>
      </c>
      <c r="L55" s="116">
        <v>30.2</v>
      </c>
      <c r="M55" s="116">
        <v>28.2</v>
      </c>
      <c r="N55" s="116">
        <v>26.5</v>
      </c>
      <c r="O55" s="116">
        <v>25.1</v>
      </c>
      <c r="P55" s="116">
        <v>23.8</v>
      </c>
      <c r="Q55" s="116">
        <v>22.8</v>
      </c>
      <c r="R55" s="116">
        <v>21.8</v>
      </c>
      <c r="S55" s="116">
        <v>21</v>
      </c>
      <c r="T55" s="116">
        <v>20.3</v>
      </c>
      <c r="U55" s="116">
        <v>19.600000000000001</v>
      </c>
    </row>
    <row r="56" spans="1:21" x14ac:dyDescent="0.25">
      <c r="A56" s="80">
        <v>45</v>
      </c>
      <c r="B56" s="116">
        <v>279.5</v>
      </c>
      <c r="C56" s="116">
        <v>142.4</v>
      </c>
      <c r="D56" s="116">
        <v>96.8</v>
      </c>
      <c r="E56" s="116">
        <v>74</v>
      </c>
      <c r="F56" s="116">
        <v>60.3</v>
      </c>
      <c r="G56" s="116">
        <v>51.2</v>
      </c>
      <c r="H56" s="116">
        <v>44.7</v>
      </c>
      <c r="I56" s="116">
        <v>39.9</v>
      </c>
      <c r="J56" s="116">
        <v>36.1</v>
      </c>
      <c r="K56" s="116">
        <v>33.1</v>
      </c>
      <c r="L56" s="116">
        <v>30.7</v>
      </c>
      <c r="M56" s="116">
        <v>28.6</v>
      </c>
      <c r="N56" s="116">
        <v>26.9</v>
      </c>
      <c r="O56" s="116">
        <v>25.5</v>
      </c>
      <c r="P56" s="116">
        <v>24.2</v>
      </c>
      <c r="Q56" s="116">
        <v>23.1</v>
      </c>
      <c r="R56" s="116">
        <v>22.2</v>
      </c>
      <c r="S56" s="116">
        <v>21.4</v>
      </c>
      <c r="T56" s="116">
        <v>20.6</v>
      </c>
      <c r="U56" s="116">
        <v>20</v>
      </c>
    </row>
    <row r="57" spans="1:21" x14ac:dyDescent="0.25">
      <c r="A57" s="80">
        <v>46</v>
      </c>
      <c r="B57" s="116">
        <v>283.5</v>
      </c>
      <c r="C57" s="116">
        <v>144.5</v>
      </c>
      <c r="D57" s="116">
        <v>98.2</v>
      </c>
      <c r="E57" s="116">
        <v>75</v>
      </c>
      <c r="F57" s="116">
        <v>61.2</v>
      </c>
      <c r="G57" s="116">
        <v>51.9</v>
      </c>
      <c r="H57" s="116">
        <v>45.4</v>
      </c>
      <c r="I57" s="116">
        <v>40.5</v>
      </c>
      <c r="J57" s="116">
        <v>36.6</v>
      </c>
      <c r="K57" s="116">
        <v>33.6</v>
      </c>
      <c r="L57" s="116">
        <v>31.1</v>
      </c>
      <c r="M57" s="116">
        <v>29.1</v>
      </c>
      <c r="N57" s="116">
        <v>27.4</v>
      </c>
      <c r="O57" s="116">
        <v>25.9</v>
      </c>
      <c r="P57" s="116">
        <v>24.6</v>
      </c>
      <c r="Q57" s="116">
        <v>23.5</v>
      </c>
      <c r="R57" s="116">
        <v>22.6</v>
      </c>
      <c r="S57" s="116">
        <v>21.7</v>
      </c>
      <c r="T57" s="116">
        <v>21</v>
      </c>
      <c r="U57" s="116">
        <v>20.3</v>
      </c>
    </row>
    <row r="58" spans="1:21" x14ac:dyDescent="0.25">
      <c r="A58" s="80">
        <v>47</v>
      </c>
      <c r="B58" s="116">
        <v>287.5</v>
      </c>
      <c r="C58" s="116">
        <v>146.5</v>
      </c>
      <c r="D58" s="116">
        <v>99.6</v>
      </c>
      <c r="E58" s="116">
        <v>76.099999999999994</v>
      </c>
      <c r="F58" s="116">
        <v>62.1</v>
      </c>
      <c r="G58" s="116">
        <v>52.7</v>
      </c>
      <c r="H58" s="116">
        <v>46</v>
      </c>
      <c r="I58" s="116">
        <v>41.1</v>
      </c>
      <c r="J58" s="116">
        <v>37.200000000000003</v>
      </c>
      <c r="K58" s="116">
        <v>34.1</v>
      </c>
      <c r="L58" s="116">
        <v>31.6</v>
      </c>
      <c r="M58" s="116">
        <v>29.6</v>
      </c>
      <c r="N58" s="116">
        <v>27.8</v>
      </c>
      <c r="O58" s="116">
        <v>26.3</v>
      </c>
      <c r="P58" s="116">
        <v>25</v>
      </c>
      <c r="Q58" s="116">
        <v>23.9</v>
      </c>
      <c r="R58" s="116">
        <v>23</v>
      </c>
      <c r="S58" s="116">
        <v>22.1</v>
      </c>
      <c r="T58" s="116">
        <v>21.4</v>
      </c>
      <c r="U58" s="116"/>
    </row>
    <row r="59" spans="1:21" x14ac:dyDescent="0.25">
      <c r="A59" s="80">
        <v>48</v>
      </c>
      <c r="B59" s="116">
        <v>291.60000000000002</v>
      </c>
      <c r="C59" s="116">
        <v>148.6</v>
      </c>
      <c r="D59" s="116">
        <v>101</v>
      </c>
      <c r="E59" s="116">
        <v>77.2</v>
      </c>
      <c r="F59" s="116">
        <v>63</v>
      </c>
      <c r="G59" s="116">
        <v>53.5</v>
      </c>
      <c r="H59" s="116">
        <v>46.8</v>
      </c>
      <c r="I59" s="116">
        <v>41.7</v>
      </c>
      <c r="J59" s="116">
        <v>37.799999999999997</v>
      </c>
      <c r="K59" s="116">
        <v>34.700000000000003</v>
      </c>
      <c r="L59" s="116">
        <v>32.1</v>
      </c>
      <c r="M59" s="116">
        <v>30</v>
      </c>
      <c r="N59" s="116">
        <v>28.3</v>
      </c>
      <c r="O59" s="116">
        <v>26.8</v>
      </c>
      <c r="P59" s="116">
        <v>25.5</v>
      </c>
      <c r="Q59" s="116">
        <v>24.4</v>
      </c>
      <c r="R59" s="116">
        <v>23.4</v>
      </c>
      <c r="S59" s="116">
        <v>22.5</v>
      </c>
      <c r="T59" s="116"/>
      <c r="U59" s="116"/>
    </row>
    <row r="60" spans="1:21" x14ac:dyDescent="0.25">
      <c r="A60" s="80">
        <v>49</v>
      </c>
      <c r="B60" s="116">
        <v>295.8</v>
      </c>
      <c r="C60" s="116">
        <v>150.80000000000001</v>
      </c>
      <c r="D60" s="116">
        <v>102.5</v>
      </c>
      <c r="E60" s="116">
        <v>78.400000000000006</v>
      </c>
      <c r="F60" s="116">
        <v>63.9</v>
      </c>
      <c r="G60" s="116">
        <v>54.3</v>
      </c>
      <c r="H60" s="116">
        <v>47.5</v>
      </c>
      <c r="I60" s="116">
        <v>42.4</v>
      </c>
      <c r="J60" s="116">
        <v>38.4</v>
      </c>
      <c r="K60" s="116">
        <v>35.200000000000003</v>
      </c>
      <c r="L60" s="116">
        <v>32.700000000000003</v>
      </c>
      <c r="M60" s="116">
        <v>30.5</v>
      </c>
      <c r="N60" s="116">
        <v>28.8</v>
      </c>
      <c r="O60" s="116">
        <v>27.2</v>
      </c>
      <c r="P60" s="116">
        <v>25.9</v>
      </c>
      <c r="Q60" s="116">
        <v>24.8</v>
      </c>
      <c r="R60" s="116">
        <v>23.8</v>
      </c>
      <c r="S60" s="116"/>
      <c r="T60" s="116"/>
      <c r="U60" s="116"/>
    </row>
    <row r="61" spans="1:21" x14ac:dyDescent="0.25">
      <c r="A61" s="80">
        <v>50</v>
      </c>
      <c r="B61" s="116">
        <v>300.10000000000002</v>
      </c>
      <c r="C61" s="116">
        <v>153</v>
      </c>
      <c r="D61" s="116">
        <v>104</v>
      </c>
      <c r="E61" s="116">
        <v>79.599999999999994</v>
      </c>
      <c r="F61" s="116">
        <v>64.900000000000006</v>
      </c>
      <c r="G61" s="116">
        <v>55.2</v>
      </c>
      <c r="H61" s="116">
        <v>48.2</v>
      </c>
      <c r="I61" s="116">
        <v>43.1</v>
      </c>
      <c r="J61" s="116">
        <v>39</v>
      </c>
      <c r="K61" s="116">
        <v>35.799999999999997</v>
      </c>
      <c r="L61" s="116">
        <v>33.200000000000003</v>
      </c>
      <c r="M61" s="116">
        <v>31.1</v>
      </c>
      <c r="N61" s="116">
        <v>29.3</v>
      </c>
      <c r="O61" s="116">
        <v>27.7</v>
      </c>
      <c r="P61" s="116">
        <v>26.4</v>
      </c>
      <c r="Q61" s="116">
        <v>25.2</v>
      </c>
      <c r="R61" s="116"/>
      <c r="S61" s="116"/>
      <c r="T61" s="116"/>
      <c r="U61" s="116"/>
    </row>
    <row r="62" spans="1:21" x14ac:dyDescent="0.25">
      <c r="A62" s="80">
        <v>51</v>
      </c>
      <c r="B62" s="116">
        <v>304.39999999999998</v>
      </c>
      <c r="C62" s="116">
        <v>155.30000000000001</v>
      </c>
      <c r="D62" s="116">
        <v>105.6</v>
      </c>
      <c r="E62" s="116">
        <v>80.8</v>
      </c>
      <c r="F62" s="116">
        <v>65.900000000000006</v>
      </c>
      <c r="G62" s="116">
        <v>56.1</v>
      </c>
      <c r="H62" s="116">
        <v>49</v>
      </c>
      <c r="I62" s="116">
        <v>43.8</v>
      </c>
      <c r="J62" s="116">
        <v>39.700000000000003</v>
      </c>
      <c r="K62" s="116">
        <v>36.4</v>
      </c>
      <c r="L62" s="116">
        <v>33.799999999999997</v>
      </c>
      <c r="M62" s="116">
        <v>31.6</v>
      </c>
      <c r="N62" s="116">
        <v>29.8</v>
      </c>
      <c r="O62" s="116">
        <v>28.2</v>
      </c>
      <c r="P62" s="116">
        <v>26.9</v>
      </c>
      <c r="Q62" s="116"/>
      <c r="R62" s="116"/>
      <c r="S62" s="116"/>
      <c r="T62" s="116"/>
      <c r="U62" s="116"/>
    </row>
    <row r="63" spans="1:21" x14ac:dyDescent="0.25">
      <c r="A63" s="80">
        <v>52</v>
      </c>
      <c r="B63" s="116">
        <v>308.89999999999998</v>
      </c>
      <c r="C63" s="116">
        <v>157.6</v>
      </c>
      <c r="D63" s="116">
        <v>107.2</v>
      </c>
      <c r="E63" s="116">
        <v>82</v>
      </c>
      <c r="F63" s="116">
        <v>67</v>
      </c>
      <c r="G63" s="116">
        <v>56.9</v>
      </c>
      <c r="H63" s="116">
        <v>49.8</v>
      </c>
      <c r="I63" s="116">
        <v>44.5</v>
      </c>
      <c r="J63" s="116">
        <v>40.4</v>
      </c>
      <c r="K63" s="116">
        <v>37.1</v>
      </c>
      <c r="L63" s="116">
        <v>34.4</v>
      </c>
      <c r="M63" s="116">
        <v>32.200000000000003</v>
      </c>
      <c r="N63" s="116">
        <v>30.3</v>
      </c>
      <c r="O63" s="116">
        <v>28.7</v>
      </c>
      <c r="P63" s="116"/>
      <c r="Q63" s="116"/>
      <c r="R63" s="116"/>
      <c r="S63" s="116"/>
      <c r="T63" s="116"/>
      <c r="U63" s="116"/>
    </row>
    <row r="64" spans="1:21" x14ac:dyDescent="0.25">
      <c r="A64" s="80">
        <v>53</v>
      </c>
      <c r="B64" s="116">
        <v>313.3</v>
      </c>
      <c r="C64" s="116">
        <v>159.9</v>
      </c>
      <c r="D64" s="116">
        <v>108.8</v>
      </c>
      <c r="E64" s="116">
        <v>83.3</v>
      </c>
      <c r="F64" s="116">
        <v>68</v>
      </c>
      <c r="G64" s="116">
        <v>57.9</v>
      </c>
      <c r="H64" s="116">
        <v>50.6</v>
      </c>
      <c r="I64" s="116">
        <v>45.2</v>
      </c>
      <c r="J64" s="116">
        <v>41</v>
      </c>
      <c r="K64" s="116">
        <v>37.700000000000003</v>
      </c>
      <c r="L64" s="116">
        <v>35</v>
      </c>
      <c r="M64" s="116">
        <v>32.700000000000003</v>
      </c>
      <c r="N64" s="116">
        <v>30.9</v>
      </c>
      <c r="O64" s="116"/>
      <c r="P64" s="116"/>
      <c r="Q64" s="116"/>
      <c r="R64" s="116"/>
      <c r="S64" s="116"/>
      <c r="T64" s="116"/>
      <c r="U64" s="116"/>
    </row>
    <row r="65" spans="1:21" x14ac:dyDescent="0.25">
      <c r="A65" s="80">
        <v>54</v>
      </c>
      <c r="B65" s="116">
        <v>317.89999999999998</v>
      </c>
      <c r="C65" s="116">
        <v>162.30000000000001</v>
      </c>
      <c r="D65" s="116">
        <v>110.4</v>
      </c>
      <c r="E65" s="116">
        <v>84.6</v>
      </c>
      <c r="F65" s="116">
        <v>69.099999999999994</v>
      </c>
      <c r="G65" s="116">
        <v>58.8</v>
      </c>
      <c r="H65" s="116">
        <v>51.4</v>
      </c>
      <c r="I65" s="116">
        <v>46</v>
      </c>
      <c r="J65" s="116">
        <v>41.7</v>
      </c>
      <c r="K65" s="116">
        <v>38.4</v>
      </c>
      <c r="L65" s="116">
        <v>35.6</v>
      </c>
      <c r="M65" s="116">
        <v>33.4</v>
      </c>
      <c r="N65" s="116"/>
      <c r="O65" s="116"/>
      <c r="P65" s="116"/>
      <c r="Q65" s="116"/>
      <c r="R65" s="116"/>
      <c r="S65" s="116"/>
      <c r="T65" s="116"/>
      <c r="U65" s="116"/>
    </row>
    <row r="66" spans="1:21" x14ac:dyDescent="0.25">
      <c r="A66" s="80">
        <v>55</v>
      </c>
      <c r="B66" s="116">
        <v>322.60000000000002</v>
      </c>
      <c r="C66" s="116">
        <v>164.7</v>
      </c>
      <c r="D66" s="116">
        <v>112.1</v>
      </c>
      <c r="E66" s="116">
        <v>85.9</v>
      </c>
      <c r="F66" s="116">
        <v>70.2</v>
      </c>
      <c r="G66" s="116">
        <v>59.7</v>
      </c>
      <c r="H66" s="116">
        <v>52.3</v>
      </c>
      <c r="I66" s="116">
        <v>46.7</v>
      </c>
      <c r="J66" s="116">
        <v>42.4</v>
      </c>
      <c r="K66" s="116">
        <v>39</v>
      </c>
      <c r="L66" s="116">
        <v>36.299999999999997</v>
      </c>
      <c r="M66" s="116"/>
      <c r="N66" s="116"/>
      <c r="O66" s="116"/>
      <c r="P66" s="116"/>
      <c r="Q66" s="116"/>
      <c r="R66" s="116"/>
      <c r="S66" s="116"/>
      <c r="T66" s="116"/>
      <c r="U66" s="116"/>
    </row>
    <row r="67" spans="1:21" x14ac:dyDescent="0.25">
      <c r="A67" s="80">
        <v>56</v>
      </c>
      <c r="B67" s="116">
        <v>327.39999999999998</v>
      </c>
      <c r="C67" s="116">
        <v>167.2</v>
      </c>
      <c r="D67" s="116">
        <v>113.9</v>
      </c>
      <c r="E67" s="116">
        <v>87.3</v>
      </c>
      <c r="F67" s="116">
        <v>71.3</v>
      </c>
      <c r="G67" s="116">
        <v>60.7</v>
      </c>
      <c r="H67" s="116">
        <v>53.2</v>
      </c>
      <c r="I67" s="116">
        <v>47.5</v>
      </c>
      <c r="J67" s="116">
        <v>43.2</v>
      </c>
      <c r="K67" s="116">
        <v>39.700000000000003</v>
      </c>
      <c r="L67" s="116"/>
      <c r="M67" s="116"/>
      <c r="N67" s="116"/>
      <c r="O67" s="116"/>
      <c r="P67" s="116"/>
      <c r="Q67" s="116"/>
      <c r="R67" s="116"/>
      <c r="S67" s="116"/>
      <c r="T67" s="116"/>
      <c r="U67" s="116"/>
    </row>
    <row r="68" spans="1:21" x14ac:dyDescent="0.25">
      <c r="A68" s="80">
        <v>57</v>
      </c>
      <c r="B68" s="116">
        <v>332.3</v>
      </c>
      <c r="C68" s="116">
        <v>169.8</v>
      </c>
      <c r="D68" s="116">
        <v>115.7</v>
      </c>
      <c r="E68" s="116">
        <v>88.7</v>
      </c>
      <c r="F68" s="116">
        <v>72.5</v>
      </c>
      <c r="G68" s="116">
        <v>61.7</v>
      </c>
      <c r="H68" s="116">
        <v>54.1</v>
      </c>
      <c r="I68" s="116">
        <v>48.4</v>
      </c>
      <c r="J68" s="116">
        <v>44</v>
      </c>
      <c r="K68" s="116"/>
      <c r="L68" s="116"/>
      <c r="M68" s="116"/>
      <c r="N68" s="116"/>
      <c r="O68" s="116"/>
      <c r="P68" s="116"/>
      <c r="Q68" s="116"/>
      <c r="R68" s="116"/>
      <c r="S68" s="116"/>
      <c r="T68" s="116"/>
      <c r="U68" s="116"/>
    </row>
    <row r="69" spans="1:21" x14ac:dyDescent="0.25">
      <c r="A69" s="80">
        <v>58</v>
      </c>
      <c r="B69" s="116">
        <v>337.4</v>
      </c>
      <c r="C69" s="116">
        <v>172.5</v>
      </c>
      <c r="D69" s="116">
        <v>117.5</v>
      </c>
      <c r="E69" s="116">
        <v>90.1</v>
      </c>
      <c r="F69" s="116">
        <v>73.7</v>
      </c>
      <c r="G69" s="116">
        <v>62.8</v>
      </c>
      <c r="H69" s="116">
        <v>55</v>
      </c>
      <c r="I69" s="116">
        <v>49.3</v>
      </c>
      <c r="J69" s="116"/>
      <c r="K69" s="116"/>
      <c r="L69" s="116"/>
      <c r="M69" s="116"/>
      <c r="N69" s="116"/>
      <c r="O69" s="116"/>
      <c r="P69" s="116"/>
      <c r="Q69" s="116"/>
      <c r="R69" s="116"/>
      <c r="S69" s="116"/>
      <c r="T69" s="116"/>
      <c r="U69" s="116"/>
    </row>
    <row r="70" spans="1:21" x14ac:dyDescent="0.25">
      <c r="A70" s="80">
        <v>59</v>
      </c>
      <c r="B70" s="116">
        <v>342.7</v>
      </c>
      <c r="C70" s="116">
        <v>175.2</v>
      </c>
      <c r="D70" s="116">
        <v>119.4</v>
      </c>
      <c r="E70" s="116">
        <v>91.6</v>
      </c>
      <c r="F70" s="116">
        <v>74.900000000000006</v>
      </c>
      <c r="G70" s="116">
        <v>63.9</v>
      </c>
      <c r="H70" s="116">
        <v>56</v>
      </c>
      <c r="I70" s="116"/>
      <c r="J70" s="116"/>
      <c r="K70" s="116"/>
      <c r="L70" s="116"/>
      <c r="M70" s="116"/>
      <c r="N70" s="116"/>
      <c r="O70" s="116"/>
      <c r="P70" s="116"/>
      <c r="Q70" s="116"/>
      <c r="R70" s="116"/>
      <c r="S70" s="116"/>
      <c r="T70" s="116"/>
      <c r="U70" s="116"/>
    </row>
    <row r="71" spans="1:21" x14ac:dyDescent="0.25">
      <c r="A71" s="80">
        <v>60</v>
      </c>
      <c r="B71" s="116">
        <v>348.2</v>
      </c>
      <c r="C71" s="116">
        <v>178.1</v>
      </c>
      <c r="D71" s="116">
        <v>121.4</v>
      </c>
      <c r="E71" s="116">
        <v>93.2</v>
      </c>
      <c r="F71" s="116">
        <v>76.2</v>
      </c>
      <c r="G71" s="116">
        <v>65</v>
      </c>
      <c r="H71" s="116"/>
      <c r="I71" s="116"/>
      <c r="J71" s="116"/>
      <c r="K71" s="116"/>
      <c r="L71" s="116"/>
      <c r="M71" s="116"/>
      <c r="N71" s="116"/>
      <c r="O71" s="116"/>
      <c r="P71" s="116"/>
      <c r="Q71" s="116"/>
      <c r="R71" s="116"/>
      <c r="S71" s="116"/>
      <c r="T71" s="116"/>
      <c r="U71" s="116"/>
    </row>
    <row r="72" spans="1:21" x14ac:dyDescent="0.25">
      <c r="A72" s="80">
        <v>61</v>
      </c>
      <c r="B72" s="116">
        <v>353.9</v>
      </c>
      <c r="C72" s="116">
        <v>181.1</v>
      </c>
      <c r="D72" s="116">
        <v>123.5</v>
      </c>
      <c r="E72" s="116">
        <v>94.8</v>
      </c>
      <c r="F72" s="116">
        <v>77.599999999999994</v>
      </c>
      <c r="G72" s="116"/>
      <c r="H72" s="116"/>
      <c r="I72" s="116"/>
      <c r="J72" s="116"/>
      <c r="K72" s="116"/>
      <c r="L72" s="116"/>
      <c r="M72" s="116"/>
      <c r="N72" s="116"/>
      <c r="O72" s="116"/>
      <c r="P72" s="116"/>
      <c r="Q72" s="116"/>
      <c r="R72" s="116"/>
      <c r="S72" s="116"/>
      <c r="T72" s="116"/>
      <c r="U72" s="116"/>
    </row>
    <row r="73" spans="1:21" x14ac:dyDescent="0.25">
      <c r="A73" s="80">
        <v>62</v>
      </c>
      <c r="B73" s="116">
        <v>359.9</v>
      </c>
      <c r="C73" s="116">
        <v>184.2</v>
      </c>
      <c r="D73" s="116">
        <v>125.7</v>
      </c>
      <c r="E73" s="116">
        <v>96.5</v>
      </c>
      <c r="F73" s="116"/>
      <c r="G73" s="116"/>
      <c r="H73" s="116"/>
      <c r="I73" s="116"/>
      <c r="J73" s="116"/>
      <c r="K73" s="116"/>
      <c r="L73" s="116"/>
      <c r="M73" s="116"/>
      <c r="N73" s="116"/>
      <c r="O73" s="116"/>
      <c r="P73" s="116"/>
      <c r="Q73" s="116"/>
      <c r="R73" s="116"/>
      <c r="S73" s="116"/>
      <c r="T73" s="116"/>
      <c r="U73" s="116"/>
    </row>
    <row r="74" spans="1:21" x14ac:dyDescent="0.25">
      <c r="A74" s="80">
        <v>63</v>
      </c>
      <c r="B74" s="116">
        <v>366.2</v>
      </c>
      <c r="C74" s="116">
        <v>187.5</v>
      </c>
      <c r="D74" s="116">
        <v>128</v>
      </c>
      <c r="E74" s="116"/>
      <c r="F74" s="116"/>
      <c r="G74" s="116"/>
      <c r="H74" s="116"/>
      <c r="I74" s="116"/>
      <c r="J74" s="116"/>
      <c r="K74" s="116"/>
      <c r="L74" s="116"/>
      <c r="M74" s="116"/>
      <c r="N74" s="116"/>
      <c r="O74" s="116"/>
      <c r="P74" s="116"/>
      <c r="Q74" s="116"/>
      <c r="R74" s="116"/>
      <c r="S74" s="116"/>
      <c r="T74" s="116"/>
      <c r="U74" s="116"/>
    </row>
    <row r="75" spans="1:21" x14ac:dyDescent="0.25">
      <c r="A75" s="80">
        <v>64</v>
      </c>
      <c r="B75" s="116">
        <v>372.8</v>
      </c>
      <c r="C75" s="116">
        <v>190.9</v>
      </c>
      <c r="D75" s="116"/>
      <c r="E75" s="116"/>
      <c r="F75" s="116"/>
      <c r="G75" s="116"/>
      <c r="H75" s="116"/>
      <c r="I75" s="116"/>
      <c r="J75" s="116"/>
      <c r="K75" s="116"/>
      <c r="L75" s="116"/>
      <c r="M75" s="116"/>
      <c r="N75" s="116"/>
      <c r="O75" s="116"/>
      <c r="P75" s="116"/>
      <c r="Q75" s="116"/>
      <c r="R75" s="116"/>
      <c r="S75" s="116"/>
      <c r="T75" s="116"/>
      <c r="U75" s="116"/>
    </row>
    <row r="76" spans="1:21" x14ac:dyDescent="0.25">
      <c r="A76" s="80">
        <v>65</v>
      </c>
      <c r="B76" s="116">
        <v>379.7</v>
      </c>
      <c r="C76" s="116"/>
      <c r="D76" s="116"/>
      <c r="E76" s="116"/>
      <c r="F76" s="116"/>
      <c r="G76" s="116"/>
      <c r="H76" s="116"/>
      <c r="I76" s="116"/>
      <c r="J76" s="116"/>
      <c r="K76" s="116"/>
      <c r="L76" s="116"/>
      <c r="M76" s="116"/>
      <c r="N76" s="116"/>
      <c r="O76" s="116"/>
      <c r="P76" s="116"/>
      <c r="Q76" s="116"/>
      <c r="R76" s="116"/>
      <c r="S76" s="116"/>
      <c r="T76" s="116"/>
      <c r="U76" s="116"/>
    </row>
    <row r="129" spans="22:22" x14ac:dyDescent="0.25">
      <c r="V129" s="26" t="b">
        <f t="shared" ref="V129" si="0">V78=V27</f>
        <v>1</v>
      </c>
    </row>
    <row r="130" spans="22:22" x14ac:dyDescent="0.25">
      <c r="V130" s="26" t="b">
        <f t="shared" ref="V130" si="1">V79=V28</f>
        <v>1</v>
      </c>
    </row>
    <row r="131" spans="22:22" x14ac:dyDescent="0.25">
      <c r="V131" s="26" t="b">
        <f t="shared" ref="V131" si="2">V80=V29</f>
        <v>1</v>
      </c>
    </row>
    <row r="132" spans="22:22" x14ac:dyDescent="0.25">
      <c r="V132" s="26" t="b">
        <f t="shared" ref="V132" si="3">V81=V30</f>
        <v>1</v>
      </c>
    </row>
    <row r="133" spans="22:22" x14ac:dyDescent="0.25">
      <c r="V133" s="26" t="b">
        <f t="shared" ref="V133" si="4">V82=V31</f>
        <v>1</v>
      </c>
    </row>
    <row r="134" spans="22:22" x14ac:dyDescent="0.25">
      <c r="V134" s="26" t="b">
        <f t="shared" ref="V134" si="5">V83=V32</f>
        <v>1</v>
      </c>
    </row>
    <row r="135" spans="22:22" x14ac:dyDescent="0.25">
      <c r="V135" s="26" t="b">
        <f t="shared" ref="V135" si="6">V84=V33</f>
        <v>1</v>
      </c>
    </row>
    <row r="136" spans="22:22" x14ac:dyDescent="0.25">
      <c r="V136" s="26" t="b">
        <f t="shared" ref="V136" si="7">V85=V34</f>
        <v>1</v>
      </c>
    </row>
    <row r="137" spans="22:22" x14ac:dyDescent="0.25">
      <c r="V137" s="26" t="b">
        <f t="shared" ref="V137" si="8">V86=V35</f>
        <v>1</v>
      </c>
    </row>
    <row r="138" spans="22:22" x14ac:dyDescent="0.25">
      <c r="V138" s="26" t="b">
        <f t="shared" ref="V138" si="9">V87=V36</f>
        <v>1</v>
      </c>
    </row>
    <row r="139" spans="22:22" x14ac:dyDescent="0.25">
      <c r="V139" s="26" t="b">
        <f t="shared" ref="V139" si="10">V88=V37</f>
        <v>1</v>
      </c>
    </row>
    <row r="140" spans="22:22" x14ac:dyDescent="0.25">
      <c r="V140" s="26" t="b">
        <f t="shared" ref="V140" si="11">V89=V38</f>
        <v>1</v>
      </c>
    </row>
    <row r="141" spans="22:22" x14ac:dyDescent="0.25">
      <c r="V141" s="26" t="b">
        <f t="shared" ref="V141" si="12">V90=V39</f>
        <v>1</v>
      </c>
    </row>
    <row r="142" spans="22:22" x14ac:dyDescent="0.25">
      <c r="V142" s="26" t="b">
        <f t="shared" ref="V142" si="13">V91=V40</f>
        <v>1</v>
      </c>
    </row>
    <row r="143" spans="22:22" x14ac:dyDescent="0.25">
      <c r="V143" s="26" t="b">
        <f t="shared" ref="V143" si="14">V92=V41</f>
        <v>1</v>
      </c>
    </row>
    <row r="144" spans="22:22" x14ac:dyDescent="0.25">
      <c r="V144" s="26" t="b">
        <f t="shared" ref="V144" si="15">V93=V42</f>
        <v>1</v>
      </c>
    </row>
    <row r="145" spans="22:22" x14ac:dyDescent="0.25">
      <c r="V145" s="26" t="b">
        <f t="shared" ref="V145" si="16">V94=V43</f>
        <v>1</v>
      </c>
    </row>
    <row r="146" spans="22:22" x14ac:dyDescent="0.25">
      <c r="V146" s="26" t="b">
        <f t="shared" ref="V146" si="17">V95=V44</f>
        <v>1</v>
      </c>
    </row>
    <row r="147" spans="22:22" x14ac:dyDescent="0.25">
      <c r="V147" s="26" t="b">
        <f t="shared" ref="V147" si="18">V96=V45</f>
        <v>1</v>
      </c>
    </row>
    <row r="148" spans="22:22" x14ac:dyDescent="0.25">
      <c r="V148" s="26" t="b">
        <f t="shared" ref="V148" si="19">V97=V46</f>
        <v>1</v>
      </c>
    </row>
    <row r="149" spans="22:22" x14ac:dyDescent="0.25">
      <c r="V149" s="26" t="b">
        <f t="shared" ref="V149" si="20">V98=V47</f>
        <v>1</v>
      </c>
    </row>
    <row r="150" spans="22:22" x14ac:dyDescent="0.25">
      <c r="V150" s="26" t="b">
        <f t="shared" ref="V150" si="21">V99=V48</f>
        <v>1</v>
      </c>
    </row>
    <row r="151" spans="22:22" x14ac:dyDescent="0.25">
      <c r="V151" s="26" t="b">
        <f t="shared" ref="V151" si="22">V100=V49</f>
        <v>1</v>
      </c>
    </row>
    <row r="152" spans="22:22" x14ac:dyDescent="0.25">
      <c r="V152" s="26" t="b">
        <f t="shared" ref="V152" si="23">V101=V50</f>
        <v>1</v>
      </c>
    </row>
    <row r="153" spans="22:22" x14ac:dyDescent="0.25">
      <c r="V153" s="26" t="b">
        <f t="shared" ref="V153" si="24">V102=V51</f>
        <v>1</v>
      </c>
    </row>
    <row r="154" spans="22:22" x14ac:dyDescent="0.25">
      <c r="V154" s="26" t="b">
        <f t="shared" ref="V154" si="25">V103=V52</f>
        <v>1</v>
      </c>
    </row>
    <row r="155" spans="22:22" x14ac:dyDescent="0.25">
      <c r="V155" s="26" t="b">
        <f t="shared" ref="V155" si="26">V104=V53</f>
        <v>1</v>
      </c>
    </row>
    <row r="156" spans="22:22" x14ac:dyDescent="0.25">
      <c r="V156" s="26" t="b">
        <f t="shared" ref="V156" si="27">V105=V54</f>
        <v>1</v>
      </c>
    </row>
    <row r="157" spans="22:22" x14ac:dyDescent="0.25">
      <c r="V157" s="26" t="b">
        <f t="shared" ref="V157" si="28">V106=V55</f>
        <v>1</v>
      </c>
    </row>
    <row r="158" spans="22:22" x14ac:dyDescent="0.25">
      <c r="V158" s="26" t="b">
        <f t="shared" ref="V158" si="29">V107=V56</f>
        <v>1</v>
      </c>
    </row>
    <row r="159" spans="22:22" x14ac:dyDescent="0.25">
      <c r="V159" s="26" t="b">
        <f t="shared" ref="V159" si="30">V108=V57</f>
        <v>1</v>
      </c>
    </row>
    <row r="160" spans="22:22" x14ac:dyDescent="0.25">
      <c r="V160" s="26" t="b">
        <f t="shared" ref="V160" si="31">V109=V58</f>
        <v>1</v>
      </c>
    </row>
    <row r="161" spans="22:22" x14ac:dyDescent="0.25">
      <c r="V161" s="26" t="b">
        <f t="shared" ref="V161" si="32">V110=V59</f>
        <v>1</v>
      </c>
    </row>
    <row r="162" spans="22:22" x14ac:dyDescent="0.25">
      <c r="V162" s="26" t="b">
        <f t="shared" ref="V162" si="33">V111=V60</f>
        <v>1</v>
      </c>
    </row>
    <row r="163" spans="22:22" x14ac:dyDescent="0.25">
      <c r="V163" s="26" t="b">
        <f t="shared" ref="V163" si="34">V112=V61</f>
        <v>1</v>
      </c>
    </row>
    <row r="164" spans="22:22" x14ac:dyDescent="0.25">
      <c r="V164" s="26" t="b">
        <f t="shared" ref="V164" si="35">V113=V62</f>
        <v>1</v>
      </c>
    </row>
    <row r="165" spans="22:22" x14ac:dyDescent="0.25">
      <c r="V165" s="26" t="b">
        <f t="shared" ref="V165" si="36">V114=V63</f>
        <v>1</v>
      </c>
    </row>
    <row r="166" spans="22:22" x14ac:dyDescent="0.25">
      <c r="V166" s="26" t="b">
        <f t="shared" ref="V166" si="37">V115=V64</f>
        <v>1</v>
      </c>
    </row>
    <row r="167" spans="22:22" x14ac:dyDescent="0.25">
      <c r="V167" s="26" t="b">
        <f t="shared" ref="V167" si="38">V116=V65</f>
        <v>1</v>
      </c>
    </row>
    <row r="168" spans="22:22" x14ac:dyDescent="0.25">
      <c r="V168" s="26" t="b">
        <f t="shared" ref="V168" si="39">V117=V66</f>
        <v>1</v>
      </c>
    </row>
    <row r="169" spans="22:22" x14ac:dyDescent="0.25">
      <c r="V169" s="26" t="b">
        <f t="shared" ref="V169" si="40">V118=V67</f>
        <v>1</v>
      </c>
    </row>
    <row r="170" spans="22:22" x14ac:dyDescent="0.25">
      <c r="V170" s="26" t="b">
        <f t="shared" ref="V170" si="41">V119=V68</f>
        <v>1</v>
      </c>
    </row>
    <row r="171" spans="22:22" x14ac:dyDescent="0.25">
      <c r="V171" s="26" t="b">
        <f t="shared" ref="V171" si="42">V120=V69</f>
        <v>1</v>
      </c>
    </row>
    <row r="172" spans="22:22" x14ac:dyDescent="0.25">
      <c r="V172" s="26" t="b">
        <f t="shared" ref="V172" si="43">V121=V70</f>
        <v>1</v>
      </c>
    </row>
    <row r="173" spans="22:22" x14ac:dyDescent="0.25">
      <c r="V173" s="26" t="b">
        <f t="shared" ref="V173" si="44">V122=V71</f>
        <v>1</v>
      </c>
    </row>
    <row r="174" spans="22:22" x14ac:dyDescent="0.25">
      <c r="V174" s="26" t="b">
        <f t="shared" ref="V174" si="45">V123=V72</f>
        <v>1</v>
      </c>
    </row>
    <row r="175" spans="22:22" x14ac:dyDescent="0.25">
      <c r="V175" s="26" t="b">
        <f t="shared" ref="V175" si="46">V124=V73</f>
        <v>1</v>
      </c>
    </row>
    <row r="176" spans="22:22" x14ac:dyDescent="0.25">
      <c r="V176" s="26" t="b">
        <f t="shared" ref="V176" si="47">V125=V74</f>
        <v>1</v>
      </c>
    </row>
    <row r="177" spans="22:22" x14ac:dyDescent="0.25">
      <c r="V177" s="26" t="b">
        <f t="shared" ref="V177" si="48">V126=V75</f>
        <v>1</v>
      </c>
    </row>
    <row r="178" spans="22:22" x14ac:dyDescent="0.25">
      <c r="V178" s="26" t="b">
        <f t="shared" ref="V178" si="49">V127=V76</f>
        <v>1</v>
      </c>
    </row>
  </sheetData>
  <sheetProtection algorithmName="SHA-512" hashValue="86hqCqdDgfEXQ3zqMeWB81k/vwJwf+qCW3eoXD4MX9QIbXPKY2j1pH+mcZwI69kUSgD10mglKH2l5ctxayA3nQ==" saltValue="iJazzfzFgoNREikLK6rrNw==" spinCount="100000" sheet="1" objects="1" scenarios="1"/>
  <conditionalFormatting sqref="A6:A21">
    <cfRule type="expression" dxfId="359" priority="9" stopIfTrue="1">
      <formula>MOD(ROW(),2)=0</formula>
    </cfRule>
    <cfRule type="expression" dxfId="358" priority="10" stopIfTrue="1">
      <formula>MOD(ROW(),2)&lt;&gt;0</formula>
    </cfRule>
  </conditionalFormatting>
  <conditionalFormatting sqref="A26:A76">
    <cfRule type="expression" dxfId="357" priority="11" stopIfTrue="1">
      <formula>MOD(ROW(),2)=0</formula>
    </cfRule>
    <cfRule type="expression" dxfId="356" priority="12" stopIfTrue="1">
      <formula>MOD(ROW(),2)&lt;&gt;0</formula>
    </cfRule>
  </conditionalFormatting>
  <conditionalFormatting sqref="B17:B21">
    <cfRule type="expression" dxfId="355" priority="1" stopIfTrue="1">
      <formula>MOD(ROW(),2)=0</formula>
    </cfRule>
    <cfRule type="expression" dxfId="354" priority="2" stopIfTrue="1">
      <formula>MOD(ROW(),2)&lt;&gt;0</formula>
    </cfRule>
  </conditionalFormatting>
  <conditionalFormatting sqref="B6:U21">
    <cfRule type="expression" dxfId="353" priority="17" stopIfTrue="1">
      <formula>MOD(ROW(),2)=0</formula>
    </cfRule>
    <cfRule type="expression" dxfId="352" priority="18" stopIfTrue="1">
      <formula>MOD(ROW(),2)&lt;&gt;0</formula>
    </cfRule>
  </conditionalFormatting>
  <conditionalFormatting sqref="B26:U76">
    <cfRule type="expression" dxfId="351" priority="13" stopIfTrue="1">
      <formula>MOD(ROW(),2)=0</formula>
    </cfRule>
    <cfRule type="expression" dxfId="350" priority="14" stopIfTrue="1">
      <formula>MOD(ROW(),2)&lt;&gt;0</formula>
    </cfRule>
  </conditionalFormatting>
  <hyperlinks>
    <hyperlink ref="B24" location="Assumptions!A1" display="Assumptions" xr:uid="{BE5CE9CD-9C8A-4D3B-967E-9E37230602D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23B25-B6F0-4049-B88C-EDD70F6D9F4C}">
  <sheetPr codeName="Sheet99"/>
  <dimension ref="A1:U77"/>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x-714</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73</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585</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0</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714</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586</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587</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177.1</v>
      </c>
      <c r="C27" s="116">
        <v>90.2</v>
      </c>
      <c r="D27" s="116">
        <v>61.2</v>
      </c>
      <c r="E27" s="116">
        <v>46.8</v>
      </c>
      <c r="F27" s="116">
        <v>38.1</v>
      </c>
      <c r="G27" s="116">
        <v>32.299999999999997</v>
      </c>
      <c r="H27" s="116">
        <v>28.2</v>
      </c>
      <c r="I27" s="116">
        <v>25.1</v>
      </c>
      <c r="J27" s="116">
        <v>22.7</v>
      </c>
      <c r="K27" s="116">
        <v>20.8</v>
      </c>
      <c r="L27" s="116">
        <v>19.2</v>
      </c>
      <c r="M27" s="116">
        <v>17.899999999999999</v>
      </c>
      <c r="N27" s="116">
        <v>16.8</v>
      </c>
      <c r="O27" s="116">
        <v>15.9</v>
      </c>
      <c r="P27" s="116">
        <v>15.1</v>
      </c>
      <c r="Q27" s="116">
        <v>14.4</v>
      </c>
      <c r="R27" s="116">
        <v>13.8</v>
      </c>
      <c r="S27" s="116">
        <v>13.2</v>
      </c>
      <c r="T27" s="116">
        <v>12.7</v>
      </c>
      <c r="U27" s="116">
        <v>12.3</v>
      </c>
    </row>
    <row r="28" spans="1:21" x14ac:dyDescent="0.25">
      <c r="A28" s="80">
        <v>17</v>
      </c>
      <c r="B28" s="116">
        <v>179.7</v>
      </c>
      <c r="C28" s="116">
        <v>91.5</v>
      </c>
      <c r="D28" s="116">
        <v>62.1</v>
      </c>
      <c r="E28" s="116">
        <v>47.4</v>
      </c>
      <c r="F28" s="116">
        <v>38.6</v>
      </c>
      <c r="G28" s="116">
        <v>32.799999999999997</v>
      </c>
      <c r="H28" s="116">
        <v>28.6</v>
      </c>
      <c r="I28" s="116">
        <v>25.5</v>
      </c>
      <c r="J28" s="116">
        <v>23</v>
      </c>
      <c r="K28" s="116">
        <v>21.1</v>
      </c>
      <c r="L28" s="116">
        <v>19.5</v>
      </c>
      <c r="M28" s="116">
        <v>18.2</v>
      </c>
      <c r="N28" s="116">
        <v>17.100000000000001</v>
      </c>
      <c r="O28" s="116">
        <v>16.100000000000001</v>
      </c>
      <c r="P28" s="116">
        <v>15.3</v>
      </c>
      <c r="Q28" s="116">
        <v>14.6</v>
      </c>
      <c r="R28" s="116">
        <v>14</v>
      </c>
      <c r="S28" s="116">
        <v>13.4</v>
      </c>
      <c r="T28" s="116">
        <v>12.9</v>
      </c>
      <c r="U28" s="116">
        <v>12.5</v>
      </c>
    </row>
    <row r="29" spans="1:21" x14ac:dyDescent="0.25">
      <c r="A29" s="80">
        <v>18</v>
      </c>
      <c r="B29" s="116">
        <v>182.3</v>
      </c>
      <c r="C29" s="116">
        <v>92.8</v>
      </c>
      <c r="D29" s="116">
        <v>63</v>
      </c>
      <c r="E29" s="116">
        <v>48.1</v>
      </c>
      <c r="F29" s="116">
        <v>39.200000000000003</v>
      </c>
      <c r="G29" s="116">
        <v>33.299999999999997</v>
      </c>
      <c r="H29" s="116">
        <v>29</v>
      </c>
      <c r="I29" s="116">
        <v>25.8</v>
      </c>
      <c r="J29" s="116">
        <v>23.4</v>
      </c>
      <c r="K29" s="116">
        <v>21.4</v>
      </c>
      <c r="L29" s="116">
        <v>19.8</v>
      </c>
      <c r="M29" s="116">
        <v>18.5</v>
      </c>
      <c r="N29" s="116">
        <v>17.3</v>
      </c>
      <c r="O29" s="116">
        <v>16.399999999999999</v>
      </c>
      <c r="P29" s="116">
        <v>15.5</v>
      </c>
      <c r="Q29" s="116">
        <v>14.8</v>
      </c>
      <c r="R29" s="116">
        <v>14.2</v>
      </c>
      <c r="S29" s="116">
        <v>13.6</v>
      </c>
      <c r="T29" s="116">
        <v>13.1</v>
      </c>
      <c r="U29" s="116">
        <v>12.7</v>
      </c>
    </row>
    <row r="30" spans="1:21" x14ac:dyDescent="0.25">
      <c r="A30" s="80">
        <v>19</v>
      </c>
      <c r="B30" s="116">
        <v>184.9</v>
      </c>
      <c r="C30" s="116">
        <v>94.2</v>
      </c>
      <c r="D30" s="116">
        <v>63.9</v>
      </c>
      <c r="E30" s="116">
        <v>48.8</v>
      </c>
      <c r="F30" s="116">
        <v>39.799999999999997</v>
      </c>
      <c r="G30" s="116">
        <v>33.700000000000003</v>
      </c>
      <c r="H30" s="116">
        <v>29.4</v>
      </c>
      <c r="I30" s="116">
        <v>26.2</v>
      </c>
      <c r="J30" s="116">
        <v>23.7</v>
      </c>
      <c r="K30" s="116">
        <v>21.7</v>
      </c>
      <c r="L30" s="116">
        <v>20.100000000000001</v>
      </c>
      <c r="M30" s="116">
        <v>18.7</v>
      </c>
      <c r="N30" s="116">
        <v>17.600000000000001</v>
      </c>
      <c r="O30" s="116">
        <v>16.600000000000001</v>
      </c>
      <c r="P30" s="116">
        <v>15.8</v>
      </c>
      <c r="Q30" s="116">
        <v>15</v>
      </c>
      <c r="R30" s="116">
        <v>14.4</v>
      </c>
      <c r="S30" s="116">
        <v>13.8</v>
      </c>
      <c r="T30" s="116">
        <v>13.3</v>
      </c>
      <c r="U30" s="116">
        <v>12.9</v>
      </c>
    </row>
    <row r="31" spans="1:21" x14ac:dyDescent="0.25">
      <c r="A31" s="80">
        <v>20</v>
      </c>
      <c r="B31" s="116">
        <v>187.6</v>
      </c>
      <c r="C31" s="116">
        <v>95.5</v>
      </c>
      <c r="D31" s="116">
        <v>64.900000000000006</v>
      </c>
      <c r="E31" s="116">
        <v>49.5</v>
      </c>
      <c r="F31" s="116">
        <v>40.299999999999997</v>
      </c>
      <c r="G31" s="116">
        <v>34.200000000000003</v>
      </c>
      <c r="H31" s="116">
        <v>29.9</v>
      </c>
      <c r="I31" s="116">
        <v>26.6</v>
      </c>
      <c r="J31" s="116">
        <v>24.1</v>
      </c>
      <c r="K31" s="116">
        <v>22</v>
      </c>
      <c r="L31" s="116">
        <v>20.399999999999999</v>
      </c>
      <c r="M31" s="116">
        <v>19</v>
      </c>
      <c r="N31" s="116">
        <v>17.8</v>
      </c>
      <c r="O31" s="116">
        <v>16.899999999999999</v>
      </c>
      <c r="P31" s="116">
        <v>16</v>
      </c>
      <c r="Q31" s="116">
        <v>15.3</v>
      </c>
      <c r="R31" s="116">
        <v>14.6</v>
      </c>
      <c r="S31" s="116">
        <v>14</v>
      </c>
      <c r="T31" s="116">
        <v>13.5</v>
      </c>
      <c r="U31" s="116">
        <v>13</v>
      </c>
    </row>
    <row r="32" spans="1:21" x14ac:dyDescent="0.25">
      <c r="A32" s="80">
        <v>21</v>
      </c>
      <c r="B32" s="116">
        <v>190.3</v>
      </c>
      <c r="C32" s="116">
        <v>96.9</v>
      </c>
      <c r="D32" s="116">
        <v>65.8</v>
      </c>
      <c r="E32" s="116">
        <v>50.2</v>
      </c>
      <c r="F32" s="116">
        <v>40.9</v>
      </c>
      <c r="G32" s="116">
        <v>34.700000000000003</v>
      </c>
      <c r="H32" s="116">
        <v>30.3</v>
      </c>
      <c r="I32" s="116">
        <v>27</v>
      </c>
      <c r="J32" s="116">
        <v>24.4</v>
      </c>
      <c r="K32" s="116">
        <v>22.4</v>
      </c>
      <c r="L32" s="116">
        <v>20.7</v>
      </c>
      <c r="M32" s="116">
        <v>19.3</v>
      </c>
      <c r="N32" s="116">
        <v>18.100000000000001</v>
      </c>
      <c r="O32" s="116">
        <v>17.100000000000001</v>
      </c>
      <c r="P32" s="116">
        <v>16.2</v>
      </c>
      <c r="Q32" s="116">
        <v>15.5</v>
      </c>
      <c r="R32" s="116">
        <v>14.8</v>
      </c>
      <c r="S32" s="116">
        <v>14.2</v>
      </c>
      <c r="T32" s="116">
        <v>13.7</v>
      </c>
      <c r="U32" s="116">
        <v>13.2</v>
      </c>
    </row>
    <row r="33" spans="1:21" x14ac:dyDescent="0.25">
      <c r="A33" s="80">
        <v>22</v>
      </c>
      <c r="B33" s="116">
        <v>193</v>
      </c>
      <c r="C33" s="116">
        <v>98.3</v>
      </c>
      <c r="D33" s="116">
        <v>66.7</v>
      </c>
      <c r="E33" s="116">
        <v>51</v>
      </c>
      <c r="F33" s="116">
        <v>41.5</v>
      </c>
      <c r="G33" s="116">
        <v>35.200000000000003</v>
      </c>
      <c r="H33" s="116">
        <v>30.7</v>
      </c>
      <c r="I33" s="116">
        <v>27.4</v>
      </c>
      <c r="J33" s="116">
        <v>24.8</v>
      </c>
      <c r="K33" s="116">
        <v>22.7</v>
      </c>
      <c r="L33" s="116">
        <v>21</v>
      </c>
      <c r="M33" s="116">
        <v>19.600000000000001</v>
      </c>
      <c r="N33" s="116">
        <v>18.399999999999999</v>
      </c>
      <c r="O33" s="116">
        <v>17.3</v>
      </c>
      <c r="P33" s="116">
        <v>16.5</v>
      </c>
      <c r="Q33" s="116">
        <v>15.7</v>
      </c>
      <c r="R33" s="116">
        <v>15</v>
      </c>
      <c r="S33" s="116">
        <v>14.4</v>
      </c>
      <c r="T33" s="116">
        <v>13.9</v>
      </c>
      <c r="U33" s="116">
        <v>13.4</v>
      </c>
    </row>
    <row r="34" spans="1:21" x14ac:dyDescent="0.25">
      <c r="A34" s="80">
        <v>23</v>
      </c>
      <c r="B34" s="116">
        <v>195.8</v>
      </c>
      <c r="C34" s="116">
        <v>99.7</v>
      </c>
      <c r="D34" s="116">
        <v>67.7</v>
      </c>
      <c r="E34" s="116">
        <v>51.7</v>
      </c>
      <c r="F34" s="116">
        <v>42.1</v>
      </c>
      <c r="G34" s="116">
        <v>35.700000000000003</v>
      </c>
      <c r="H34" s="116">
        <v>31.2</v>
      </c>
      <c r="I34" s="116">
        <v>27.8</v>
      </c>
      <c r="J34" s="116">
        <v>25.1</v>
      </c>
      <c r="K34" s="116">
        <v>23</v>
      </c>
      <c r="L34" s="116">
        <v>21.3</v>
      </c>
      <c r="M34" s="116">
        <v>19.8</v>
      </c>
      <c r="N34" s="116">
        <v>18.600000000000001</v>
      </c>
      <c r="O34" s="116">
        <v>17.600000000000001</v>
      </c>
      <c r="P34" s="116">
        <v>16.7</v>
      </c>
      <c r="Q34" s="116">
        <v>15.9</v>
      </c>
      <c r="R34" s="116">
        <v>15.2</v>
      </c>
      <c r="S34" s="116">
        <v>14.6</v>
      </c>
      <c r="T34" s="116">
        <v>14.1</v>
      </c>
      <c r="U34" s="116">
        <v>13.6</v>
      </c>
    </row>
    <row r="35" spans="1:21" x14ac:dyDescent="0.25">
      <c r="A35" s="80">
        <v>24</v>
      </c>
      <c r="B35" s="116">
        <v>198.6</v>
      </c>
      <c r="C35" s="116">
        <v>101.1</v>
      </c>
      <c r="D35" s="116">
        <v>68.7</v>
      </c>
      <c r="E35" s="116">
        <v>52.4</v>
      </c>
      <c r="F35" s="116">
        <v>42.7</v>
      </c>
      <c r="G35" s="116">
        <v>36.200000000000003</v>
      </c>
      <c r="H35" s="116">
        <v>31.6</v>
      </c>
      <c r="I35" s="116">
        <v>28.2</v>
      </c>
      <c r="J35" s="116">
        <v>25.5</v>
      </c>
      <c r="K35" s="116">
        <v>23.3</v>
      </c>
      <c r="L35" s="116">
        <v>21.6</v>
      </c>
      <c r="M35" s="116">
        <v>20.100000000000001</v>
      </c>
      <c r="N35" s="116">
        <v>18.899999999999999</v>
      </c>
      <c r="O35" s="116">
        <v>17.899999999999999</v>
      </c>
      <c r="P35" s="116">
        <v>16.899999999999999</v>
      </c>
      <c r="Q35" s="116">
        <v>16.2</v>
      </c>
      <c r="R35" s="116">
        <v>15.5</v>
      </c>
      <c r="S35" s="116">
        <v>14.9</v>
      </c>
      <c r="T35" s="116">
        <v>14.3</v>
      </c>
      <c r="U35" s="116">
        <v>13.8</v>
      </c>
    </row>
    <row r="36" spans="1:21" x14ac:dyDescent="0.25">
      <c r="A36" s="80">
        <v>25</v>
      </c>
      <c r="B36" s="116">
        <v>201.4</v>
      </c>
      <c r="C36" s="116">
        <v>102.6</v>
      </c>
      <c r="D36" s="116">
        <v>69.599999999999994</v>
      </c>
      <c r="E36" s="116">
        <v>53.2</v>
      </c>
      <c r="F36" s="116">
        <v>43.3</v>
      </c>
      <c r="G36" s="116">
        <v>36.799999999999997</v>
      </c>
      <c r="H36" s="116">
        <v>32.1</v>
      </c>
      <c r="I36" s="116">
        <v>28.6</v>
      </c>
      <c r="J36" s="116">
        <v>25.8</v>
      </c>
      <c r="K36" s="116">
        <v>23.7</v>
      </c>
      <c r="L36" s="116">
        <v>21.9</v>
      </c>
      <c r="M36" s="116">
        <v>20.399999999999999</v>
      </c>
      <c r="N36" s="116">
        <v>19.2</v>
      </c>
      <c r="O36" s="116">
        <v>18.100000000000001</v>
      </c>
      <c r="P36" s="116">
        <v>17.2</v>
      </c>
      <c r="Q36" s="116">
        <v>16.399999999999999</v>
      </c>
      <c r="R36" s="116">
        <v>15.7</v>
      </c>
      <c r="S36" s="116">
        <v>15.1</v>
      </c>
      <c r="T36" s="116">
        <v>14.5</v>
      </c>
      <c r="U36" s="116">
        <v>14</v>
      </c>
    </row>
    <row r="37" spans="1:21" x14ac:dyDescent="0.25">
      <c r="A37" s="80">
        <v>26</v>
      </c>
      <c r="B37" s="116">
        <v>204.3</v>
      </c>
      <c r="C37" s="116">
        <v>104</v>
      </c>
      <c r="D37" s="116">
        <v>70.599999999999994</v>
      </c>
      <c r="E37" s="116">
        <v>53.9</v>
      </c>
      <c r="F37" s="116">
        <v>43.9</v>
      </c>
      <c r="G37" s="116">
        <v>37.299999999999997</v>
      </c>
      <c r="H37" s="116">
        <v>32.5</v>
      </c>
      <c r="I37" s="116">
        <v>29</v>
      </c>
      <c r="J37" s="116">
        <v>26.2</v>
      </c>
      <c r="K37" s="116">
        <v>24</v>
      </c>
      <c r="L37" s="116">
        <v>22.2</v>
      </c>
      <c r="M37" s="116">
        <v>20.7</v>
      </c>
      <c r="N37" s="116">
        <v>19.399999999999999</v>
      </c>
      <c r="O37" s="116">
        <v>18.399999999999999</v>
      </c>
      <c r="P37" s="116">
        <v>17.399999999999999</v>
      </c>
      <c r="Q37" s="116">
        <v>16.600000000000001</v>
      </c>
      <c r="R37" s="116">
        <v>15.9</v>
      </c>
      <c r="S37" s="116">
        <v>15.3</v>
      </c>
      <c r="T37" s="116">
        <v>14.7</v>
      </c>
      <c r="U37" s="116">
        <v>14.2</v>
      </c>
    </row>
    <row r="38" spans="1:21" x14ac:dyDescent="0.25">
      <c r="A38" s="80">
        <v>27</v>
      </c>
      <c r="B38" s="116">
        <v>207.2</v>
      </c>
      <c r="C38" s="116">
        <v>105.5</v>
      </c>
      <c r="D38" s="116">
        <v>71.599999999999994</v>
      </c>
      <c r="E38" s="116">
        <v>54.7</v>
      </c>
      <c r="F38" s="116">
        <v>44.6</v>
      </c>
      <c r="G38" s="116">
        <v>37.799999999999997</v>
      </c>
      <c r="H38" s="116">
        <v>33</v>
      </c>
      <c r="I38" s="116">
        <v>29.4</v>
      </c>
      <c r="J38" s="116">
        <v>26.6</v>
      </c>
      <c r="K38" s="116">
        <v>24.3</v>
      </c>
      <c r="L38" s="116">
        <v>22.5</v>
      </c>
      <c r="M38" s="116">
        <v>21</v>
      </c>
      <c r="N38" s="116">
        <v>19.7</v>
      </c>
      <c r="O38" s="116">
        <v>18.600000000000001</v>
      </c>
      <c r="P38" s="116">
        <v>17.7</v>
      </c>
      <c r="Q38" s="116">
        <v>16.899999999999999</v>
      </c>
      <c r="R38" s="116">
        <v>16.100000000000001</v>
      </c>
      <c r="S38" s="116">
        <v>15.5</v>
      </c>
      <c r="T38" s="116">
        <v>14.9</v>
      </c>
      <c r="U38" s="116">
        <v>14.4</v>
      </c>
    </row>
    <row r="39" spans="1:21" x14ac:dyDescent="0.25">
      <c r="A39" s="80">
        <v>28</v>
      </c>
      <c r="B39" s="116">
        <v>210.1</v>
      </c>
      <c r="C39" s="116">
        <v>107</v>
      </c>
      <c r="D39" s="116">
        <v>72.7</v>
      </c>
      <c r="E39" s="116">
        <v>55.5</v>
      </c>
      <c r="F39" s="116">
        <v>45.2</v>
      </c>
      <c r="G39" s="116">
        <v>38.299999999999997</v>
      </c>
      <c r="H39" s="116">
        <v>33.5</v>
      </c>
      <c r="I39" s="116">
        <v>29.8</v>
      </c>
      <c r="J39" s="116">
        <v>27</v>
      </c>
      <c r="K39" s="116">
        <v>24.7</v>
      </c>
      <c r="L39" s="116">
        <v>22.8</v>
      </c>
      <c r="M39" s="116">
        <v>21.3</v>
      </c>
      <c r="N39" s="116">
        <v>20</v>
      </c>
      <c r="O39" s="116">
        <v>18.899999999999999</v>
      </c>
      <c r="P39" s="116">
        <v>18</v>
      </c>
      <c r="Q39" s="116">
        <v>17.100000000000001</v>
      </c>
      <c r="R39" s="116">
        <v>16.399999999999999</v>
      </c>
      <c r="S39" s="116">
        <v>15.7</v>
      </c>
      <c r="T39" s="116">
        <v>15.2</v>
      </c>
      <c r="U39" s="116">
        <v>14.6</v>
      </c>
    </row>
    <row r="40" spans="1:21" x14ac:dyDescent="0.25">
      <c r="A40" s="80">
        <v>29</v>
      </c>
      <c r="B40" s="116">
        <v>213.1</v>
      </c>
      <c r="C40" s="116">
        <v>108.5</v>
      </c>
      <c r="D40" s="116">
        <v>73.7</v>
      </c>
      <c r="E40" s="116">
        <v>56.3</v>
      </c>
      <c r="F40" s="116">
        <v>45.8</v>
      </c>
      <c r="G40" s="116">
        <v>38.9</v>
      </c>
      <c r="H40" s="116">
        <v>33.9</v>
      </c>
      <c r="I40" s="116">
        <v>30.2</v>
      </c>
      <c r="J40" s="116">
        <v>27.4</v>
      </c>
      <c r="K40" s="116">
        <v>25.1</v>
      </c>
      <c r="L40" s="116">
        <v>23.2</v>
      </c>
      <c r="M40" s="116">
        <v>21.6</v>
      </c>
      <c r="N40" s="116">
        <v>20.3</v>
      </c>
      <c r="O40" s="116">
        <v>19.2</v>
      </c>
      <c r="P40" s="116">
        <v>18.2</v>
      </c>
      <c r="Q40" s="116">
        <v>17.399999999999999</v>
      </c>
      <c r="R40" s="116">
        <v>16.600000000000001</v>
      </c>
      <c r="S40" s="116">
        <v>16</v>
      </c>
      <c r="T40" s="116">
        <v>15.4</v>
      </c>
      <c r="U40" s="116">
        <v>14.9</v>
      </c>
    </row>
    <row r="41" spans="1:21" x14ac:dyDescent="0.25">
      <c r="A41" s="80">
        <v>30</v>
      </c>
      <c r="B41" s="116">
        <v>216.1</v>
      </c>
      <c r="C41" s="116">
        <v>110.1</v>
      </c>
      <c r="D41" s="116">
        <v>74.7</v>
      </c>
      <c r="E41" s="116">
        <v>57.1</v>
      </c>
      <c r="F41" s="116">
        <v>46.5</v>
      </c>
      <c r="G41" s="116">
        <v>39.5</v>
      </c>
      <c r="H41" s="116">
        <v>34.4</v>
      </c>
      <c r="I41" s="116">
        <v>30.7</v>
      </c>
      <c r="J41" s="116">
        <v>27.7</v>
      </c>
      <c r="K41" s="116">
        <v>25.4</v>
      </c>
      <c r="L41" s="116">
        <v>23.5</v>
      </c>
      <c r="M41" s="116">
        <v>21.9</v>
      </c>
      <c r="N41" s="116">
        <v>20.6</v>
      </c>
      <c r="O41" s="116">
        <v>19.5</v>
      </c>
      <c r="P41" s="116">
        <v>18.5</v>
      </c>
      <c r="Q41" s="116">
        <v>17.600000000000001</v>
      </c>
      <c r="R41" s="116">
        <v>16.899999999999999</v>
      </c>
      <c r="S41" s="116">
        <v>16.2</v>
      </c>
      <c r="T41" s="116">
        <v>15.6</v>
      </c>
      <c r="U41" s="116">
        <v>15.1</v>
      </c>
    </row>
    <row r="42" spans="1:21" x14ac:dyDescent="0.25">
      <c r="A42" s="80">
        <v>31</v>
      </c>
      <c r="B42" s="116">
        <v>219.2</v>
      </c>
      <c r="C42" s="116">
        <v>111.6</v>
      </c>
      <c r="D42" s="116">
        <v>75.8</v>
      </c>
      <c r="E42" s="116">
        <v>57.9</v>
      </c>
      <c r="F42" s="116">
        <v>47.2</v>
      </c>
      <c r="G42" s="116">
        <v>40</v>
      </c>
      <c r="H42" s="116">
        <v>34.9</v>
      </c>
      <c r="I42" s="116">
        <v>31.1</v>
      </c>
      <c r="J42" s="116">
        <v>28.1</v>
      </c>
      <c r="K42" s="116">
        <v>25.8</v>
      </c>
      <c r="L42" s="116">
        <v>23.9</v>
      </c>
      <c r="M42" s="116">
        <v>22.2</v>
      </c>
      <c r="N42" s="116">
        <v>20.9</v>
      </c>
      <c r="O42" s="116">
        <v>19.7</v>
      </c>
      <c r="P42" s="116">
        <v>18.7</v>
      </c>
      <c r="Q42" s="116">
        <v>17.899999999999999</v>
      </c>
      <c r="R42" s="116">
        <v>17.100000000000001</v>
      </c>
      <c r="S42" s="116">
        <v>16.399999999999999</v>
      </c>
      <c r="T42" s="116">
        <v>15.8</v>
      </c>
      <c r="U42" s="116">
        <v>15.3</v>
      </c>
    </row>
    <row r="43" spans="1:21" x14ac:dyDescent="0.25">
      <c r="A43" s="80">
        <v>32</v>
      </c>
      <c r="B43" s="116">
        <v>222.3</v>
      </c>
      <c r="C43" s="116">
        <v>113.2</v>
      </c>
      <c r="D43" s="116">
        <v>76.900000000000006</v>
      </c>
      <c r="E43" s="116">
        <v>58.7</v>
      </c>
      <c r="F43" s="116">
        <v>47.8</v>
      </c>
      <c r="G43" s="116">
        <v>40.6</v>
      </c>
      <c r="H43" s="116">
        <v>35.4</v>
      </c>
      <c r="I43" s="116">
        <v>31.6</v>
      </c>
      <c r="J43" s="116">
        <v>28.5</v>
      </c>
      <c r="K43" s="116">
        <v>26.2</v>
      </c>
      <c r="L43" s="116">
        <v>24.2</v>
      </c>
      <c r="M43" s="116">
        <v>22.6</v>
      </c>
      <c r="N43" s="116">
        <v>21.2</v>
      </c>
      <c r="O43" s="116">
        <v>20</v>
      </c>
      <c r="P43" s="116">
        <v>19</v>
      </c>
      <c r="Q43" s="116">
        <v>18.100000000000001</v>
      </c>
      <c r="R43" s="116">
        <v>17.399999999999999</v>
      </c>
      <c r="S43" s="116">
        <v>16.7</v>
      </c>
      <c r="T43" s="116">
        <v>16.100000000000001</v>
      </c>
      <c r="U43" s="116">
        <v>15.5</v>
      </c>
    </row>
    <row r="44" spans="1:21" x14ac:dyDescent="0.25">
      <c r="A44" s="80">
        <v>33</v>
      </c>
      <c r="B44" s="116">
        <v>225.4</v>
      </c>
      <c r="C44" s="116">
        <v>114.8</v>
      </c>
      <c r="D44" s="116">
        <v>78</v>
      </c>
      <c r="E44" s="116">
        <v>59.5</v>
      </c>
      <c r="F44" s="116">
        <v>48.5</v>
      </c>
      <c r="G44" s="116">
        <v>41.2</v>
      </c>
      <c r="H44" s="116">
        <v>35.9</v>
      </c>
      <c r="I44" s="116">
        <v>32</v>
      </c>
      <c r="J44" s="116">
        <v>29</v>
      </c>
      <c r="K44" s="116">
        <v>26.5</v>
      </c>
      <c r="L44" s="116">
        <v>24.5</v>
      </c>
      <c r="M44" s="116">
        <v>22.9</v>
      </c>
      <c r="N44" s="116">
        <v>21.5</v>
      </c>
      <c r="O44" s="116">
        <v>20.3</v>
      </c>
      <c r="P44" s="116">
        <v>19.3</v>
      </c>
      <c r="Q44" s="116">
        <v>18.399999999999999</v>
      </c>
      <c r="R44" s="116">
        <v>17.600000000000001</v>
      </c>
      <c r="S44" s="116">
        <v>16.899999999999999</v>
      </c>
      <c r="T44" s="116">
        <v>16.3</v>
      </c>
      <c r="U44" s="116">
        <v>15.8</v>
      </c>
    </row>
    <row r="45" spans="1:21" x14ac:dyDescent="0.25">
      <c r="A45" s="80">
        <v>34</v>
      </c>
      <c r="B45" s="116">
        <v>228.6</v>
      </c>
      <c r="C45" s="116">
        <v>116.4</v>
      </c>
      <c r="D45" s="116">
        <v>79.099999999999994</v>
      </c>
      <c r="E45" s="116">
        <v>60.4</v>
      </c>
      <c r="F45" s="116">
        <v>49.2</v>
      </c>
      <c r="G45" s="116">
        <v>41.7</v>
      </c>
      <c r="H45" s="116">
        <v>36.4</v>
      </c>
      <c r="I45" s="116">
        <v>32.5</v>
      </c>
      <c r="J45" s="116">
        <v>29.4</v>
      </c>
      <c r="K45" s="116">
        <v>26.9</v>
      </c>
      <c r="L45" s="116">
        <v>24.9</v>
      </c>
      <c r="M45" s="116">
        <v>23.2</v>
      </c>
      <c r="N45" s="116">
        <v>21.8</v>
      </c>
      <c r="O45" s="116">
        <v>20.6</v>
      </c>
      <c r="P45" s="116">
        <v>19.600000000000001</v>
      </c>
      <c r="Q45" s="116">
        <v>18.7</v>
      </c>
      <c r="R45" s="116">
        <v>17.899999999999999</v>
      </c>
      <c r="S45" s="116">
        <v>17.2</v>
      </c>
      <c r="T45" s="116">
        <v>16.5</v>
      </c>
      <c r="U45" s="116">
        <v>16</v>
      </c>
    </row>
    <row r="46" spans="1:21" x14ac:dyDescent="0.25">
      <c r="A46" s="80">
        <v>35</v>
      </c>
      <c r="B46" s="116">
        <v>231.8</v>
      </c>
      <c r="C46" s="116">
        <v>118.1</v>
      </c>
      <c r="D46" s="116">
        <v>80.2</v>
      </c>
      <c r="E46" s="116">
        <v>61.2</v>
      </c>
      <c r="F46" s="116">
        <v>49.9</v>
      </c>
      <c r="G46" s="116">
        <v>42.3</v>
      </c>
      <c r="H46" s="116">
        <v>37</v>
      </c>
      <c r="I46" s="116">
        <v>32.9</v>
      </c>
      <c r="J46" s="116">
        <v>29.8</v>
      </c>
      <c r="K46" s="116">
        <v>27.3</v>
      </c>
      <c r="L46" s="116">
        <v>25.3</v>
      </c>
      <c r="M46" s="116">
        <v>23.6</v>
      </c>
      <c r="N46" s="116">
        <v>22.1</v>
      </c>
      <c r="O46" s="116">
        <v>20.9</v>
      </c>
      <c r="P46" s="116">
        <v>19.899999999999999</v>
      </c>
      <c r="Q46" s="116">
        <v>18.899999999999999</v>
      </c>
      <c r="R46" s="116">
        <v>18.100000000000001</v>
      </c>
      <c r="S46" s="116">
        <v>17.399999999999999</v>
      </c>
      <c r="T46" s="116">
        <v>16.8</v>
      </c>
      <c r="U46" s="116">
        <v>16.2</v>
      </c>
    </row>
    <row r="47" spans="1:21" x14ac:dyDescent="0.25">
      <c r="A47" s="80">
        <v>36</v>
      </c>
      <c r="B47" s="116">
        <v>235.1</v>
      </c>
      <c r="C47" s="116">
        <v>119.7</v>
      </c>
      <c r="D47" s="116">
        <v>81.3</v>
      </c>
      <c r="E47" s="116">
        <v>62.1</v>
      </c>
      <c r="F47" s="116">
        <v>50.6</v>
      </c>
      <c r="G47" s="116">
        <v>42.9</v>
      </c>
      <c r="H47" s="116">
        <v>37.5</v>
      </c>
      <c r="I47" s="116">
        <v>33.4</v>
      </c>
      <c r="J47" s="116">
        <v>30.2</v>
      </c>
      <c r="K47" s="116">
        <v>27.7</v>
      </c>
      <c r="L47" s="116">
        <v>25.6</v>
      </c>
      <c r="M47" s="116">
        <v>23.9</v>
      </c>
      <c r="N47" s="116">
        <v>22.5</v>
      </c>
      <c r="O47" s="116">
        <v>21.2</v>
      </c>
      <c r="P47" s="116">
        <v>20.2</v>
      </c>
      <c r="Q47" s="116">
        <v>19.2</v>
      </c>
      <c r="R47" s="116">
        <v>18.399999999999999</v>
      </c>
      <c r="S47" s="116">
        <v>17.7</v>
      </c>
      <c r="T47" s="116">
        <v>17</v>
      </c>
      <c r="U47" s="116">
        <v>16.5</v>
      </c>
    </row>
    <row r="48" spans="1:21" x14ac:dyDescent="0.25">
      <c r="A48" s="80">
        <v>37</v>
      </c>
      <c r="B48" s="116">
        <v>238.3</v>
      </c>
      <c r="C48" s="116">
        <v>121.4</v>
      </c>
      <c r="D48" s="116">
        <v>82.4</v>
      </c>
      <c r="E48" s="116">
        <v>63</v>
      </c>
      <c r="F48" s="116">
        <v>51.3</v>
      </c>
      <c r="G48" s="116">
        <v>43.6</v>
      </c>
      <c r="H48" s="116">
        <v>38</v>
      </c>
      <c r="I48" s="116">
        <v>33.9</v>
      </c>
      <c r="J48" s="116">
        <v>30.7</v>
      </c>
      <c r="K48" s="116">
        <v>28.1</v>
      </c>
      <c r="L48" s="116">
        <v>26</v>
      </c>
      <c r="M48" s="116">
        <v>24.2</v>
      </c>
      <c r="N48" s="116">
        <v>22.8</v>
      </c>
      <c r="O48" s="116">
        <v>21.5</v>
      </c>
      <c r="P48" s="116">
        <v>20.399999999999999</v>
      </c>
      <c r="Q48" s="116">
        <v>19.5</v>
      </c>
      <c r="R48" s="116">
        <v>18.7</v>
      </c>
      <c r="S48" s="116">
        <v>18</v>
      </c>
      <c r="T48" s="116">
        <v>17.3</v>
      </c>
      <c r="U48" s="116">
        <v>16.7</v>
      </c>
    </row>
    <row r="49" spans="1:21" x14ac:dyDescent="0.25">
      <c r="A49" s="80">
        <v>38</v>
      </c>
      <c r="B49" s="116">
        <v>241.7</v>
      </c>
      <c r="C49" s="116">
        <v>123.1</v>
      </c>
      <c r="D49" s="116">
        <v>83.6</v>
      </c>
      <c r="E49" s="116">
        <v>63.9</v>
      </c>
      <c r="F49" s="116">
        <v>52</v>
      </c>
      <c r="G49" s="116">
        <v>44.2</v>
      </c>
      <c r="H49" s="116">
        <v>38.6</v>
      </c>
      <c r="I49" s="116">
        <v>34.4</v>
      </c>
      <c r="J49" s="116">
        <v>31.1</v>
      </c>
      <c r="K49" s="116">
        <v>28.5</v>
      </c>
      <c r="L49" s="116">
        <v>26.4</v>
      </c>
      <c r="M49" s="116">
        <v>24.6</v>
      </c>
      <c r="N49" s="116">
        <v>23.1</v>
      </c>
      <c r="O49" s="116">
        <v>21.8</v>
      </c>
      <c r="P49" s="116">
        <v>20.8</v>
      </c>
      <c r="Q49" s="116">
        <v>19.8</v>
      </c>
      <c r="R49" s="116">
        <v>19</v>
      </c>
      <c r="S49" s="116">
        <v>18.2</v>
      </c>
      <c r="T49" s="116">
        <v>17.600000000000001</v>
      </c>
      <c r="U49" s="116">
        <v>17</v>
      </c>
    </row>
    <row r="50" spans="1:21" x14ac:dyDescent="0.25">
      <c r="A50" s="80">
        <v>39</v>
      </c>
      <c r="B50" s="116">
        <v>245.1</v>
      </c>
      <c r="C50" s="116">
        <v>124.8</v>
      </c>
      <c r="D50" s="116">
        <v>84.8</v>
      </c>
      <c r="E50" s="116">
        <v>64.8</v>
      </c>
      <c r="F50" s="116">
        <v>52.8</v>
      </c>
      <c r="G50" s="116">
        <v>44.8</v>
      </c>
      <c r="H50" s="116">
        <v>39.1</v>
      </c>
      <c r="I50" s="116">
        <v>34.799999999999997</v>
      </c>
      <c r="J50" s="116">
        <v>31.5</v>
      </c>
      <c r="K50" s="116">
        <v>28.9</v>
      </c>
      <c r="L50" s="116">
        <v>26.7</v>
      </c>
      <c r="M50" s="116">
        <v>25</v>
      </c>
      <c r="N50" s="116">
        <v>23.5</v>
      </c>
      <c r="O50" s="116">
        <v>22.2</v>
      </c>
      <c r="P50" s="116">
        <v>21.1</v>
      </c>
      <c r="Q50" s="116">
        <v>20.100000000000001</v>
      </c>
      <c r="R50" s="116">
        <v>19.3</v>
      </c>
      <c r="S50" s="116">
        <v>18.5</v>
      </c>
      <c r="T50" s="116">
        <v>17.8</v>
      </c>
      <c r="U50" s="116">
        <v>17.3</v>
      </c>
    </row>
    <row r="51" spans="1:21" x14ac:dyDescent="0.25">
      <c r="A51" s="80">
        <v>40</v>
      </c>
      <c r="B51" s="116">
        <v>248.5</v>
      </c>
      <c r="C51" s="116">
        <v>126.6</v>
      </c>
      <c r="D51" s="116">
        <v>86</v>
      </c>
      <c r="E51" s="116">
        <v>65.7</v>
      </c>
      <c r="F51" s="116">
        <v>53.5</v>
      </c>
      <c r="G51" s="116">
        <v>45.4</v>
      </c>
      <c r="H51" s="116">
        <v>39.700000000000003</v>
      </c>
      <c r="I51" s="116">
        <v>35.299999999999997</v>
      </c>
      <c r="J51" s="116">
        <v>32</v>
      </c>
      <c r="K51" s="116">
        <v>29.3</v>
      </c>
      <c r="L51" s="116">
        <v>27.1</v>
      </c>
      <c r="M51" s="116">
        <v>25.3</v>
      </c>
      <c r="N51" s="116">
        <v>23.8</v>
      </c>
      <c r="O51" s="116">
        <v>22.5</v>
      </c>
      <c r="P51" s="116">
        <v>21.4</v>
      </c>
      <c r="Q51" s="116">
        <v>20.399999999999999</v>
      </c>
      <c r="R51" s="116">
        <v>19.5</v>
      </c>
      <c r="S51" s="116">
        <v>18.8</v>
      </c>
      <c r="T51" s="116">
        <v>18.100000000000001</v>
      </c>
      <c r="U51" s="116">
        <v>17.5</v>
      </c>
    </row>
    <row r="52" spans="1:21" x14ac:dyDescent="0.25">
      <c r="A52" s="80">
        <v>41</v>
      </c>
      <c r="B52" s="116">
        <v>252</v>
      </c>
      <c r="C52" s="116">
        <v>128.4</v>
      </c>
      <c r="D52" s="116">
        <v>87.2</v>
      </c>
      <c r="E52" s="116">
        <v>66.599999999999994</v>
      </c>
      <c r="F52" s="116">
        <v>54.3</v>
      </c>
      <c r="G52" s="116">
        <v>46.1</v>
      </c>
      <c r="H52" s="116">
        <v>40.200000000000003</v>
      </c>
      <c r="I52" s="116">
        <v>35.9</v>
      </c>
      <c r="J52" s="116">
        <v>32.5</v>
      </c>
      <c r="K52" s="116">
        <v>29.7</v>
      </c>
      <c r="L52" s="116">
        <v>27.5</v>
      </c>
      <c r="M52" s="116">
        <v>25.7</v>
      </c>
      <c r="N52" s="116">
        <v>24.2</v>
      </c>
      <c r="O52" s="116">
        <v>22.8</v>
      </c>
      <c r="P52" s="116">
        <v>21.7</v>
      </c>
      <c r="Q52" s="116">
        <v>20.7</v>
      </c>
      <c r="R52" s="116">
        <v>19.8</v>
      </c>
      <c r="S52" s="116">
        <v>19.100000000000001</v>
      </c>
      <c r="T52" s="116">
        <v>18.399999999999999</v>
      </c>
      <c r="U52" s="116">
        <v>17.8</v>
      </c>
    </row>
    <row r="53" spans="1:21" x14ac:dyDescent="0.25">
      <c r="A53" s="80">
        <v>42</v>
      </c>
      <c r="B53" s="116">
        <v>255.5</v>
      </c>
      <c r="C53" s="116">
        <v>130.19999999999999</v>
      </c>
      <c r="D53" s="116">
        <v>88.4</v>
      </c>
      <c r="E53" s="116">
        <v>67.599999999999994</v>
      </c>
      <c r="F53" s="116">
        <v>55.1</v>
      </c>
      <c r="G53" s="116">
        <v>46.7</v>
      </c>
      <c r="H53" s="116">
        <v>40.799999999999997</v>
      </c>
      <c r="I53" s="116">
        <v>36.4</v>
      </c>
      <c r="J53" s="116">
        <v>32.9</v>
      </c>
      <c r="K53" s="116">
        <v>30.2</v>
      </c>
      <c r="L53" s="116">
        <v>27.9</v>
      </c>
      <c r="M53" s="116">
        <v>26.1</v>
      </c>
      <c r="N53" s="116">
        <v>24.5</v>
      </c>
      <c r="O53" s="116">
        <v>23.2</v>
      </c>
      <c r="P53" s="116">
        <v>22</v>
      </c>
      <c r="Q53" s="116">
        <v>21</v>
      </c>
      <c r="R53" s="116">
        <v>20.2</v>
      </c>
      <c r="S53" s="116">
        <v>19.399999999999999</v>
      </c>
      <c r="T53" s="116">
        <v>18.7</v>
      </c>
      <c r="U53" s="116">
        <v>18.100000000000001</v>
      </c>
    </row>
    <row r="54" spans="1:21" x14ac:dyDescent="0.25">
      <c r="A54" s="80">
        <v>43</v>
      </c>
      <c r="B54" s="116">
        <v>259.10000000000002</v>
      </c>
      <c r="C54" s="116">
        <v>132</v>
      </c>
      <c r="D54" s="116">
        <v>89.7</v>
      </c>
      <c r="E54" s="116">
        <v>68.5</v>
      </c>
      <c r="F54" s="116">
        <v>55.9</v>
      </c>
      <c r="G54" s="116">
        <v>47.4</v>
      </c>
      <c r="H54" s="116">
        <v>41.4</v>
      </c>
      <c r="I54" s="116">
        <v>36.9</v>
      </c>
      <c r="J54" s="116">
        <v>33.4</v>
      </c>
      <c r="K54" s="116">
        <v>30.6</v>
      </c>
      <c r="L54" s="116">
        <v>28.4</v>
      </c>
      <c r="M54" s="116">
        <v>26.5</v>
      </c>
      <c r="N54" s="116">
        <v>24.9</v>
      </c>
      <c r="O54" s="116">
        <v>23.5</v>
      </c>
      <c r="P54" s="116">
        <v>22.4</v>
      </c>
      <c r="Q54" s="116">
        <v>21.4</v>
      </c>
      <c r="R54" s="116">
        <v>20.5</v>
      </c>
      <c r="S54" s="116">
        <v>19.7</v>
      </c>
      <c r="T54" s="116">
        <v>19</v>
      </c>
      <c r="U54" s="116">
        <v>18.399999999999999</v>
      </c>
    </row>
    <row r="55" spans="1:21" x14ac:dyDescent="0.25">
      <c r="A55" s="80">
        <v>44</v>
      </c>
      <c r="B55" s="116">
        <v>262.7</v>
      </c>
      <c r="C55" s="116">
        <v>133.9</v>
      </c>
      <c r="D55" s="116">
        <v>90.9</v>
      </c>
      <c r="E55" s="116">
        <v>69.5</v>
      </c>
      <c r="F55" s="116">
        <v>56.6</v>
      </c>
      <c r="G55" s="116">
        <v>48.1</v>
      </c>
      <c r="H55" s="116">
        <v>42</v>
      </c>
      <c r="I55" s="116">
        <v>37.4</v>
      </c>
      <c r="J55" s="116">
        <v>33.9</v>
      </c>
      <c r="K55" s="116">
        <v>31.1</v>
      </c>
      <c r="L55" s="116">
        <v>28.8</v>
      </c>
      <c r="M55" s="116">
        <v>26.9</v>
      </c>
      <c r="N55" s="116">
        <v>25.3</v>
      </c>
      <c r="O55" s="116">
        <v>23.9</v>
      </c>
      <c r="P55" s="116">
        <v>22.7</v>
      </c>
      <c r="Q55" s="116">
        <v>21.7</v>
      </c>
      <c r="R55" s="116">
        <v>20.8</v>
      </c>
      <c r="S55" s="116">
        <v>20</v>
      </c>
      <c r="T55" s="116">
        <v>19.3</v>
      </c>
      <c r="U55" s="116">
        <v>18.7</v>
      </c>
    </row>
    <row r="56" spans="1:21" x14ac:dyDescent="0.25">
      <c r="A56" s="80">
        <v>45</v>
      </c>
      <c r="B56" s="116">
        <v>266.39999999999998</v>
      </c>
      <c r="C56" s="116">
        <v>135.69999999999999</v>
      </c>
      <c r="D56" s="116">
        <v>92.2</v>
      </c>
      <c r="E56" s="116">
        <v>70.5</v>
      </c>
      <c r="F56" s="116">
        <v>57.5</v>
      </c>
      <c r="G56" s="116">
        <v>48.8</v>
      </c>
      <c r="H56" s="116">
        <v>42.6</v>
      </c>
      <c r="I56" s="116">
        <v>38</v>
      </c>
      <c r="J56" s="116">
        <v>34.4</v>
      </c>
      <c r="K56" s="116">
        <v>31.5</v>
      </c>
      <c r="L56" s="116">
        <v>29.2</v>
      </c>
      <c r="M56" s="116">
        <v>27.3</v>
      </c>
      <c r="N56" s="116">
        <v>25.7</v>
      </c>
      <c r="O56" s="116">
        <v>24.3</v>
      </c>
      <c r="P56" s="116">
        <v>23.1</v>
      </c>
      <c r="Q56" s="116">
        <v>22.1</v>
      </c>
      <c r="R56" s="116">
        <v>21.2</v>
      </c>
      <c r="S56" s="116">
        <v>20.399999999999999</v>
      </c>
      <c r="T56" s="116">
        <v>19.600000000000001</v>
      </c>
      <c r="U56" s="116">
        <v>19</v>
      </c>
    </row>
    <row r="57" spans="1:21" x14ac:dyDescent="0.25">
      <c r="A57" s="80">
        <v>46</v>
      </c>
      <c r="B57" s="116">
        <v>270.10000000000002</v>
      </c>
      <c r="C57" s="116">
        <v>137.6</v>
      </c>
      <c r="D57" s="116">
        <v>93.5</v>
      </c>
      <c r="E57" s="116">
        <v>71.5</v>
      </c>
      <c r="F57" s="116">
        <v>58.3</v>
      </c>
      <c r="G57" s="116">
        <v>49.5</v>
      </c>
      <c r="H57" s="116">
        <v>43.2</v>
      </c>
      <c r="I57" s="116">
        <v>38.5</v>
      </c>
      <c r="J57" s="116">
        <v>34.9</v>
      </c>
      <c r="K57" s="116">
        <v>32</v>
      </c>
      <c r="L57" s="116">
        <v>29.7</v>
      </c>
      <c r="M57" s="116">
        <v>27.7</v>
      </c>
      <c r="N57" s="116">
        <v>26.1</v>
      </c>
      <c r="O57" s="116">
        <v>24.7</v>
      </c>
      <c r="P57" s="116">
        <v>23.5</v>
      </c>
      <c r="Q57" s="116">
        <v>22.4</v>
      </c>
      <c r="R57" s="116">
        <v>21.5</v>
      </c>
      <c r="S57" s="116">
        <v>20.7</v>
      </c>
      <c r="T57" s="116">
        <v>20</v>
      </c>
      <c r="U57" s="116">
        <v>19.399999999999999</v>
      </c>
    </row>
    <row r="58" spans="1:21" x14ac:dyDescent="0.25">
      <c r="A58" s="80">
        <v>47</v>
      </c>
      <c r="B58" s="116">
        <v>273.89999999999998</v>
      </c>
      <c r="C58" s="116">
        <v>139.6</v>
      </c>
      <c r="D58" s="116">
        <v>94.8</v>
      </c>
      <c r="E58" s="116">
        <v>72.5</v>
      </c>
      <c r="F58" s="116">
        <v>59.1</v>
      </c>
      <c r="G58" s="116">
        <v>50.2</v>
      </c>
      <c r="H58" s="116">
        <v>43.9</v>
      </c>
      <c r="I58" s="116">
        <v>39.1</v>
      </c>
      <c r="J58" s="116">
        <v>35.4</v>
      </c>
      <c r="K58" s="116">
        <v>32.5</v>
      </c>
      <c r="L58" s="116">
        <v>30.1</v>
      </c>
      <c r="M58" s="116">
        <v>28.2</v>
      </c>
      <c r="N58" s="116">
        <v>26.5</v>
      </c>
      <c r="O58" s="116">
        <v>25.1</v>
      </c>
      <c r="P58" s="116">
        <v>23.9</v>
      </c>
      <c r="Q58" s="116">
        <v>22.8</v>
      </c>
      <c r="R58" s="116">
        <v>21.9</v>
      </c>
      <c r="S58" s="116">
        <v>21.1</v>
      </c>
      <c r="T58" s="116">
        <v>20.3</v>
      </c>
      <c r="U58" s="116">
        <v>19.7</v>
      </c>
    </row>
    <row r="59" spans="1:21" x14ac:dyDescent="0.25">
      <c r="A59" s="80">
        <v>48</v>
      </c>
      <c r="B59" s="116">
        <v>277.7</v>
      </c>
      <c r="C59" s="116">
        <v>141.6</v>
      </c>
      <c r="D59" s="116">
        <v>96.2</v>
      </c>
      <c r="E59" s="116">
        <v>73.5</v>
      </c>
      <c r="F59" s="116">
        <v>60</v>
      </c>
      <c r="G59" s="116">
        <v>51</v>
      </c>
      <c r="H59" s="116">
        <v>44.5</v>
      </c>
      <c r="I59" s="116">
        <v>39.700000000000003</v>
      </c>
      <c r="J59" s="116">
        <v>36</v>
      </c>
      <c r="K59" s="116">
        <v>33</v>
      </c>
      <c r="L59" s="116">
        <v>30.6</v>
      </c>
      <c r="M59" s="116">
        <v>28.6</v>
      </c>
      <c r="N59" s="116">
        <v>26.9</v>
      </c>
      <c r="O59" s="116">
        <v>25.5</v>
      </c>
      <c r="P59" s="116">
        <v>24.3</v>
      </c>
      <c r="Q59" s="116">
        <v>23.2</v>
      </c>
      <c r="R59" s="116">
        <v>22.3</v>
      </c>
      <c r="S59" s="116">
        <v>21.4</v>
      </c>
      <c r="T59" s="116">
        <v>20.7</v>
      </c>
      <c r="U59" s="116"/>
    </row>
    <row r="60" spans="1:21" x14ac:dyDescent="0.25">
      <c r="A60" s="80">
        <v>49</v>
      </c>
      <c r="B60" s="116">
        <v>281.60000000000002</v>
      </c>
      <c r="C60" s="116">
        <v>143.6</v>
      </c>
      <c r="D60" s="116">
        <v>97.6</v>
      </c>
      <c r="E60" s="116">
        <v>74.599999999999994</v>
      </c>
      <c r="F60" s="116">
        <v>60.9</v>
      </c>
      <c r="G60" s="116">
        <v>51.7</v>
      </c>
      <c r="H60" s="116">
        <v>45.2</v>
      </c>
      <c r="I60" s="116">
        <v>40.299999999999997</v>
      </c>
      <c r="J60" s="116">
        <v>36.6</v>
      </c>
      <c r="K60" s="116">
        <v>33.6</v>
      </c>
      <c r="L60" s="116">
        <v>31.1</v>
      </c>
      <c r="M60" s="116">
        <v>29.1</v>
      </c>
      <c r="N60" s="116">
        <v>27.4</v>
      </c>
      <c r="O60" s="116">
        <v>25.9</v>
      </c>
      <c r="P60" s="116">
        <v>24.7</v>
      </c>
      <c r="Q60" s="116">
        <v>23.6</v>
      </c>
      <c r="R60" s="116">
        <v>22.7</v>
      </c>
      <c r="S60" s="116">
        <v>21.8</v>
      </c>
      <c r="T60" s="116"/>
      <c r="U60" s="116"/>
    </row>
    <row r="61" spans="1:21" x14ac:dyDescent="0.25">
      <c r="A61" s="80">
        <v>50</v>
      </c>
      <c r="B61" s="116">
        <v>285.7</v>
      </c>
      <c r="C61" s="116">
        <v>145.69999999999999</v>
      </c>
      <c r="D61" s="116">
        <v>99</v>
      </c>
      <c r="E61" s="116">
        <v>75.8</v>
      </c>
      <c r="F61" s="116">
        <v>61.8</v>
      </c>
      <c r="G61" s="116">
        <v>52.5</v>
      </c>
      <c r="H61" s="116">
        <v>45.9</v>
      </c>
      <c r="I61" s="116">
        <v>41</v>
      </c>
      <c r="J61" s="116">
        <v>37.200000000000003</v>
      </c>
      <c r="K61" s="116">
        <v>34.1</v>
      </c>
      <c r="L61" s="116">
        <v>31.6</v>
      </c>
      <c r="M61" s="116">
        <v>29.6</v>
      </c>
      <c r="N61" s="116">
        <v>27.9</v>
      </c>
      <c r="O61" s="116">
        <v>26.4</v>
      </c>
      <c r="P61" s="116">
        <v>25.1</v>
      </c>
      <c r="Q61" s="116">
        <v>24</v>
      </c>
      <c r="R61" s="116">
        <v>23.1</v>
      </c>
      <c r="S61" s="116"/>
      <c r="T61" s="116"/>
      <c r="U61" s="116"/>
    </row>
    <row r="62" spans="1:21" x14ac:dyDescent="0.25">
      <c r="A62" s="80">
        <v>51</v>
      </c>
      <c r="B62" s="116">
        <v>289.8</v>
      </c>
      <c r="C62" s="116">
        <v>147.80000000000001</v>
      </c>
      <c r="D62" s="116">
        <v>100.5</v>
      </c>
      <c r="E62" s="116">
        <v>76.900000000000006</v>
      </c>
      <c r="F62" s="116">
        <v>62.8</v>
      </c>
      <c r="G62" s="116">
        <v>53.4</v>
      </c>
      <c r="H62" s="116">
        <v>46.7</v>
      </c>
      <c r="I62" s="116">
        <v>41.7</v>
      </c>
      <c r="J62" s="116">
        <v>37.799999999999997</v>
      </c>
      <c r="K62" s="116">
        <v>34.700000000000003</v>
      </c>
      <c r="L62" s="116">
        <v>32.200000000000003</v>
      </c>
      <c r="M62" s="116">
        <v>30.1</v>
      </c>
      <c r="N62" s="116">
        <v>28.3</v>
      </c>
      <c r="O62" s="116">
        <v>26.9</v>
      </c>
      <c r="P62" s="116">
        <v>25.6</v>
      </c>
      <c r="Q62" s="116">
        <v>24.5</v>
      </c>
      <c r="R62" s="116"/>
      <c r="S62" s="116"/>
      <c r="T62" s="116"/>
      <c r="U62" s="116"/>
    </row>
    <row r="63" spans="1:21" x14ac:dyDescent="0.25">
      <c r="A63" s="80">
        <v>52</v>
      </c>
      <c r="B63" s="116">
        <v>293.89999999999998</v>
      </c>
      <c r="C63" s="116">
        <v>149.9</v>
      </c>
      <c r="D63" s="116">
        <v>102</v>
      </c>
      <c r="E63" s="116">
        <v>78.099999999999994</v>
      </c>
      <c r="F63" s="116">
        <v>63.7</v>
      </c>
      <c r="G63" s="116">
        <v>54.2</v>
      </c>
      <c r="H63" s="116">
        <v>47.4</v>
      </c>
      <c r="I63" s="116">
        <v>42.3</v>
      </c>
      <c r="J63" s="116">
        <v>38.4</v>
      </c>
      <c r="K63" s="116">
        <v>35.299999999999997</v>
      </c>
      <c r="L63" s="116">
        <v>32.700000000000003</v>
      </c>
      <c r="M63" s="116">
        <v>30.6</v>
      </c>
      <c r="N63" s="116">
        <v>28.8</v>
      </c>
      <c r="O63" s="116">
        <v>27.3</v>
      </c>
      <c r="P63" s="116">
        <v>26.1</v>
      </c>
      <c r="Q63" s="116"/>
      <c r="R63" s="116"/>
      <c r="S63" s="116"/>
      <c r="T63" s="116"/>
      <c r="U63" s="116"/>
    </row>
    <row r="64" spans="1:21" x14ac:dyDescent="0.25">
      <c r="A64" s="80">
        <v>53</v>
      </c>
      <c r="B64" s="116">
        <v>298.10000000000002</v>
      </c>
      <c r="C64" s="116">
        <v>152.1</v>
      </c>
      <c r="D64" s="116">
        <v>103.5</v>
      </c>
      <c r="E64" s="116">
        <v>79.2</v>
      </c>
      <c r="F64" s="116">
        <v>64.7</v>
      </c>
      <c r="G64" s="116">
        <v>55</v>
      </c>
      <c r="H64" s="116">
        <v>48.2</v>
      </c>
      <c r="I64" s="116">
        <v>43</v>
      </c>
      <c r="J64" s="116">
        <v>39</v>
      </c>
      <c r="K64" s="116">
        <v>35.9</v>
      </c>
      <c r="L64" s="116">
        <v>33.299999999999997</v>
      </c>
      <c r="M64" s="116">
        <v>31.2</v>
      </c>
      <c r="N64" s="116">
        <v>29.4</v>
      </c>
      <c r="O64" s="116">
        <v>27.9</v>
      </c>
      <c r="P64" s="116"/>
      <c r="Q64" s="116"/>
      <c r="R64" s="116"/>
      <c r="S64" s="116"/>
      <c r="T64" s="116"/>
      <c r="U64" s="116"/>
    </row>
    <row r="65" spans="1:21" x14ac:dyDescent="0.25">
      <c r="A65" s="80">
        <v>54</v>
      </c>
      <c r="B65" s="116">
        <v>302.39999999999998</v>
      </c>
      <c r="C65" s="116">
        <v>154.30000000000001</v>
      </c>
      <c r="D65" s="116">
        <v>105</v>
      </c>
      <c r="E65" s="116">
        <v>80.400000000000006</v>
      </c>
      <c r="F65" s="116">
        <v>65.7</v>
      </c>
      <c r="G65" s="116">
        <v>55.9</v>
      </c>
      <c r="H65" s="116">
        <v>48.9</v>
      </c>
      <c r="I65" s="116">
        <v>43.7</v>
      </c>
      <c r="J65" s="116">
        <v>39.700000000000003</v>
      </c>
      <c r="K65" s="116">
        <v>36.5</v>
      </c>
      <c r="L65" s="116">
        <v>33.9</v>
      </c>
      <c r="M65" s="116">
        <v>31.7</v>
      </c>
      <c r="N65" s="116">
        <v>29.9</v>
      </c>
      <c r="O65" s="116"/>
      <c r="P65" s="116"/>
      <c r="Q65" s="116"/>
      <c r="R65" s="116"/>
      <c r="S65" s="116"/>
      <c r="T65" s="116"/>
      <c r="U65" s="116"/>
    </row>
    <row r="66" spans="1:21" x14ac:dyDescent="0.25">
      <c r="A66" s="80">
        <v>55</v>
      </c>
      <c r="B66" s="116">
        <v>306.7</v>
      </c>
      <c r="C66" s="116">
        <v>156.6</v>
      </c>
      <c r="D66" s="116">
        <v>106.6</v>
      </c>
      <c r="E66" s="116">
        <v>81.7</v>
      </c>
      <c r="F66" s="116">
        <v>66.7</v>
      </c>
      <c r="G66" s="116">
        <v>56.8</v>
      </c>
      <c r="H66" s="116">
        <v>49.7</v>
      </c>
      <c r="I66" s="116">
        <v>44.4</v>
      </c>
      <c r="J66" s="116">
        <v>40.4</v>
      </c>
      <c r="K66" s="116">
        <v>37.1</v>
      </c>
      <c r="L66" s="116">
        <v>34.5</v>
      </c>
      <c r="M66" s="116">
        <v>32.299999999999997</v>
      </c>
      <c r="N66" s="116"/>
      <c r="O66" s="116"/>
      <c r="P66" s="116"/>
      <c r="Q66" s="116"/>
      <c r="R66" s="116"/>
      <c r="S66" s="116"/>
      <c r="T66" s="116"/>
      <c r="U66" s="116"/>
    </row>
    <row r="67" spans="1:21" x14ac:dyDescent="0.25">
      <c r="A67" s="80">
        <v>56</v>
      </c>
      <c r="B67" s="116">
        <v>311.2</v>
      </c>
      <c r="C67" s="116">
        <v>158.9</v>
      </c>
      <c r="D67" s="116">
        <v>108.2</v>
      </c>
      <c r="E67" s="116">
        <v>82.9</v>
      </c>
      <c r="F67" s="116">
        <v>67.8</v>
      </c>
      <c r="G67" s="116">
        <v>57.7</v>
      </c>
      <c r="H67" s="116">
        <v>50.5</v>
      </c>
      <c r="I67" s="116">
        <v>45.2</v>
      </c>
      <c r="J67" s="116">
        <v>41</v>
      </c>
      <c r="K67" s="116">
        <v>37.700000000000003</v>
      </c>
      <c r="L67" s="116">
        <v>35.1</v>
      </c>
      <c r="M67" s="116"/>
      <c r="N67" s="116"/>
      <c r="O67" s="116"/>
      <c r="P67" s="116"/>
      <c r="Q67" s="116"/>
      <c r="R67" s="116"/>
      <c r="S67" s="116"/>
      <c r="T67" s="116"/>
      <c r="U67" s="116"/>
    </row>
    <row r="68" spans="1:21" x14ac:dyDescent="0.25">
      <c r="A68" s="80">
        <v>57</v>
      </c>
      <c r="B68" s="116">
        <v>315.7</v>
      </c>
      <c r="C68" s="116">
        <v>161.30000000000001</v>
      </c>
      <c r="D68" s="116">
        <v>109.9</v>
      </c>
      <c r="E68" s="116">
        <v>84.2</v>
      </c>
      <c r="F68" s="116">
        <v>68.900000000000006</v>
      </c>
      <c r="G68" s="116">
        <v>58.7</v>
      </c>
      <c r="H68" s="116">
        <v>51.4</v>
      </c>
      <c r="I68" s="116">
        <v>46</v>
      </c>
      <c r="J68" s="116">
        <v>41.7</v>
      </c>
      <c r="K68" s="116">
        <v>38.5</v>
      </c>
      <c r="L68" s="116"/>
      <c r="M68" s="116"/>
      <c r="N68" s="116"/>
      <c r="O68" s="116"/>
      <c r="P68" s="116"/>
      <c r="Q68" s="116"/>
      <c r="R68" s="116"/>
      <c r="S68" s="116"/>
      <c r="T68" s="116"/>
      <c r="U68" s="116"/>
    </row>
    <row r="69" spans="1:21" x14ac:dyDescent="0.25">
      <c r="A69" s="80">
        <v>58</v>
      </c>
      <c r="B69" s="116">
        <v>320.5</v>
      </c>
      <c r="C69" s="116">
        <v>163.80000000000001</v>
      </c>
      <c r="D69" s="116">
        <v>111.6</v>
      </c>
      <c r="E69" s="116">
        <v>85.6</v>
      </c>
      <c r="F69" s="116">
        <v>70</v>
      </c>
      <c r="G69" s="116">
        <v>59.6</v>
      </c>
      <c r="H69" s="116">
        <v>52.3</v>
      </c>
      <c r="I69" s="116">
        <v>46.7</v>
      </c>
      <c r="J69" s="116">
        <v>42.5</v>
      </c>
      <c r="K69" s="116"/>
      <c r="L69" s="116"/>
      <c r="M69" s="116"/>
      <c r="N69" s="116"/>
      <c r="O69" s="116"/>
      <c r="P69" s="116"/>
      <c r="Q69" s="116"/>
      <c r="R69" s="116"/>
      <c r="S69" s="116"/>
      <c r="T69" s="116"/>
      <c r="U69" s="116"/>
    </row>
    <row r="70" spans="1:21" x14ac:dyDescent="0.25">
      <c r="A70" s="80">
        <v>59</v>
      </c>
      <c r="B70" s="116">
        <v>325.3</v>
      </c>
      <c r="C70" s="116">
        <v>166.3</v>
      </c>
      <c r="D70" s="116">
        <v>113.4</v>
      </c>
      <c r="E70" s="116">
        <v>87</v>
      </c>
      <c r="F70" s="116">
        <v>71.099999999999994</v>
      </c>
      <c r="G70" s="116">
        <v>60.6</v>
      </c>
      <c r="H70" s="116">
        <v>53.1</v>
      </c>
      <c r="I70" s="116">
        <v>47.6</v>
      </c>
      <c r="J70" s="116"/>
      <c r="K70" s="116"/>
      <c r="L70" s="116"/>
      <c r="M70" s="116"/>
      <c r="N70" s="116"/>
      <c r="O70" s="116"/>
      <c r="P70" s="116"/>
      <c r="Q70" s="116"/>
      <c r="R70" s="116"/>
      <c r="S70" s="116"/>
      <c r="T70" s="116"/>
      <c r="U70" s="116"/>
    </row>
    <row r="71" spans="1:21" x14ac:dyDescent="0.25">
      <c r="A71" s="80">
        <v>60</v>
      </c>
      <c r="B71" s="116">
        <v>330.4</v>
      </c>
      <c r="C71" s="116">
        <v>169</v>
      </c>
      <c r="D71" s="116">
        <v>115.2</v>
      </c>
      <c r="E71" s="116">
        <v>88.4</v>
      </c>
      <c r="F71" s="116">
        <v>72.3</v>
      </c>
      <c r="G71" s="116">
        <v>61.7</v>
      </c>
      <c r="H71" s="116">
        <v>54.1</v>
      </c>
      <c r="I71" s="116"/>
      <c r="J71" s="116"/>
      <c r="K71" s="116"/>
      <c r="L71" s="116"/>
      <c r="M71" s="116"/>
      <c r="N71" s="116"/>
      <c r="O71" s="116"/>
      <c r="P71" s="116"/>
      <c r="Q71" s="116"/>
      <c r="R71" s="116"/>
      <c r="S71" s="116"/>
      <c r="T71" s="116"/>
      <c r="U71" s="116"/>
    </row>
    <row r="72" spans="1:21" x14ac:dyDescent="0.25">
      <c r="A72" s="80">
        <v>61</v>
      </c>
      <c r="B72" s="116">
        <v>335.7</v>
      </c>
      <c r="C72" s="116">
        <v>171.7</v>
      </c>
      <c r="D72" s="116">
        <v>117.1</v>
      </c>
      <c r="E72" s="116">
        <v>89.9</v>
      </c>
      <c r="F72" s="116">
        <v>73.599999999999994</v>
      </c>
      <c r="G72" s="116">
        <v>62.8</v>
      </c>
      <c r="H72" s="116"/>
      <c r="I72" s="116"/>
      <c r="J72" s="116"/>
      <c r="K72" s="116"/>
      <c r="L72" s="116"/>
      <c r="M72" s="116"/>
      <c r="N72" s="116"/>
      <c r="O72" s="116"/>
      <c r="P72" s="116"/>
      <c r="Q72" s="116"/>
      <c r="R72" s="116"/>
      <c r="S72" s="116"/>
      <c r="T72" s="116"/>
      <c r="U72" s="116"/>
    </row>
    <row r="73" spans="1:21" x14ac:dyDescent="0.25">
      <c r="A73" s="80">
        <v>62</v>
      </c>
      <c r="B73" s="116">
        <v>341.2</v>
      </c>
      <c r="C73" s="116">
        <v>174.6</v>
      </c>
      <c r="D73" s="116">
        <v>119.1</v>
      </c>
      <c r="E73" s="116">
        <v>91.5</v>
      </c>
      <c r="F73" s="116">
        <v>75</v>
      </c>
      <c r="G73" s="116"/>
      <c r="H73" s="116"/>
      <c r="I73" s="116"/>
      <c r="J73" s="116"/>
      <c r="K73" s="116"/>
      <c r="L73" s="116"/>
      <c r="M73" s="116"/>
      <c r="N73" s="116"/>
      <c r="O73" s="116"/>
      <c r="P73" s="116"/>
      <c r="Q73" s="116"/>
      <c r="R73" s="116"/>
      <c r="S73" s="116"/>
      <c r="T73" s="116"/>
      <c r="U73" s="116"/>
    </row>
    <row r="74" spans="1:21" x14ac:dyDescent="0.25">
      <c r="A74" s="80">
        <v>63</v>
      </c>
      <c r="B74" s="116">
        <v>347</v>
      </c>
      <c r="C74" s="116">
        <v>177.6</v>
      </c>
      <c r="D74" s="116">
        <v>121.3</v>
      </c>
      <c r="E74" s="116">
        <v>93.2</v>
      </c>
      <c r="F74" s="116"/>
      <c r="G74" s="116"/>
      <c r="H74" s="116"/>
      <c r="I74" s="116"/>
      <c r="J74" s="116"/>
      <c r="K74" s="116"/>
      <c r="L74" s="116"/>
      <c r="M74" s="116"/>
      <c r="N74" s="116"/>
      <c r="O74" s="116"/>
      <c r="P74" s="116"/>
      <c r="Q74" s="116"/>
      <c r="R74" s="116"/>
      <c r="S74" s="116"/>
      <c r="T74" s="116"/>
      <c r="U74" s="116"/>
    </row>
    <row r="75" spans="1:21" x14ac:dyDescent="0.25">
      <c r="A75" s="80">
        <v>64</v>
      </c>
      <c r="B75" s="116">
        <v>353.1</v>
      </c>
      <c r="C75" s="116">
        <v>180.9</v>
      </c>
      <c r="D75" s="116">
        <v>123.5</v>
      </c>
      <c r="E75" s="116"/>
      <c r="F75" s="116"/>
      <c r="G75" s="116"/>
      <c r="H75" s="116"/>
      <c r="I75" s="116"/>
      <c r="J75" s="116"/>
      <c r="K75" s="116"/>
      <c r="L75" s="116"/>
      <c r="M75" s="116"/>
      <c r="N75" s="116"/>
      <c r="O75" s="116"/>
      <c r="P75" s="116"/>
      <c r="Q75" s="116"/>
      <c r="R75" s="116"/>
      <c r="S75" s="116"/>
      <c r="T75" s="116"/>
      <c r="U75" s="116"/>
    </row>
    <row r="76" spans="1:21" x14ac:dyDescent="0.25">
      <c r="A76" s="80">
        <v>65</v>
      </c>
      <c r="B76" s="116">
        <v>359.6</v>
      </c>
      <c r="C76" s="116">
        <v>184.3</v>
      </c>
      <c r="D76" s="116"/>
      <c r="E76" s="116"/>
      <c r="F76" s="116"/>
      <c r="G76" s="116"/>
      <c r="H76" s="116"/>
      <c r="I76" s="116"/>
      <c r="J76" s="116"/>
      <c r="K76" s="116"/>
      <c r="L76" s="116"/>
      <c r="M76" s="116"/>
      <c r="N76" s="116"/>
      <c r="O76" s="116"/>
      <c r="P76" s="116"/>
      <c r="Q76" s="116"/>
      <c r="R76" s="116"/>
      <c r="S76" s="116"/>
      <c r="T76" s="116"/>
      <c r="U76" s="116"/>
    </row>
    <row r="77" spans="1:21" x14ac:dyDescent="0.25">
      <c r="A77" s="80">
        <v>66</v>
      </c>
      <c r="B77" s="116">
        <v>366.4</v>
      </c>
      <c r="C77" s="116"/>
      <c r="D77" s="116"/>
      <c r="E77" s="116"/>
      <c r="F77" s="116"/>
      <c r="G77" s="116"/>
      <c r="H77" s="116"/>
      <c r="I77" s="116"/>
      <c r="J77" s="116"/>
      <c r="K77" s="116"/>
      <c r="L77" s="116"/>
      <c r="M77" s="116"/>
      <c r="N77" s="116"/>
      <c r="O77" s="116"/>
      <c r="P77" s="116"/>
      <c r="Q77" s="116"/>
      <c r="R77" s="116"/>
      <c r="S77" s="116"/>
      <c r="T77" s="116"/>
      <c r="U77" s="116"/>
    </row>
  </sheetData>
  <sheetProtection algorithmName="SHA-512" hashValue="Y7agsqUvS6VO6L9pQ4bIec2cwbM8IOvlK+gZl6zpJ6zL0IQdq77VACpZWec08yFF1eTxW1kim8pdfoy6abaL0g==" saltValue="Ze8fmcr809/ukmirMFNSJw==" spinCount="100000" sheet="1" objects="1" scenarios="1"/>
  <conditionalFormatting sqref="A6:A21">
    <cfRule type="expression" dxfId="349" priority="9" stopIfTrue="1">
      <formula>MOD(ROW(),2)=0</formula>
    </cfRule>
    <cfRule type="expression" dxfId="348" priority="10" stopIfTrue="1">
      <formula>MOD(ROW(),2)&lt;&gt;0</formula>
    </cfRule>
  </conditionalFormatting>
  <conditionalFormatting sqref="A26:A77">
    <cfRule type="expression" dxfId="347" priority="11" stopIfTrue="1">
      <formula>MOD(ROW(),2)=0</formula>
    </cfRule>
    <cfRule type="expression" dxfId="346" priority="12" stopIfTrue="1">
      <formula>MOD(ROW(),2)&lt;&gt;0</formula>
    </cfRule>
  </conditionalFormatting>
  <conditionalFormatting sqref="B17:B21">
    <cfRule type="expression" dxfId="345" priority="1" stopIfTrue="1">
      <formula>MOD(ROW(),2)=0</formula>
    </cfRule>
    <cfRule type="expression" dxfId="344" priority="2" stopIfTrue="1">
      <formula>MOD(ROW(),2)&lt;&gt;0</formula>
    </cfRule>
  </conditionalFormatting>
  <conditionalFormatting sqref="B6:U21">
    <cfRule type="expression" dxfId="343" priority="17" stopIfTrue="1">
      <formula>MOD(ROW(),2)=0</formula>
    </cfRule>
    <cfRule type="expression" dxfId="342" priority="18" stopIfTrue="1">
      <formula>MOD(ROW(),2)&lt;&gt;0</formula>
    </cfRule>
  </conditionalFormatting>
  <conditionalFormatting sqref="B26:U77">
    <cfRule type="expression" dxfId="341" priority="13" stopIfTrue="1">
      <formula>MOD(ROW(),2)=0</formula>
    </cfRule>
    <cfRule type="expression" dxfId="340" priority="14" stopIfTrue="1">
      <formula>MOD(ROW(),2)&lt;&gt;0</formula>
    </cfRule>
  </conditionalFormatting>
  <hyperlinks>
    <hyperlink ref="B24" location="Assumptions!A1" display="Assumptions" xr:uid="{D5D16F0D-C5A2-4678-8CF0-954847F952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EFFF-E087-41A2-A459-1138C8DF9650}">
  <sheetPr codeName="Sheet100"/>
  <dimension ref="A1:U78"/>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x-715</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73</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588</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0</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715</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589</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590</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169.2</v>
      </c>
      <c r="C27" s="116">
        <v>86.2</v>
      </c>
      <c r="D27" s="116">
        <v>58.5</v>
      </c>
      <c r="E27" s="116">
        <v>44.7</v>
      </c>
      <c r="F27" s="116">
        <v>36.4</v>
      </c>
      <c r="G27" s="116">
        <v>30.9</v>
      </c>
      <c r="H27" s="116">
        <v>26.9</v>
      </c>
      <c r="I27" s="116">
        <v>24</v>
      </c>
      <c r="J27" s="116">
        <v>21.7</v>
      </c>
      <c r="K27" s="116">
        <v>19.899999999999999</v>
      </c>
      <c r="L27" s="116">
        <v>18.399999999999999</v>
      </c>
      <c r="M27" s="116">
        <v>17.100000000000001</v>
      </c>
      <c r="N27" s="116">
        <v>16.100000000000001</v>
      </c>
      <c r="O27" s="116">
        <v>15.2</v>
      </c>
      <c r="P27" s="116">
        <v>14.4</v>
      </c>
      <c r="Q27" s="116">
        <v>13.8</v>
      </c>
      <c r="R27" s="116">
        <v>13.2</v>
      </c>
      <c r="S27" s="116">
        <v>12.6</v>
      </c>
      <c r="T27" s="116">
        <v>12.2</v>
      </c>
      <c r="U27" s="116">
        <v>11.8</v>
      </c>
    </row>
    <row r="28" spans="1:21" x14ac:dyDescent="0.25">
      <c r="A28" s="80">
        <v>17</v>
      </c>
      <c r="B28" s="116">
        <v>171.6</v>
      </c>
      <c r="C28" s="116">
        <v>87.4</v>
      </c>
      <c r="D28" s="116">
        <v>59.3</v>
      </c>
      <c r="E28" s="116">
        <v>45.3</v>
      </c>
      <c r="F28" s="116">
        <v>36.9</v>
      </c>
      <c r="G28" s="116">
        <v>31.3</v>
      </c>
      <c r="H28" s="116">
        <v>27.3</v>
      </c>
      <c r="I28" s="116">
        <v>24.3</v>
      </c>
      <c r="J28" s="116">
        <v>22</v>
      </c>
      <c r="K28" s="116">
        <v>20.2</v>
      </c>
      <c r="L28" s="116">
        <v>18.600000000000001</v>
      </c>
      <c r="M28" s="116">
        <v>17.399999999999999</v>
      </c>
      <c r="N28" s="116">
        <v>16.3</v>
      </c>
      <c r="O28" s="116">
        <v>15.4</v>
      </c>
      <c r="P28" s="116">
        <v>14.6</v>
      </c>
      <c r="Q28" s="116">
        <v>14</v>
      </c>
      <c r="R28" s="116">
        <v>13.4</v>
      </c>
      <c r="S28" s="116">
        <v>12.8</v>
      </c>
      <c r="T28" s="116">
        <v>12.3</v>
      </c>
      <c r="U28" s="116">
        <v>11.9</v>
      </c>
    </row>
    <row r="29" spans="1:21" x14ac:dyDescent="0.25">
      <c r="A29" s="80">
        <v>18</v>
      </c>
      <c r="B29" s="116">
        <v>174.1</v>
      </c>
      <c r="C29" s="116">
        <v>88.7</v>
      </c>
      <c r="D29" s="116">
        <v>60.2</v>
      </c>
      <c r="E29" s="116">
        <v>46</v>
      </c>
      <c r="F29" s="116">
        <v>37.4</v>
      </c>
      <c r="G29" s="116">
        <v>31.8</v>
      </c>
      <c r="H29" s="116">
        <v>27.7</v>
      </c>
      <c r="I29" s="116">
        <v>24.7</v>
      </c>
      <c r="J29" s="116">
        <v>22.3</v>
      </c>
      <c r="K29" s="116">
        <v>20.5</v>
      </c>
      <c r="L29" s="116">
        <v>18.899999999999999</v>
      </c>
      <c r="M29" s="116">
        <v>17.600000000000001</v>
      </c>
      <c r="N29" s="116">
        <v>16.600000000000001</v>
      </c>
      <c r="O29" s="116">
        <v>15.6</v>
      </c>
      <c r="P29" s="116">
        <v>14.9</v>
      </c>
      <c r="Q29" s="116">
        <v>14.2</v>
      </c>
      <c r="R29" s="116">
        <v>13.5</v>
      </c>
      <c r="S29" s="116">
        <v>13</v>
      </c>
      <c r="T29" s="116">
        <v>12.5</v>
      </c>
      <c r="U29" s="116">
        <v>12.1</v>
      </c>
    </row>
    <row r="30" spans="1:21" x14ac:dyDescent="0.25">
      <c r="A30" s="80">
        <v>19</v>
      </c>
      <c r="B30" s="116">
        <v>176.6</v>
      </c>
      <c r="C30" s="116">
        <v>90</v>
      </c>
      <c r="D30" s="116">
        <v>61.1</v>
      </c>
      <c r="E30" s="116">
        <v>46.6</v>
      </c>
      <c r="F30" s="116">
        <v>38</v>
      </c>
      <c r="G30" s="116">
        <v>32.200000000000003</v>
      </c>
      <c r="H30" s="116">
        <v>28.1</v>
      </c>
      <c r="I30" s="116">
        <v>25</v>
      </c>
      <c r="J30" s="116">
        <v>22.7</v>
      </c>
      <c r="K30" s="116">
        <v>20.7</v>
      </c>
      <c r="L30" s="116">
        <v>19.2</v>
      </c>
      <c r="M30" s="116">
        <v>17.899999999999999</v>
      </c>
      <c r="N30" s="116">
        <v>16.8</v>
      </c>
      <c r="O30" s="116">
        <v>15.9</v>
      </c>
      <c r="P30" s="116">
        <v>15.1</v>
      </c>
      <c r="Q30" s="116">
        <v>14.4</v>
      </c>
      <c r="R30" s="116">
        <v>13.7</v>
      </c>
      <c r="S30" s="116">
        <v>13.2</v>
      </c>
      <c r="T30" s="116">
        <v>12.7</v>
      </c>
      <c r="U30" s="116">
        <v>12.3</v>
      </c>
    </row>
    <row r="31" spans="1:21" x14ac:dyDescent="0.25">
      <c r="A31" s="80">
        <v>20</v>
      </c>
      <c r="B31" s="116">
        <v>179.2</v>
      </c>
      <c r="C31" s="116">
        <v>91.2</v>
      </c>
      <c r="D31" s="116">
        <v>61.9</v>
      </c>
      <c r="E31" s="116">
        <v>47.3</v>
      </c>
      <c r="F31" s="116">
        <v>38.5</v>
      </c>
      <c r="G31" s="116">
        <v>32.700000000000003</v>
      </c>
      <c r="H31" s="116">
        <v>28.5</v>
      </c>
      <c r="I31" s="116">
        <v>25.4</v>
      </c>
      <c r="J31" s="116">
        <v>23</v>
      </c>
      <c r="K31" s="116">
        <v>21</v>
      </c>
      <c r="L31" s="116">
        <v>19.5</v>
      </c>
      <c r="M31" s="116">
        <v>18.2</v>
      </c>
      <c r="N31" s="116">
        <v>17</v>
      </c>
      <c r="O31" s="116">
        <v>16.100000000000001</v>
      </c>
      <c r="P31" s="116">
        <v>15.3</v>
      </c>
      <c r="Q31" s="116">
        <v>14.6</v>
      </c>
      <c r="R31" s="116">
        <v>13.9</v>
      </c>
      <c r="S31" s="116">
        <v>13.4</v>
      </c>
      <c r="T31" s="116">
        <v>12.9</v>
      </c>
      <c r="U31" s="116">
        <v>12.5</v>
      </c>
    </row>
    <row r="32" spans="1:21" x14ac:dyDescent="0.25">
      <c r="A32" s="80">
        <v>21</v>
      </c>
      <c r="B32" s="116">
        <v>181.7</v>
      </c>
      <c r="C32" s="116">
        <v>92.5</v>
      </c>
      <c r="D32" s="116">
        <v>62.8</v>
      </c>
      <c r="E32" s="116">
        <v>48</v>
      </c>
      <c r="F32" s="116">
        <v>39.1</v>
      </c>
      <c r="G32" s="116">
        <v>33.200000000000003</v>
      </c>
      <c r="H32" s="116">
        <v>28.9</v>
      </c>
      <c r="I32" s="116">
        <v>25.8</v>
      </c>
      <c r="J32" s="116">
        <v>23.3</v>
      </c>
      <c r="K32" s="116">
        <v>21.3</v>
      </c>
      <c r="L32" s="116">
        <v>19.7</v>
      </c>
      <c r="M32" s="116">
        <v>18.399999999999999</v>
      </c>
      <c r="N32" s="116">
        <v>17.3</v>
      </c>
      <c r="O32" s="116">
        <v>16.3</v>
      </c>
      <c r="P32" s="116">
        <v>15.5</v>
      </c>
      <c r="Q32" s="116">
        <v>14.8</v>
      </c>
      <c r="R32" s="116">
        <v>14.1</v>
      </c>
      <c r="S32" s="116">
        <v>13.6</v>
      </c>
      <c r="T32" s="116">
        <v>13.1</v>
      </c>
      <c r="U32" s="116">
        <v>12.6</v>
      </c>
    </row>
    <row r="33" spans="1:21" x14ac:dyDescent="0.25">
      <c r="A33" s="80">
        <v>22</v>
      </c>
      <c r="B33" s="116">
        <v>184.3</v>
      </c>
      <c r="C33" s="116">
        <v>93.9</v>
      </c>
      <c r="D33" s="116">
        <v>63.7</v>
      </c>
      <c r="E33" s="116">
        <v>48.7</v>
      </c>
      <c r="F33" s="116">
        <v>39.6</v>
      </c>
      <c r="G33" s="116">
        <v>33.6</v>
      </c>
      <c r="H33" s="116">
        <v>29.3</v>
      </c>
      <c r="I33" s="116">
        <v>26.1</v>
      </c>
      <c r="J33" s="116">
        <v>23.6</v>
      </c>
      <c r="K33" s="116">
        <v>21.7</v>
      </c>
      <c r="L33" s="116">
        <v>20</v>
      </c>
      <c r="M33" s="116">
        <v>18.7</v>
      </c>
      <c r="N33" s="116">
        <v>17.5</v>
      </c>
      <c r="O33" s="116">
        <v>16.600000000000001</v>
      </c>
      <c r="P33" s="116">
        <v>15.7</v>
      </c>
      <c r="Q33" s="116">
        <v>15</v>
      </c>
      <c r="R33" s="116">
        <v>14.3</v>
      </c>
      <c r="S33" s="116">
        <v>13.8</v>
      </c>
      <c r="T33" s="116">
        <v>13.3</v>
      </c>
      <c r="U33" s="116">
        <v>12.8</v>
      </c>
    </row>
    <row r="34" spans="1:21" x14ac:dyDescent="0.25">
      <c r="A34" s="80">
        <v>23</v>
      </c>
      <c r="B34" s="116">
        <v>186.9</v>
      </c>
      <c r="C34" s="116">
        <v>95.2</v>
      </c>
      <c r="D34" s="116">
        <v>64.599999999999994</v>
      </c>
      <c r="E34" s="116">
        <v>49.4</v>
      </c>
      <c r="F34" s="116">
        <v>40.200000000000003</v>
      </c>
      <c r="G34" s="116">
        <v>34.1</v>
      </c>
      <c r="H34" s="116">
        <v>29.8</v>
      </c>
      <c r="I34" s="116">
        <v>26.5</v>
      </c>
      <c r="J34" s="116">
        <v>24</v>
      </c>
      <c r="K34" s="116">
        <v>22</v>
      </c>
      <c r="L34" s="116">
        <v>20.3</v>
      </c>
      <c r="M34" s="116">
        <v>18.899999999999999</v>
      </c>
      <c r="N34" s="116">
        <v>17.8</v>
      </c>
      <c r="O34" s="116">
        <v>16.8</v>
      </c>
      <c r="P34" s="116">
        <v>16</v>
      </c>
      <c r="Q34" s="116">
        <v>15.2</v>
      </c>
      <c r="R34" s="116">
        <v>14.6</v>
      </c>
      <c r="S34" s="116">
        <v>14</v>
      </c>
      <c r="T34" s="116">
        <v>13.5</v>
      </c>
      <c r="U34" s="116">
        <v>13</v>
      </c>
    </row>
    <row r="35" spans="1:21" x14ac:dyDescent="0.25">
      <c r="A35" s="80">
        <v>24</v>
      </c>
      <c r="B35" s="116">
        <v>189.6</v>
      </c>
      <c r="C35" s="116">
        <v>96.5</v>
      </c>
      <c r="D35" s="116">
        <v>65.5</v>
      </c>
      <c r="E35" s="116">
        <v>50.1</v>
      </c>
      <c r="F35" s="116">
        <v>40.799999999999997</v>
      </c>
      <c r="G35" s="116">
        <v>34.6</v>
      </c>
      <c r="H35" s="116">
        <v>30.2</v>
      </c>
      <c r="I35" s="116">
        <v>26.9</v>
      </c>
      <c r="J35" s="116">
        <v>24.3</v>
      </c>
      <c r="K35" s="116">
        <v>22.3</v>
      </c>
      <c r="L35" s="116">
        <v>20.6</v>
      </c>
      <c r="M35" s="116">
        <v>19.2</v>
      </c>
      <c r="N35" s="116">
        <v>18</v>
      </c>
      <c r="O35" s="116">
        <v>17</v>
      </c>
      <c r="P35" s="116">
        <v>16.2</v>
      </c>
      <c r="Q35" s="116">
        <v>15.4</v>
      </c>
      <c r="R35" s="116">
        <v>14.8</v>
      </c>
      <c r="S35" s="116">
        <v>14.2</v>
      </c>
      <c r="T35" s="116">
        <v>13.7</v>
      </c>
      <c r="U35" s="116">
        <v>13.2</v>
      </c>
    </row>
    <row r="36" spans="1:21" x14ac:dyDescent="0.25">
      <c r="A36" s="80">
        <v>25</v>
      </c>
      <c r="B36" s="116">
        <v>192.3</v>
      </c>
      <c r="C36" s="116">
        <v>97.9</v>
      </c>
      <c r="D36" s="116">
        <v>66.5</v>
      </c>
      <c r="E36" s="116">
        <v>50.8</v>
      </c>
      <c r="F36" s="116">
        <v>41.4</v>
      </c>
      <c r="G36" s="116">
        <v>35.1</v>
      </c>
      <c r="H36" s="116">
        <v>30.6</v>
      </c>
      <c r="I36" s="116">
        <v>27.3</v>
      </c>
      <c r="J36" s="116">
        <v>24.7</v>
      </c>
      <c r="K36" s="116">
        <v>22.6</v>
      </c>
      <c r="L36" s="116">
        <v>20.9</v>
      </c>
      <c r="M36" s="116">
        <v>19.5</v>
      </c>
      <c r="N36" s="116">
        <v>18.3</v>
      </c>
      <c r="O36" s="116">
        <v>17.3</v>
      </c>
      <c r="P36" s="116">
        <v>16.399999999999999</v>
      </c>
      <c r="Q36" s="116">
        <v>15.6</v>
      </c>
      <c r="R36" s="116">
        <v>15</v>
      </c>
      <c r="S36" s="116">
        <v>14.4</v>
      </c>
      <c r="T36" s="116">
        <v>13.9</v>
      </c>
      <c r="U36" s="116">
        <v>13.4</v>
      </c>
    </row>
    <row r="37" spans="1:21" x14ac:dyDescent="0.25">
      <c r="A37" s="80">
        <v>26</v>
      </c>
      <c r="B37" s="116">
        <v>195</v>
      </c>
      <c r="C37" s="116">
        <v>99.3</v>
      </c>
      <c r="D37" s="116">
        <v>67.400000000000006</v>
      </c>
      <c r="E37" s="116">
        <v>51.5</v>
      </c>
      <c r="F37" s="116">
        <v>41.9</v>
      </c>
      <c r="G37" s="116">
        <v>35.6</v>
      </c>
      <c r="H37" s="116">
        <v>31</v>
      </c>
      <c r="I37" s="116">
        <v>27.7</v>
      </c>
      <c r="J37" s="116">
        <v>25</v>
      </c>
      <c r="K37" s="116">
        <v>22.9</v>
      </c>
      <c r="L37" s="116">
        <v>21.2</v>
      </c>
      <c r="M37" s="116">
        <v>19.8</v>
      </c>
      <c r="N37" s="116">
        <v>18.600000000000001</v>
      </c>
      <c r="O37" s="116">
        <v>17.5</v>
      </c>
      <c r="P37" s="116">
        <v>16.600000000000001</v>
      </c>
      <c r="Q37" s="116">
        <v>15.9</v>
      </c>
      <c r="R37" s="116">
        <v>15.2</v>
      </c>
      <c r="S37" s="116">
        <v>14.6</v>
      </c>
      <c r="T37" s="116">
        <v>14.1</v>
      </c>
      <c r="U37" s="116">
        <v>13.6</v>
      </c>
    </row>
    <row r="38" spans="1:21" x14ac:dyDescent="0.25">
      <c r="A38" s="80">
        <v>27</v>
      </c>
      <c r="B38" s="116">
        <v>197.7</v>
      </c>
      <c r="C38" s="116">
        <v>100.7</v>
      </c>
      <c r="D38" s="116">
        <v>68.400000000000006</v>
      </c>
      <c r="E38" s="116">
        <v>52.2</v>
      </c>
      <c r="F38" s="116">
        <v>42.5</v>
      </c>
      <c r="G38" s="116">
        <v>36.1</v>
      </c>
      <c r="H38" s="116">
        <v>31.5</v>
      </c>
      <c r="I38" s="116">
        <v>28</v>
      </c>
      <c r="J38" s="116">
        <v>25.4</v>
      </c>
      <c r="K38" s="116">
        <v>23.2</v>
      </c>
      <c r="L38" s="116">
        <v>21.5</v>
      </c>
      <c r="M38" s="116">
        <v>20.100000000000001</v>
      </c>
      <c r="N38" s="116">
        <v>18.8</v>
      </c>
      <c r="O38" s="116">
        <v>17.8</v>
      </c>
      <c r="P38" s="116">
        <v>16.899999999999999</v>
      </c>
      <c r="Q38" s="116">
        <v>16.100000000000001</v>
      </c>
      <c r="R38" s="116">
        <v>15.4</v>
      </c>
      <c r="S38" s="116">
        <v>14.8</v>
      </c>
      <c r="T38" s="116">
        <v>14.3</v>
      </c>
      <c r="U38" s="116">
        <v>13.8</v>
      </c>
    </row>
    <row r="39" spans="1:21" x14ac:dyDescent="0.25">
      <c r="A39" s="80">
        <v>28</v>
      </c>
      <c r="B39" s="116">
        <v>200.5</v>
      </c>
      <c r="C39" s="116">
        <v>102.1</v>
      </c>
      <c r="D39" s="116">
        <v>69.3</v>
      </c>
      <c r="E39" s="116">
        <v>53</v>
      </c>
      <c r="F39" s="116">
        <v>43.1</v>
      </c>
      <c r="G39" s="116">
        <v>36.6</v>
      </c>
      <c r="H39" s="116">
        <v>31.9</v>
      </c>
      <c r="I39" s="116">
        <v>28.4</v>
      </c>
      <c r="J39" s="116">
        <v>25.7</v>
      </c>
      <c r="K39" s="116">
        <v>23.6</v>
      </c>
      <c r="L39" s="116">
        <v>21.8</v>
      </c>
      <c r="M39" s="116">
        <v>20.3</v>
      </c>
      <c r="N39" s="116">
        <v>19.100000000000001</v>
      </c>
      <c r="O39" s="116">
        <v>18</v>
      </c>
      <c r="P39" s="116">
        <v>17.100000000000001</v>
      </c>
      <c r="Q39" s="116">
        <v>16.3</v>
      </c>
      <c r="R39" s="116">
        <v>15.6</v>
      </c>
      <c r="S39" s="116">
        <v>15</v>
      </c>
      <c r="T39" s="116">
        <v>14.5</v>
      </c>
      <c r="U39" s="116">
        <v>14</v>
      </c>
    </row>
    <row r="40" spans="1:21" x14ac:dyDescent="0.25">
      <c r="A40" s="80">
        <v>29</v>
      </c>
      <c r="B40" s="116">
        <v>203.3</v>
      </c>
      <c r="C40" s="116">
        <v>103.6</v>
      </c>
      <c r="D40" s="116">
        <v>70.3</v>
      </c>
      <c r="E40" s="116">
        <v>53.7</v>
      </c>
      <c r="F40" s="116">
        <v>43.7</v>
      </c>
      <c r="G40" s="116">
        <v>37.1</v>
      </c>
      <c r="H40" s="116">
        <v>32.4</v>
      </c>
      <c r="I40" s="116">
        <v>28.8</v>
      </c>
      <c r="J40" s="116">
        <v>26.1</v>
      </c>
      <c r="K40" s="116">
        <v>23.9</v>
      </c>
      <c r="L40" s="116">
        <v>22.1</v>
      </c>
      <c r="M40" s="116">
        <v>20.6</v>
      </c>
      <c r="N40" s="116">
        <v>19.399999999999999</v>
      </c>
      <c r="O40" s="116">
        <v>18.3</v>
      </c>
      <c r="P40" s="116">
        <v>17.399999999999999</v>
      </c>
      <c r="Q40" s="116">
        <v>16.600000000000001</v>
      </c>
      <c r="R40" s="116">
        <v>15.9</v>
      </c>
      <c r="S40" s="116">
        <v>15.2</v>
      </c>
      <c r="T40" s="116">
        <v>14.7</v>
      </c>
      <c r="U40" s="116">
        <v>14.2</v>
      </c>
    </row>
    <row r="41" spans="1:21" x14ac:dyDescent="0.25">
      <c r="A41" s="80">
        <v>30</v>
      </c>
      <c r="B41" s="116">
        <v>206.2</v>
      </c>
      <c r="C41" s="116">
        <v>105</v>
      </c>
      <c r="D41" s="116">
        <v>71.3</v>
      </c>
      <c r="E41" s="116">
        <v>54.5</v>
      </c>
      <c r="F41" s="116">
        <v>44.4</v>
      </c>
      <c r="G41" s="116">
        <v>37.6</v>
      </c>
      <c r="H41" s="116">
        <v>32.799999999999997</v>
      </c>
      <c r="I41" s="116">
        <v>29.3</v>
      </c>
      <c r="J41" s="116">
        <v>26.5</v>
      </c>
      <c r="K41" s="116">
        <v>24.2</v>
      </c>
      <c r="L41" s="116">
        <v>22.4</v>
      </c>
      <c r="M41" s="116">
        <v>20.9</v>
      </c>
      <c r="N41" s="116">
        <v>19.7</v>
      </c>
      <c r="O41" s="116">
        <v>18.600000000000001</v>
      </c>
      <c r="P41" s="116">
        <v>17.600000000000001</v>
      </c>
      <c r="Q41" s="116">
        <v>16.8</v>
      </c>
      <c r="R41" s="116">
        <v>16.100000000000001</v>
      </c>
      <c r="S41" s="116">
        <v>15.5</v>
      </c>
      <c r="T41" s="116">
        <v>14.9</v>
      </c>
      <c r="U41" s="116">
        <v>14.4</v>
      </c>
    </row>
    <row r="42" spans="1:21" x14ac:dyDescent="0.25">
      <c r="A42" s="80">
        <v>31</v>
      </c>
      <c r="B42" s="116">
        <v>209.1</v>
      </c>
      <c r="C42" s="116">
        <v>106.5</v>
      </c>
      <c r="D42" s="116">
        <v>72.3</v>
      </c>
      <c r="E42" s="116">
        <v>55.2</v>
      </c>
      <c r="F42" s="116">
        <v>45</v>
      </c>
      <c r="G42" s="116">
        <v>38.200000000000003</v>
      </c>
      <c r="H42" s="116">
        <v>33.299999999999997</v>
      </c>
      <c r="I42" s="116">
        <v>29.7</v>
      </c>
      <c r="J42" s="116">
        <v>26.9</v>
      </c>
      <c r="K42" s="116">
        <v>24.6</v>
      </c>
      <c r="L42" s="116">
        <v>22.8</v>
      </c>
      <c r="M42" s="116">
        <v>21.2</v>
      </c>
      <c r="N42" s="116">
        <v>19.899999999999999</v>
      </c>
      <c r="O42" s="116">
        <v>18.8</v>
      </c>
      <c r="P42" s="116">
        <v>17.899999999999999</v>
      </c>
      <c r="Q42" s="116">
        <v>17.100000000000001</v>
      </c>
      <c r="R42" s="116">
        <v>16.3</v>
      </c>
      <c r="S42" s="116">
        <v>15.7</v>
      </c>
      <c r="T42" s="116">
        <v>15.1</v>
      </c>
      <c r="U42" s="116">
        <v>14.6</v>
      </c>
    </row>
    <row r="43" spans="1:21" x14ac:dyDescent="0.25">
      <c r="A43" s="80">
        <v>32</v>
      </c>
      <c r="B43" s="116">
        <v>212</v>
      </c>
      <c r="C43" s="116">
        <v>108</v>
      </c>
      <c r="D43" s="116">
        <v>73.3</v>
      </c>
      <c r="E43" s="116">
        <v>56</v>
      </c>
      <c r="F43" s="116">
        <v>45.6</v>
      </c>
      <c r="G43" s="116">
        <v>38.700000000000003</v>
      </c>
      <c r="H43" s="116">
        <v>33.799999999999997</v>
      </c>
      <c r="I43" s="116">
        <v>30.1</v>
      </c>
      <c r="J43" s="116">
        <v>27.2</v>
      </c>
      <c r="K43" s="116">
        <v>24.9</v>
      </c>
      <c r="L43" s="116">
        <v>23.1</v>
      </c>
      <c r="M43" s="116">
        <v>21.5</v>
      </c>
      <c r="N43" s="116">
        <v>20.2</v>
      </c>
      <c r="O43" s="116">
        <v>19.100000000000001</v>
      </c>
      <c r="P43" s="116">
        <v>18.100000000000001</v>
      </c>
      <c r="Q43" s="116">
        <v>17.3</v>
      </c>
      <c r="R43" s="116">
        <v>16.600000000000001</v>
      </c>
      <c r="S43" s="116">
        <v>15.9</v>
      </c>
      <c r="T43" s="116">
        <v>15.3</v>
      </c>
      <c r="U43" s="116">
        <v>14.8</v>
      </c>
    </row>
    <row r="44" spans="1:21" x14ac:dyDescent="0.25">
      <c r="A44" s="80">
        <v>33</v>
      </c>
      <c r="B44" s="116">
        <v>215</v>
      </c>
      <c r="C44" s="116">
        <v>109.5</v>
      </c>
      <c r="D44" s="116">
        <v>74.400000000000006</v>
      </c>
      <c r="E44" s="116">
        <v>56.8</v>
      </c>
      <c r="F44" s="116">
        <v>46.3</v>
      </c>
      <c r="G44" s="116">
        <v>39.299999999999997</v>
      </c>
      <c r="H44" s="116">
        <v>34.299999999999997</v>
      </c>
      <c r="I44" s="116">
        <v>30.5</v>
      </c>
      <c r="J44" s="116">
        <v>27.6</v>
      </c>
      <c r="K44" s="116">
        <v>25.3</v>
      </c>
      <c r="L44" s="116">
        <v>23.4</v>
      </c>
      <c r="M44" s="116">
        <v>21.8</v>
      </c>
      <c r="N44" s="116">
        <v>20.5</v>
      </c>
      <c r="O44" s="116">
        <v>19.399999999999999</v>
      </c>
      <c r="P44" s="116">
        <v>18.399999999999999</v>
      </c>
      <c r="Q44" s="116">
        <v>17.600000000000001</v>
      </c>
      <c r="R44" s="116">
        <v>16.8</v>
      </c>
      <c r="S44" s="116">
        <v>16.100000000000001</v>
      </c>
      <c r="T44" s="116">
        <v>15.6</v>
      </c>
      <c r="U44" s="116">
        <v>15</v>
      </c>
    </row>
    <row r="45" spans="1:21" x14ac:dyDescent="0.25">
      <c r="A45" s="80">
        <v>34</v>
      </c>
      <c r="B45" s="116">
        <v>218</v>
      </c>
      <c r="C45" s="116">
        <v>111</v>
      </c>
      <c r="D45" s="116">
        <v>75.400000000000006</v>
      </c>
      <c r="E45" s="116">
        <v>57.6</v>
      </c>
      <c r="F45" s="116">
        <v>46.9</v>
      </c>
      <c r="G45" s="116">
        <v>39.799999999999997</v>
      </c>
      <c r="H45" s="116">
        <v>34.700000000000003</v>
      </c>
      <c r="I45" s="116">
        <v>31</v>
      </c>
      <c r="J45" s="116">
        <v>28</v>
      </c>
      <c r="K45" s="116">
        <v>25.7</v>
      </c>
      <c r="L45" s="116">
        <v>23.7</v>
      </c>
      <c r="M45" s="116">
        <v>22.2</v>
      </c>
      <c r="N45" s="116">
        <v>20.8</v>
      </c>
      <c r="O45" s="116">
        <v>19.7</v>
      </c>
      <c r="P45" s="116">
        <v>18.7</v>
      </c>
      <c r="Q45" s="116">
        <v>17.8</v>
      </c>
      <c r="R45" s="116">
        <v>17</v>
      </c>
      <c r="S45" s="116">
        <v>16.399999999999999</v>
      </c>
      <c r="T45" s="116">
        <v>15.8</v>
      </c>
      <c r="U45" s="116">
        <v>15.3</v>
      </c>
    </row>
    <row r="46" spans="1:21" x14ac:dyDescent="0.25">
      <c r="A46" s="80">
        <v>35</v>
      </c>
      <c r="B46" s="116">
        <v>221</v>
      </c>
      <c r="C46" s="116">
        <v>112.6</v>
      </c>
      <c r="D46" s="116">
        <v>76.5</v>
      </c>
      <c r="E46" s="116">
        <v>58.4</v>
      </c>
      <c r="F46" s="116">
        <v>47.6</v>
      </c>
      <c r="G46" s="116">
        <v>40.4</v>
      </c>
      <c r="H46" s="116">
        <v>35.200000000000003</v>
      </c>
      <c r="I46" s="116">
        <v>31.4</v>
      </c>
      <c r="J46" s="116">
        <v>28.4</v>
      </c>
      <c r="K46" s="116">
        <v>26</v>
      </c>
      <c r="L46" s="116">
        <v>24.1</v>
      </c>
      <c r="M46" s="116">
        <v>22.5</v>
      </c>
      <c r="N46" s="116">
        <v>21.1</v>
      </c>
      <c r="O46" s="116">
        <v>19.899999999999999</v>
      </c>
      <c r="P46" s="116">
        <v>18.899999999999999</v>
      </c>
      <c r="Q46" s="116">
        <v>18.100000000000001</v>
      </c>
      <c r="R46" s="116">
        <v>17.3</v>
      </c>
      <c r="S46" s="116">
        <v>16.600000000000001</v>
      </c>
      <c r="T46" s="116">
        <v>16</v>
      </c>
      <c r="U46" s="116">
        <v>15.5</v>
      </c>
    </row>
    <row r="47" spans="1:21" x14ac:dyDescent="0.25">
      <c r="A47" s="80">
        <v>36</v>
      </c>
      <c r="B47" s="116">
        <v>224.1</v>
      </c>
      <c r="C47" s="116">
        <v>114.2</v>
      </c>
      <c r="D47" s="116">
        <v>77.5</v>
      </c>
      <c r="E47" s="116">
        <v>59.2</v>
      </c>
      <c r="F47" s="116">
        <v>48.2</v>
      </c>
      <c r="G47" s="116">
        <v>40.9</v>
      </c>
      <c r="H47" s="116">
        <v>35.700000000000003</v>
      </c>
      <c r="I47" s="116">
        <v>31.8</v>
      </c>
      <c r="J47" s="116">
        <v>28.8</v>
      </c>
      <c r="K47" s="116">
        <v>26.4</v>
      </c>
      <c r="L47" s="116">
        <v>24.4</v>
      </c>
      <c r="M47" s="116">
        <v>22.8</v>
      </c>
      <c r="N47" s="116">
        <v>21.4</v>
      </c>
      <c r="O47" s="116">
        <v>20.2</v>
      </c>
      <c r="P47" s="116">
        <v>19.2</v>
      </c>
      <c r="Q47" s="116">
        <v>18.3</v>
      </c>
      <c r="R47" s="116">
        <v>17.600000000000001</v>
      </c>
      <c r="S47" s="116">
        <v>16.899999999999999</v>
      </c>
      <c r="T47" s="116">
        <v>16.3</v>
      </c>
      <c r="U47" s="116">
        <v>15.7</v>
      </c>
    </row>
    <row r="48" spans="1:21" x14ac:dyDescent="0.25">
      <c r="A48" s="80">
        <v>37</v>
      </c>
      <c r="B48" s="116">
        <v>227.2</v>
      </c>
      <c r="C48" s="116">
        <v>115.7</v>
      </c>
      <c r="D48" s="116">
        <v>78.599999999999994</v>
      </c>
      <c r="E48" s="116">
        <v>60</v>
      </c>
      <c r="F48" s="116">
        <v>48.9</v>
      </c>
      <c r="G48" s="116">
        <v>41.5</v>
      </c>
      <c r="H48" s="116">
        <v>36.200000000000003</v>
      </c>
      <c r="I48" s="116">
        <v>32.299999999999997</v>
      </c>
      <c r="J48" s="116">
        <v>29.2</v>
      </c>
      <c r="K48" s="116">
        <v>26.8</v>
      </c>
      <c r="L48" s="116">
        <v>24.8</v>
      </c>
      <c r="M48" s="116">
        <v>23.1</v>
      </c>
      <c r="N48" s="116">
        <v>21.7</v>
      </c>
      <c r="O48" s="116">
        <v>20.5</v>
      </c>
      <c r="P48" s="116">
        <v>19.5</v>
      </c>
      <c r="Q48" s="116">
        <v>18.600000000000001</v>
      </c>
      <c r="R48" s="116">
        <v>17.8</v>
      </c>
      <c r="S48" s="116">
        <v>17.100000000000001</v>
      </c>
      <c r="T48" s="116">
        <v>16.5</v>
      </c>
      <c r="U48" s="116">
        <v>15.9</v>
      </c>
    </row>
    <row r="49" spans="1:21" x14ac:dyDescent="0.25">
      <c r="A49" s="80">
        <v>38</v>
      </c>
      <c r="B49" s="116">
        <v>230.4</v>
      </c>
      <c r="C49" s="116">
        <v>117.3</v>
      </c>
      <c r="D49" s="116">
        <v>79.7</v>
      </c>
      <c r="E49" s="116">
        <v>60.9</v>
      </c>
      <c r="F49" s="116">
        <v>49.6</v>
      </c>
      <c r="G49" s="116">
        <v>42.1</v>
      </c>
      <c r="H49" s="116">
        <v>36.799999999999997</v>
      </c>
      <c r="I49" s="116">
        <v>32.700000000000003</v>
      </c>
      <c r="J49" s="116">
        <v>29.6</v>
      </c>
      <c r="K49" s="116">
        <v>27.2</v>
      </c>
      <c r="L49" s="116">
        <v>25.1</v>
      </c>
      <c r="M49" s="116">
        <v>23.4</v>
      </c>
      <c r="N49" s="116">
        <v>22</v>
      </c>
      <c r="O49" s="116">
        <v>20.8</v>
      </c>
      <c r="P49" s="116">
        <v>19.8</v>
      </c>
      <c r="Q49" s="116">
        <v>18.899999999999999</v>
      </c>
      <c r="R49" s="116">
        <v>18.100000000000001</v>
      </c>
      <c r="S49" s="116">
        <v>17.399999999999999</v>
      </c>
      <c r="T49" s="116">
        <v>16.7</v>
      </c>
      <c r="U49" s="116">
        <v>16.2</v>
      </c>
    </row>
    <row r="50" spans="1:21" x14ac:dyDescent="0.25">
      <c r="A50" s="80">
        <v>39</v>
      </c>
      <c r="B50" s="116">
        <v>233.6</v>
      </c>
      <c r="C50" s="116">
        <v>119</v>
      </c>
      <c r="D50" s="116">
        <v>80.8</v>
      </c>
      <c r="E50" s="116">
        <v>61.7</v>
      </c>
      <c r="F50" s="116">
        <v>50.3</v>
      </c>
      <c r="G50" s="116">
        <v>42.7</v>
      </c>
      <c r="H50" s="116">
        <v>37.299999999999997</v>
      </c>
      <c r="I50" s="116">
        <v>33.200000000000003</v>
      </c>
      <c r="J50" s="116">
        <v>30.1</v>
      </c>
      <c r="K50" s="116">
        <v>27.5</v>
      </c>
      <c r="L50" s="116">
        <v>25.5</v>
      </c>
      <c r="M50" s="116">
        <v>23.8</v>
      </c>
      <c r="N50" s="116">
        <v>22.4</v>
      </c>
      <c r="O50" s="116">
        <v>21.1</v>
      </c>
      <c r="P50" s="116">
        <v>20.100000000000001</v>
      </c>
      <c r="Q50" s="116">
        <v>19.2</v>
      </c>
      <c r="R50" s="116">
        <v>18.3</v>
      </c>
      <c r="S50" s="116">
        <v>17.600000000000001</v>
      </c>
      <c r="T50" s="116">
        <v>17</v>
      </c>
      <c r="U50" s="116">
        <v>16.399999999999999</v>
      </c>
    </row>
    <row r="51" spans="1:21" x14ac:dyDescent="0.25">
      <c r="A51" s="80">
        <v>40</v>
      </c>
      <c r="B51" s="116">
        <v>236.8</v>
      </c>
      <c r="C51" s="116">
        <v>120.6</v>
      </c>
      <c r="D51" s="116">
        <v>81.900000000000006</v>
      </c>
      <c r="E51" s="116">
        <v>62.6</v>
      </c>
      <c r="F51" s="116">
        <v>51</v>
      </c>
      <c r="G51" s="116">
        <v>43.3</v>
      </c>
      <c r="H51" s="116">
        <v>37.799999999999997</v>
      </c>
      <c r="I51" s="116">
        <v>33.700000000000003</v>
      </c>
      <c r="J51" s="116">
        <v>30.5</v>
      </c>
      <c r="K51" s="116">
        <v>27.9</v>
      </c>
      <c r="L51" s="116">
        <v>25.9</v>
      </c>
      <c r="M51" s="116">
        <v>24.1</v>
      </c>
      <c r="N51" s="116">
        <v>22.7</v>
      </c>
      <c r="O51" s="116">
        <v>21.4</v>
      </c>
      <c r="P51" s="116">
        <v>20.399999999999999</v>
      </c>
      <c r="Q51" s="116">
        <v>19.399999999999999</v>
      </c>
      <c r="R51" s="116">
        <v>18.600000000000001</v>
      </c>
      <c r="S51" s="116">
        <v>17.899999999999999</v>
      </c>
      <c r="T51" s="116">
        <v>17.3</v>
      </c>
      <c r="U51" s="116">
        <v>16.7</v>
      </c>
    </row>
    <row r="52" spans="1:21" x14ac:dyDescent="0.25">
      <c r="A52" s="80">
        <v>41</v>
      </c>
      <c r="B52" s="116">
        <v>240.1</v>
      </c>
      <c r="C52" s="116">
        <v>122.3</v>
      </c>
      <c r="D52" s="116">
        <v>83.1</v>
      </c>
      <c r="E52" s="116">
        <v>63.5</v>
      </c>
      <c r="F52" s="116">
        <v>51.7</v>
      </c>
      <c r="G52" s="116">
        <v>43.9</v>
      </c>
      <c r="H52" s="116">
        <v>38.299999999999997</v>
      </c>
      <c r="I52" s="116">
        <v>34.200000000000003</v>
      </c>
      <c r="J52" s="116">
        <v>30.9</v>
      </c>
      <c r="K52" s="116">
        <v>28.3</v>
      </c>
      <c r="L52" s="116">
        <v>26.2</v>
      </c>
      <c r="M52" s="116">
        <v>24.5</v>
      </c>
      <c r="N52" s="116">
        <v>23</v>
      </c>
      <c r="O52" s="116">
        <v>21.8</v>
      </c>
      <c r="P52" s="116">
        <v>20.7</v>
      </c>
      <c r="Q52" s="116">
        <v>19.7</v>
      </c>
      <c r="R52" s="116">
        <v>18.899999999999999</v>
      </c>
      <c r="S52" s="116">
        <v>18.2</v>
      </c>
      <c r="T52" s="116">
        <v>17.5</v>
      </c>
      <c r="U52" s="116">
        <v>17</v>
      </c>
    </row>
    <row r="53" spans="1:21" x14ac:dyDescent="0.25">
      <c r="A53" s="80">
        <v>42</v>
      </c>
      <c r="B53" s="116">
        <v>243.4</v>
      </c>
      <c r="C53" s="116">
        <v>124</v>
      </c>
      <c r="D53" s="116">
        <v>84.2</v>
      </c>
      <c r="E53" s="116">
        <v>64.400000000000006</v>
      </c>
      <c r="F53" s="116">
        <v>52.5</v>
      </c>
      <c r="G53" s="116">
        <v>44.5</v>
      </c>
      <c r="H53" s="116">
        <v>38.9</v>
      </c>
      <c r="I53" s="116">
        <v>34.700000000000003</v>
      </c>
      <c r="J53" s="116">
        <v>31.4</v>
      </c>
      <c r="K53" s="116">
        <v>28.8</v>
      </c>
      <c r="L53" s="116">
        <v>26.6</v>
      </c>
      <c r="M53" s="116">
        <v>24.8</v>
      </c>
      <c r="N53" s="116">
        <v>23.4</v>
      </c>
      <c r="O53" s="116">
        <v>22.1</v>
      </c>
      <c r="P53" s="116">
        <v>21</v>
      </c>
      <c r="Q53" s="116">
        <v>20</v>
      </c>
      <c r="R53" s="116">
        <v>19.2</v>
      </c>
      <c r="S53" s="116">
        <v>18.5</v>
      </c>
      <c r="T53" s="116">
        <v>17.8</v>
      </c>
      <c r="U53" s="116">
        <v>17.2</v>
      </c>
    </row>
    <row r="54" spans="1:21" x14ac:dyDescent="0.25">
      <c r="A54" s="80">
        <v>43</v>
      </c>
      <c r="B54" s="116">
        <v>246.8</v>
      </c>
      <c r="C54" s="116">
        <v>125.7</v>
      </c>
      <c r="D54" s="116">
        <v>85.4</v>
      </c>
      <c r="E54" s="116">
        <v>65.3</v>
      </c>
      <c r="F54" s="116">
        <v>53.2</v>
      </c>
      <c r="G54" s="116">
        <v>45.2</v>
      </c>
      <c r="H54" s="116">
        <v>39.4</v>
      </c>
      <c r="I54" s="116">
        <v>35.1</v>
      </c>
      <c r="J54" s="116">
        <v>31.8</v>
      </c>
      <c r="K54" s="116">
        <v>29.2</v>
      </c>
      <c r="L54" s="116">
        <v>27</v>
      </c>
      <c r="M54" s="116">
        <v>25.2</v>
      </c>
      <c r="N54" s="116">
        <v>23.7</v>
      </c>
      <c r="O54" s="116">
        <v>22.4</v>
      </c>
      <c r="P54" s="116">
        <v>21.3</v>
      </c>
      <c r="Q54" s="116">
        <v>20.3</v>
      </c>
      <c r="R54" s="116">
        <v>19.5</v>
      </c>
      <c r="S54" s="116">
        <v>18.8</v>
      </c>
      <c r="T54" s="116">
        <v>18.100000000000001</v>
      </c>
      <c r="U54" s="116">
        <v>17.5</v>
      </c>
    </row>
    <row r="55" spans="1:21" x14ac:dyDescent="0.25">
      <c r="A55" s="80">
        <v>44</v>
      </c>
      <c r="B55" s="116">
        <v>250.2</v>
      </c>
      <c r="C55" s="116">
        <v>127.5</v>
      </c>
      <c r="D55" s="116">
        <v>86.6</v>
      </c>
      <c r="E55" s="116">
        <v>66.2</v>
      </c>
      <c r="F55" s="116">
        <v>53.9</v>
      </c>
      <c r="G55" s="116">
        <v>45.8</v>
      </c>
      <c r="H55" s="116">
        <v>40</v>
      </c>
      <c r="I55" s="116">
        <v>35.6</v>
      </c>
      <c r="J55" s="116">
        <v>32.299999999999997</v>
      </c>
      <c r="K55" s="116">
        <v>29.6</v>
      </c>
      <c r="L55" s="116">
        <v>27.4</v>
      </c>
      <c r="M55" s="116">
        <v>25.6</v>
      </c>
      <c r="N55" s="116">
        <v>24.1</v>
      </c>
      <c r="O55" s="116">
        <v>22.8</v>
      </c>
      <c r="P55" s="116">
        <v>21.6</v>
      </c>
      <c r="Q55" s="116">
        <v>20.7</v>
      </c>
      <c r="R55" s="116">
        <v>19.8</v>
      </c>
      <c r="S55" s="116">
        <v>19.100000000000001</v>
      </c>
      <c r="T55" s="116">
        <v>18.399999999999999</v>
      </c>
      <c r="U55" s="116">
        <v>17.8</v>
      </c>
    </row>
    <row r="56" spans="1:21" x14ac:dyDescent="0.25">
      <c r="A56" s="80">
        <v>45</v>
      </c>
      <c r="B56" s="116">
        <v>253.6</v>
      </c>
      <c r="C56" s="116">
        <v>129.19999999999999</v>
      </c>
      <c r="D56" s="116">
        <v>87.8</v>
      </c>
      <c r="E56" s="116">
        <v>67.099999999999994</v>
      </c>
      <c r="F56" s="116">
        <v>54.7</v>
      </c>
      <c r="G56" s="116">
        <v>46.4</v>
      </c>
      <c r="H56" s="116">
        <v>40.6</v>
      </c>
      <c r="I56" s="116">
        <v>36.200000000000003</v>
      </c>
      <c r="J56" s="116">
        <v>32.799999999999997</v>
      </c>
      <c r="K56" s="116">
        <v>30</v>
      </c>
      <c r="L56" s="116">
        <v>27.8</v>
      </c>
      <c r="M56" s="116">
        <v>26</v>
      </c>
      <c r="N56" s="116">
        <v>24.4</v>
      </c>
      <c r="O56" s="116">
        <v>23.1</v>
      </c>
      <c r="P56" s="116">
        <v>22</v>
      </c>
      <c r="Q56" s="116">
        <v>21</v>
      </c>
      <c r="R56" s="116">
        <v>20.100000000000001</v>
      </c>
      <c r="S56" s="116">
        <v>19.399999999999999</v>
      </c>
      <c r="T56" s="116">
        <v>18.7</v>
      </c>
      <c r="U56" s="116">
        <v>18.100000000000001</v>
      </c>
    </row>
    <row r="57" spans="1:21" x14ac:dyDescent="0.25">
      <c r="A57" s="80">
        <v>46</v>
      </c>
      <c r="B57" s="116">
        <v>257.10000000000002</v>
      </c>
      <c r="C57" s="116">
        <v>131</v>
      </c>
      <c r="D57" s="116">
        <v>89</v>
      </c>
      <c r="E57" s="116">
        <v>68</v>
      </c>
      <c r="F57" s="116">
        <v>55.5</v>
      </c>
      <c r="G57" s="116">
        <v>47.1</v>
      </c>
      <c r="H57" s="116">
        <v>41.1</v>
      </c>
      <c r="I57" s="116">
        <v>36.700000000000003</v>
      </c>
      <c r="J57" s="116">
        <v>33.200000000000003</v>
      </c>
      <c r="K57" s="116">
        <v>30.5</v>
      </c>
      <c r="L57" s="116">
        <v>28.2</v>
      </c>
      <c r="M57" s="116">
        <v>26.4</v>
      </c>
      <c r="N57" s="116">
        <v>24.8</v>
      </c>
      <c r="O57" s="116">
        <v>23.5</v>
      </c>
      <c r="P57" s="116">
        <v>22.3</v>
      </c>
      <c r="Q57" s="116">
        <v>21.3</v>
      </c>
      <c r="R57" s="116">
        <v>20.5</v>
      </c>
      <c r="S57" s="116">
        <v>19.7</v>
      </c>
      <c r="T57" s="116">
        <v>19</v>
      </c>
      <c r="U57" s="116">
        <v>18.399999999999999</v>
      </c>
    </row>
    <row r="58" spans="1:21" x14ac:dyDescent="0.25">
      <c r="A58" s="80">
        <v>47</v>
      </c>
      <c r="B58" s="116">
        <v>260.7</v>
      </c>
      <c r="C58" s="116">
        <v>132.9</v>
      </c>
      <c r="D58" s="116">
        <v>90.3</v>
      </c>
      <c r="E58" s="116">
        <v>69</v>
      </c>
      <c r="F58" s="116">
        <v>56.3</v>
      </c>
      <c r="G58" s="116">
        <v>47.8</v>
      </c>
      <c r="H58" s="116">
        <v>41.7</v>
      </c>
      <c r="I58" s="116">
        <v>37.200000000000003</v>
      </c>
      <c r="J58" s="116">
        <v>33.700000000000003</v>
      </c>
      <c r="K58" s="116">
        <v>30.9</v>
      </c>
      <c r="L58" s="116">
        <v>28.7</v>
      </c>
      <c r="M58" s="116">
        <v>26.8</v>
      </c>
      <c r="N58" s="116">
        <v>25.2</v>
      </c>
      <c r="O58" s="116">
        <v>23.9</v>
      </c>
      <c r="P58" s="116">
        <v>22.7</v>
      </c>
      <c r="Q58" s="116">
        <v>21.7</v>
      </c>
      <c r="R58" s="116">
        <v>20.8</v>
      </c>
      <c r="S58" s="116">
        <v>20</v>
      </c>
      <c r="T58" s="116">
        <v>19.399999999999999</v>
      </c>
      <c r="U58" s="116">
        <v>18.7</v>
      </c>
    </row>
    <row r="59" spans="1:21" x14ac:dyDescent="0.25">
      <c r="A59" s="80">
        <v>48</v>
      </c>
      <c r="B59" s="116">
        <v>264.3</v>
      </c>
      <c r="C59" s="116">
        <v>134.69999999999999</v>
      </c>
      <c r="D59" s="116">
        <v>91.5</v>
      </c>
      <c r="E59" s="116">
        <v>70</v>
      </c>
      <c r="F59" s="116">
        <v>57.1</v>
      </c>
      <c r="G59" s="116">
        <v>48.5</v>
      </c>
      <c r="H59" s="116">
        <v>42.4</v>
      </c>
      <c r="I59" s="116">
        <v>37.799999999999997</v>
      </c>
      <c r="J59" s="116">
        <v>34.299999999999997</v>
      </c>
      <c r="K59" s="116">
        <v>31.4</v>
      </c>
      <c r="L59" s="116">
        <v>29.1</v>
      </c>
      <c r="M59" s="116">
        <v>27.2</v>
      </c>
      <c r="N59" s="116">
        <v>25.6</v>
      </c>
      <c r="O59" s="116">
        <v>24.3</v>
      </c>
      <c r="P59" s="116">
        <v>23.1</v>
      </c>
      <c r="Q59" s="116">
        <v>22.1</v>
      </c>
      <c r="R59" s="116">
        <v>21.2</v>
      </c>
      <c r="S59" s="116">
        <v>20.399999999999999</v>
      </c>
      <c r="T59" s="116">
        <v>19.7</v>
      </c>
      <c r="U59" s="116">
        <v>19.100000000000001</v>
      </c>
    </row>
    <row r="60" spans="1:21" x14ac:dyDescent="0.25">
      <c r="A60" s="80">
        <v>49</v>
      </c>
      <c r="B60" s="116">
        <v>268</v>
      </c>
      <c r="C60" s="116">
        <v>136.6</v>
      </c>
      <c r="D60" s="116">
        <v>92.9</v>
      </c>
      <c r="E60" s="116">
        <v>71</v>
      </c>
      <c r="F60" s="116">
        <v>57.9</v>
      </c>
      <c r="G60" s="116">
        <v>49.2</v>
      </c>
      <c r="H60" s="116">
        <v>43</v>
      </c>
      <c r="I60" s="116">
        <v>38.4</v>
      </c>
      <c r="J60" s="116">
        <v>34.799999999999997</v>
      </c>
      <c r="K60" s="116">
        <v>31.9</v>
      </c>
      <c r="L60" s="116">
        <v>29.6</v>
      </c>
      <c r="M60" s="116">
        <v>27.7</v>
      </c>
      <c r="N60" s="116">
        <v>26.1</v>
      </c>
      <c r="O60" s="116">
        <v>24.7</v>
      </c>
      <c r="P60" s="116">
        <v>23.5</v>
      </c>
      <c r="Q60" s="116">
        <v>22.5</v>
      </c>
      <c r="R60" s="116">
        <v>21.6</v>
      </c>
      <c r="S60" s="116">
        <v>20.8</v>
      </c>
      <c r="T60" s="116">
        <v>20.100000000000001</v>
      </c>
      <c r="U60" s="116"/>
    </row>
    <row r="61" spans="1:21" x14ac:dyDescent="0.25">
      <c r="A61" s="80">
        <v>50</v>
      </c>
      <c r="B61" s="116">
        <v>271.7</v>
      </c>
      <c r="C61" s="116">
        <v>138.6</v>
      </c>
      <c r="D61" s="116">
        <v>94.2</v>
      </c>
      <c r="E61" s="116">
        <v>72.099999999999994</v>
      </c>
      <c r="F61" s="116">
        <v>58.8</v>
      </c>
      <c r="G61" s="116">
        <v>50</v>
      </c>
      <c r="H61" s="116">
        <v>43.7</v>
      </c>
      <c r="I61" s="116">
        <v>39</v>
      </c>
      <c r="J61" s="116">
        <v>35.4</v>
      </c>
      <c r="K61" s="116">
        <v>32.5</v>
      </c>
      <c r="L61" s="116">
        <v>30.1</v>
      </c>
      <c r="M61" s="116">
        <v>28.1</v>
      </c>
      <c r="N61" s="116">
        <v>26.5</v>
      </c>
      <c r="O61" s="116">
        <v>25.1</v>
      </c>
      <c r="P61" s="116">
        <v>23.9</v>
      </c>
      <c r="Q61" s="116">
        <v>22.9</v>
      </c>
      <c r="R61" s="116">
        <v>21.9</v>
      </c>
      <c r="S61" s="116">
        <v>21.2</v>
      </c>
      <c r="T61" s="116"/>
      <c r="U61" s="116"/>
    </row>
    <row r="62" spans="1:21" x14ac:dyDescent="0.25">
      <c r="A62" s="80">
        <v>51</v>
      </c>
      <c r="B62" s="116">
        <v>275.60000000000002</v>
      </c>
      <c r="C62" s="116">
        <v>140.6</v>
      </c>
      <c r="D62" s="116">
        <v>95.6</v>
      </c>
      <c r="E62" s="116">
        <v>73.099999999999994</v>
      </c>
      <c r="F62" s="116">
        <v>59.7</v>
      </c>
      <c r="G62" s="116">
        <v>50.7</v>
      </c>
      <c r="H62" s="116">
        <v>44.4</v>
      </c>
      <c r="I62" s="116">
        <v>39.6</v>
      </c>
      <c r="J62" s="116">
        <v>35.9</v>
      </c>
      <c r="K62" s="116">
        <v>33</v>
      </c>
      <c r="L62" s="116">
        <v>30.6</v>
      </c>
      <c r="M62" s="116">
        <v>28.6</v>
      </c>
      <c r="N62" s="116">
        <v>27</v>
      </c>
      <c r="O62" s="116">
        <v>25.5</v>
      </c>
      <c r="P62" s="116">
        <v>24.3</v>
      </c>
      <c r="Q62" s="116">
        <v>23.3</v>
      </c>
      <c r="R62" s="116">
        <v>22.4</v>
      </c>
      <c r="S62" s="116"/>
      <c r="T62" s="116"/>
      <c r="U62" s="116"/>
    </row>
    <row r="63" spans="1:21" x14ac:dyDescent="0.25">
      <c r="A63" s="80">
        <v>52</v>
      </c>
      <c r="B63" s="116">
        <v>279.39999999999998</v>
      </c>
      <c r="C63" s="116">
        <v>142.6</v>
      </c>
      <c r="D63" s="116">
        <v>97</v>
      </c>
      <c r="E63" s="116">
        <v>74.2</v>
      </c>
      <c r="F63" s="116">
        <v>60.6</v>
      </c>
      <c r="G63" s="116">
        <v>51.5</v>
      </c>
      <c r="H63" s="116">
        <v>45.1</v>
      </c>
      <c r="I63" s="116">
        <v>40.200000000000003</v>
      </c>
      <c r="J63" s="116">
        <v>36.5</v>
      </c>
      <c r="K63" s="116">
        <v>33.5</v>
      </c>
      <c r="L63" s="116">
        <v>31.1</v>
      </c>
      <c r="M63" s="116">
        <v>29.1</v>
      </c>
      <c r="N63" s="116">
        <v>27.4</v>
      </c>
      <c r="O63" s="116">
        <v>26</v>
      </c>
      <c r="P63" s="116">
        <v>24.8</v>
      </c>
      <c r="Q63" s="116">
        <v>23.7</v>
      </c>
      <c r="R63" s="116"/>
      <c r="S63" s="116"/>
      <c r="T63" s="116"/>
      <c r="U63" s="116"/>
    </row>
    <row r="64" spans="1:21" x14ac:dyDescent="0.25">
      <c r="A64" s="80">
        <v>53</v>
      </c>
      <c r="B64" s="116">
        <v>283.39999999999998</v>
      </c>
      <c r="C64" s="116">
        <v>144.6</v>
      </c>
      <c r="D64" s="116">
        <v>98.4</v>
      </c>
      <c r="E64" s="116">
        <v>75.3</v>
      </c>
      <c r="F64" s="116">
        <v>61.5</v>
      </c>
      <c r="G64" s="116">
        <v>52.3</v>
      </c>
      <c r="H64" s="116">
        <v>45.8</v>
      </c>
      <c r="I64" s="116">
        <v>40.9</v>
      </c>
      <c r="J64" s="116">
        <v>37.1</v>
      </c>
      <c r="K64" s="116">
        <v>34.1</v>
      </c>
      <c r="L64" s="116">
        <v>31.6</v>
      </c>
      <c r="M64" s="116">
        <v>29.6</v>
      </c>
      <c r="N64" s="116">
        <v>27.9</v>
      </c>
      <c r="O64" s="116">
        <v>26.5</v>
      </c>
      <c r="P64" s="116">
        <v>25.2</v>
      </c>
      <c r="Q64" s="116"/>
      <c r="R64" s="116"/>
      <c r="S64" s="116"/>
      <c r="T64" s="116"/>
      <c r="U64" s="116"/>
    </row>
    <row r="65" spans="1:21" x14ac:dyDescent="0.25">
      <c r="A65" s="80">
        <v>54</v>
      </c>
      <c r="B65" s="116">
        <v>287.3</v>
      </c>
      <c r="C65" s="116">
        <v>146.69999999999999</v>
      </c>
      <c r="D65" s="116">
        <v>99.8</v>
      </c>
      <c r="E65" s="116">
        <v>76.400000000000006</v>
      </c>
      <c r="F65" s="116">
        <v>62.4</v>
      </c>
      <c r="G65" s="116">
        <v>53.1</v>
      </c>
      <c r="H65" s="116">
        <v>46.5</v>
      </c>
      <c r="I65" s="116">
        <v>41.5</v>
      </c>
      <c r="J65" s="116">
        <v>37.700000000000003</v>
      </c>
      <c r="K65" s="116">
        <v>34.700000000000003</v>
      </c>
      <c r="L65" s="116">
        <v>32.200000000000003</v>
      </c>
      <c r="M65" s="116">
        <v>30.1</v>
      </c>
      <c r="N65" s="116">
        <v>28.4</v>
      </c>
      <c r="O65" s="116">
        <v>27</v>
      </c>
      <c r="P65" s="116"/>
      <c r="Q65" s="116"/>
      <c r="R65" s="116"/>
      <c r="S65" s="116"/>
      <c r="T65" s="116"/>
      <c r="U65" s="116"/>
    </row>
    <row r="66" spans="1:21" x14ac:dyDescent="0.25">
      <c r="A66" s="80">
        <v>55</v>
      </c>
      <c r="B66" s="116">
        <v>291.39999999999998</v>
      </c>
      <c r="C66" s="116">
        <v>148.80000000000001</v>
      </c>
      <c r="D66" s="116">
        <v>101.3</v>
      </c>
      <c r="E66" s="116">
        <v>77.599999999999994</v>
      </c>
      <c r="F66" s="116">
        <v>63.4</v>
      </c>
      <c r="G66" s="116">
        <v>54</v>
      </c>
      <c r="H66" s="116">
        <v>47.2</v>
      </c>
      <c r="I66" s="116">
        <v>42.2</v>
      </c>
      <c r="J66" s="116">
        <v>38.299999999999997</v>
      </c>
      <c r="K66" s="116">
        <v>35.200000000000003</v>
      </c>
      <c r="L66" s="116">
        <v>32.700000000000003</v>
      </c>
      <c r="M66" s="116">
        <v>30.6</v>
      </c>
      <c r="N66" s="116">
        <v>28.9</v>
      </c>
      <c r="O66" s="116"/>
      <c r="P66" s="116"/>
      <c r="Q66" s="116"/>
      <c r="R66" s="116"/>
      <c r="S66" s="116"/>
      <c r="T66" s="116"/>
      <c r="U66" s="116"/>
    </row>
    <row r="67" spans="1:21" x14ac:dyDescent="0.25">
      <c r="A67" s="80">
        <v>56</v>
      </c>
      <c r="B67" s="116">
        <v>295.5</v>
      </c>
      <c r="C67" s="116">
        <v>150.9</v>
      </c>
      <c r="D67" s="116">
        <v>102.8</v>
      </c>
      <c r="E67" s="116">
        <v>78.8</v>
      </c>
      <c r="F67" s="116">
        <v>64.400000000000006</v>
      </c>
      <c r="G67" s="116">
        <v>54.8</v>
      </c>
      <c r="H67" s="116">
        <v>48</v>
      </c>
      <c r="I67" s="116">
        <v>42.9</v>
      </c>
      <c r="J67" s="116">
        <v>39</v>
      </c>
      <c r="K67" s="116">
        <v>35.799999999999997</v>
      </c>
      <c r="L67" s="116">
        <v>33.299999999999997</v>
      </c>
      <c r="M67" s="116">
        <v>31.2</v>
      </c>
      <c r="N67" s="116"/>
      <c r="O67" s="116"/>
      <c r="P67" s="116"/>
      <c r="Q67" s="116"/>
      <c r="R67" s="116"/>
      <c r="S67" s="116"/>
      <c r="T67" s="116"/>
      <c r="U67" s="116"/>
    </row>
    <row r="68" spans="1:21" x14ac:dyDescent="0.25">
      <c r="A68" s="80">
        <v>57</v>
      </c>
      <c r="B68" s="116">
        <v>299.7</v>
      </c>
      <c r="C68" s="116">
        <v>153.1</v>
      </c>
      <c r="D68" s="116">
        <v>104.3</v>
      </c>
      <c r="E68" s="116">
        <v>80</v>
      </c>
      <c r="F68" s="116">
        <v>65.400000000000006</v>
      </c>
      <c r="G68" s="116">
        <v>55.7</v>
      </c>
      <c r="H68" s="116">
        <v>48.8</v>
      </c>
      <c r="I68" s="116">
        <v>43.6</v>
      </c>
      <c r="J68" s="116">
        <v>39.6</v>
      </c>
      <c r="K68" s="116">
        <v>36.5</v>
      </c>
      <c r="L68" s="116">
        <v>33.9</v>
      </c>
      <c r="M68" s="116"/>
      <c r="N68" s="116"/>
      <c r="O68" s="116"/>
      <c r="P68" s="116"/>
      <c r="Q68" s="116"/>
      <c r="R68" s="116"/>
      <c r="S68" s="116"/>
      <c r="T68" s="116"/>
      <c r="U68" s="116"/>
    </row>
    <row r="69" spans="1:21" x14ac:dyDescent="0.25">
      <c r="A69" s="80">
        <v>58</v>
      </c>
      <c r="B69" s="116">
        <v>304.10000000000002</v>
      </c>
      <c r="C69" s="116">
        <v>155.4</v>
      </c>
      <c r="D69" s="116">
        <v>105.9</v>
      </c>
      <c r="E69" s="116">
        <v>81.2</v>
      </c>
      <c r="F69" s="116">
        <v>66.400000000000006</v>
      </c>
      <c r="G69" s="116">
        <v>56.6</v>
      </c>
      <c r="H69" s="116">
        <v>49.6</v>
      </c>
      <c r="I69" s="116">
        <v>44.3</v>
      </c>
      <c r="J69" s="116">
        <v>40.299999999999997</v>
      </c>
      <c r="K69" s="116">
        <v>37.200000000000003</v>
      </c>
      <c r="L69" s="116"/>
      <c r="M69" s="116"/>
      <c r="N69" s="116"/>
      <c r="O69" s="116"/>
      <c r="P69" s="116"/>
      <c r="Q69" s="116"/>
      <c r="R69" s="116"/>
      <c r="S69" s="116"/>
      <c r="T69" s="116"/>
      <c r="U69" s="116"/>
    </row>
    <row r="70" spans="1:21" x14ac:dyDescent="0.25">
      <c r="A70" s="80">
        <v>59</v>
      </c>
      <c r="B70" s="116">
        <v>308.5</v>
      </c>
      <c r="C70" s="116">
        <v>157.69999999999999</v>
      </c>
      <c r="D70" s="116">
        <v>107.5</v>
      </c>
      <c r="E70" s="116">
        <v>82.5</v>
      </c>
      <c r="F70" s="116">
        <v>67.5</v>
      </c>
      <c r="G70" s="116">
        <v>57.5</v>
      </c>
      <c r="H70" s="116">
        <v>50.4</v>
      </c>
      <c r="I70" s="116">
        <v>45.1</v>
      </c>
      <c r="J70" s="116">
        <v>41.1</v>
      </c>
      <c r="K70" s="116"/>
      <c r="L70" s="116"/>
      <c r="M70" s="116"/>
      <c r="N70" s="116"/>
      <c r="O70" s="116"/>
      <c r="P70" s="116"/>
      <c r="Q70" s="116"/>
      <c r="R70" s="116"/>
      <c r="S70" s="116"/>
      <c r="T70" s="116"/>
      <c r="U70" s="116"/>
    </row>
    <row r="71" spans="1:21" x14ac:dyDescent="0.25">
      <c r="A71" s="80">
        <v>60</v>
      </c>
      <c r="B71" s="116">
        <v>313.2</v>
      </c>
      <c r="C71" s="116">
        <v>160.19999999999999</v>
      </c>
      <c r="D71" s="116">
        <v>109.2</v>
      </c>
      <c r="E71" s="116">
        <v>83.8</v>
      </c>
      <c r="F71" s="116">
        <v>68.599999999999994</v>
      </c>
      <c r="G71" s="116">
        <v>58.5</v>
      </c>
      <c r="H71" s="116">
        <v>51.3</v>
      </c>
      <c r="I71" s="116">
        <v>46</v>
      </c>
      <c r="J71" s="116"/>
      <c r="K71" s="116"/>
      <c r="L71" s="116"/>
      <c r="M71" s="116"/>
      <c r="N71" s="116"/>
      <c r="O71" s="116"/>
      <c r="P71" s="116"/>
      <c r="Q71" s="116"/>
      <c r="R71" s="116"/>
      <c r="S71" s="116"/>
      <c r="T71" s="116"/>
      <c r="U71" s="116"/>
    </row>
    <row r="72" spans="1:21" x14ac:dyDescent="0.25">
      <c r="A72" s="80">
        <v>61</v>
      </c>
      <c r="B72" s="116">
        <v>318</v>
      </c>
      <c r="C72" s="116">
        <v>162.69999999999999</v>
      </c>
      <c r="D72" s="116">
        <v>111</v>
      </c>
      <c r="E72" s="116">
        <v>85.2</v>
      </c>
      <c r="F72" s="116">
        <v>69.7</v>
      </c>
      <c r="G72" s="116">
        <v>59.5</v>
      </c>
      <c r="H72" s="116">
        <v>52.2</v>
      </c>
      <c r="I72" s="116"/>
      <c r="J72" s="116"/>
      <c r="K72" s="116"/>
      <c r="L72" s="116"/>
      <c r="M72" s="116"/>
      <c r="N72" s="116"/>
      <c r="O72" s="116"/>
      <c r="P72" s="116"/>
      <c r="Q72" s="116"/>
      <c r="R72" s="116"/>
      <c r="S72" s="116"/>
      <c r="T72" s="116"/>
      <c r="U72" s="116"/>
    </row>
    <row r="73" spans="1:21" x14ac:dyDescent="0.25">
      <c r="A73" s="80">
        <v>62</v>
      </c>
      <c r="B73" s="116">
        <v>323.10000000000002</v>
      </c>
      <c r="C73" s="116">
        <v>165.4</v>
      </c>
      <c r="D73" s="116">
        <v>112.8</v>
      </c>
      <c r="E73" s="116">
        <v>86.6</v>
      </c>
      <c r="F73" s="116">
        <v>70.900000000000006</v>
      </c>
      <c r="G73" s="116">
        <v>60.6</v>
      </c>
      <c r="H73" s="116"/>
      <c r="I73" s="116"/>
      <c r="J73" s="116"/>
      <c r="K73" s="116"/>
      <c r="L73" s="116"/>
      <c r="M73" s="116"/>
      <c r="N73" s="116"/>
      <c r="O73" s="116"/>
      <c r="P73" s="116"/>
      <c r="Q73" s="116"/>
      <c r="R73" s="116"/>
      <c r="S73" s="116"/>
      <c r="T73" s="116"/>
      <c r="U73" s="116"/>
    </row>
    <row r="74" spans="1:21" x14ac:dyDescent="0.25">
      <c r="A74" s="80">
        <v>63</v>
      </c>
      <c r="B74" s="116">
        <v>328.4</v>
      </c>
      <c r="C74" s="116">
        <v>168.1</v>
      </c>
      <c r="D74" s="116">
        <v>114.8</v>
      </c>
      <c r="E74" s="116">
        <v>88.1</v>
      </c>
      <c r="F74" s="116">
        <v>72.3</v>
      </c>
      <c r="G74" s="116"/>
      <c r="H74" s="116"/>
      <c r="I74" s="116"/>
      <c r="J74" s="116"/>
      <c r="K74" s="116"/>
      <c r="L74" s="116"/>
      <c r="M74" s="116"/>
      <c r="N74" s="116"/>
      <c r="O74" s="116"/>
      <c r="P74" s="116"/>
      <c r="Q74" s="116"/>
      <c r="R74" s="116"/>
      <c r="S74" s="116"/>
      <c r="T74" s="116"/>
      <c r="U74" s="116"/>
    </row>
    <row r="75" spans="1:21" x14ac:dyDescent="0.25">
      <c r="A75" s="80">
        <v>64</v>
      </c>
      <c r="B75" s="116">
        <v>334.1</v>
      </c>
      <c r="C75" s="116">
        <v>171.1</v>
      </c>
      <c r="D75" s="116">
        <v>116.8</v>
      </c>
      <c r="E75" s="116">
        <v>89.8</v>
      </c>
      <c r="F75" s="116"/>
      <c r="G75" s="116"/>
      <c r="H75" s="116"/>
      <c r="I75" s="116"/>
      <c r="J75" s="116"/>
      <c r="K75" s="116"/>
      <c r="L75" s="116"/>
      <c r="M75" s="116"/>
      <c r="N75" s="116"/>
      <c r="O75" s="116"/>
      <c r="P75" s="116"/>
      <c r="Q75" s="116"/>
      <c r="R75" s="116"/>
      <c r="S75" s="116"/>
      <c r="T75" s="116"/>
      <c r="U75" s="116"/>
    </row>
    <row r="76" spans="1:21" x14ac:dyDescent="0.25">
      <c r="A76" s="80">
        <v>65</v>
      </c>
      <c r="B76" s="116">
        <v>340.1</v>
      </c>
      <c r="C76" s="116">
        <v>174.2</v>
      </c>
      <c r="D76" s="116">
        <v>119.1</v>
      </c>
      <c r="E76" s="116"/>
      <c r="F76" s="116"/>
      <c r="G76" s="116"/>
      <c r="H76" s="116"/>
      <c r="I76" s="116"/>
      <c r="J76" s="116"/>
      <c r="K76" s="116"/>
      <c r="L76" s="116"/>
      <c r="M76" s="116"/>
      <c r="N76" s="116"/>
      <c r="O76" s="116"/>
      <c r="P76" s="116"/>
      <c r="Q76" s="116"/>
      <c r="R76" s="116"/>
      <c r="S76" s="116"/>
      <c r="T76" s="116"/>
      <c r="U76" s="116"/>
    </row>
    <row r="77" spans="1:21" x14ac:dyDescent="0.25">
      <c r="A77" s="80">
        <v>66</v>
      </c>
      <c r="B77" s="116">
        <v>346.4</v>
      </c>
      <c r="C77" s="116">
        <v>177.6</v>
      </c>
      <c r="D77" s="116"/>
      <c r="E77" s="116"/>
      <c r="F77" s="116"/>
      <c r="G77" s="116"/>
      <c r="H77" s="116"/>
      <c r="I77" s="116"/>
      <c r="J77" s="116"/>
      <c r="K77" s="116"/>
      <c r="L77" s="116"/>
      <c r="M77" s="116"/>
      <c r="N77" s="116"/>
      <c r="O77" s="116"/>
      <c r="P77" s="116"/>
      <c r="Q77" s="116"/>
      <c r="R77" s="116"/>
      <c r="S77" s="116"/>
      <c r="T77" s="116"/>
      <c r="U77" s="116"/>
    </row>
    <row r="78" spans="1:21" x14ac:dyDescent="0.25">
      <c r="A78" s="80">
        <v>67</v>
      </c>
      <c r="B78" s="116">
        <v>353</v>
      </c>
      <c r="C78" s="116"/>
      <c r="D78" s="116"/>
      <c r="E78" s="116"/>
      <c r="F78" s="116"/>
      <c r="G78" s="116"/>
      <c r="H78" s="116"/>
      <c r="I78" s="116"/>
      <c r="J78" s="116"/>
      <c r="K78" s="116"/>
      <c r="L78" s="116"/>
      <c r="M78" s="116"/>
      <c r="N78" s="116"/>
      <c r="O78" s="116"/>
      <c r="P78" s="116"/>
      <c r="Q78" s="116"/>
      <c r="R78" s="116"/>
      <c r="S78" s="116"/>
      <c r="T78" s="116"/>
      <c r="U78" s="116"/>
    </row>
  </sheetData>
  <sheetProtection algorithmName="SHA-512" hashValue="ORCd5i/sEb65XBk3nVYhmgJe0ZqLa2eYp7bEWbj6OPFEy+FZzdnNclokDvYbjMzXONsa3hWcsp1YI3Sb0vzfcA==" saltValue="lK8QjVoGv41M1kDcQK/XnA==" spinCount="100000" sheet="1" objects="1" scenarios="1"/>
  <conditionalFormatting sqref="A6:A21">
    <cfRule type="expression" dxfId="339" priority="9" stopIfTrue="1">
      <formula>MOD(ROW(),2)=0</formula>
    </cfRule>
    <cfRule type="expression" dxfId="338" priority="10" stopIfTrue="1">
      <formula>MOD(ROW(),2)&lt;&gt;0</formula>
    </cfRule>
  </conditionalFormatting>
  <conditionalFormatting sqref="A26:A78">
    <cfRule type="expression" dxfId="337" priority="11" stopIfTrue="1">
      <formula>MOD(ROW(),2)=0</formula>
    </cfRule>
    <cfRule type="expression" dxfId="336" priority="12" stopIfTrue="1">
      <formula>MOD(ROW(),2)&lt;&gt;0</formula>
    </cfRule>
  </conditionalFormatting>
  <conditionalFormatting sqref="B17:B21">
    <cfRule type="expression" dxfId="335" priority="1" stopIfTrue="1">
      <formula>MOD(ROW(),2)=0</formula>
    </cfRule>
    <cfRule type="expression" dxfId="334" priority="2" stopIfTrue="1">
      <formula>MOD(ROW(),2)&lt;&gt;0</formula>
    </cfRule>
  </conditionalFormatting>
  <conditionalFormatting sqref="B6:U21">
    <cfRule type="expression" dxfId="333" priority="17" stopIfTrue="1">
      <formula>MOD(ROW(),2)=0</formula>
    </cfRule>
    <cfRule type="expression" dxfId="332" priority="18" stopIfTrue="1">
      <formula>MOD(ROW(),2)&lt;&gt;0</formula>
    </cfRule>
  </conditionalFormatting>
  <conditionalFormatting sqref="B26:U78">
    <cfRule type="expression" dxfId="331" priority="13" stopIfTrue="1">
      <formula>MOD(ROW(),2)=0</formula>
    </cfRule>
    <cfRule type="expression" dxfId="330" priority="14" stopIfTrue="1">
      <formula>MOD(ROW(),2)&lt;&gt;0</formula>
    </cfRule>
  </conditionalFormatting>
  <hyperlinks>
    <hyperlink ref="B24" location="Assumptions!A1" display="Assumptions" xr:uid="{8CAEA54D-DF05-4C56-8996-E92802E3C56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C53C-9727-4515-8E9A-3E32768E7D2B}">
  <sheetPr codeName="Sheet101"/>
  <dimension ref="A1:U75"/>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x-716</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73</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591</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0</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716</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592</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593</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207</v>
      </c>
      <c r="C27" s="116">
        <v>105.4</v>
      </c>
      <c r="D27" s="116">
        <v>71.599999999999994</v>
      </c>
      <c r="E27" s="116">
        <v>54.7</v>
      </c>
      <c r="F27" s="116">
        <v>44.5</v>
      </c>
      <c r="G27" s="116">
        <v>37.799999999999997</v>
      </c>
      <c r="H27" s="116">
        <v>33</v>
      </c>
      <c r="I27" s="116">
        <v>29.3</v>
      </c>
      <c r="J27" s="116">
        <v>26.5</v>
      </c>
      <c r="K27" s="116">
        <v>24.3</v>
      </c>
      <c r="L27" s="116">
        <v>22.5</v>
      </c>
      <c r="M27" s="116">
        <v>21</v>
      </c>
      <c r="N27" s="116">
        <v>19.7</v>
      </c>
      <c r="O27" s="116">
        <v>18.600000000000001</v>
      </c>
      <c r="P27" s="116">
        <v>17.7</v>
      </c>
      <c r="Q27" s="116">
        <v>16.8</v>
      </c>
      <c r="R27" s="116">
        <v>16.100000000000001</v>
      </c>
      <c r="S27" s="116">
        <v>15.5</v>
      </c>
      <c r="T27" s="116">
        <v>14.9</v>
      </c>
      <c r="U27" s="116">
        <v>14.4</v>
      </c>
    </row>
    <row r="28" spans="1:21" x14ac:dyDescent="0.25">
      <c r="A28" s="80">
        <v>17</v>
      </c>
      <c r="B28" s="116">
        <v>210.4</v>
      </c>
      <c r="C28" s="116">
        <v>107.1</v>
      </c>
      <c r="D28" s="116">
        <v>72.7</v>
      </c>
      <c r="E28" s="116">
        <v>55.5</v>
      </c>
      <c r="F28" s="116">
        <v>45.2</v>
      </c>
      <c r="G28" s="116">
        <v>38.4</v>
      </c>
      <c r="H28" s="116">
        <v>33.5</v>
      </c>
      <c r="I28" s="116">
        <v>29.8</v>
      </c>
      <c r="J28" s="116">
        <v>27</v>
      </c>
      <c r="K28" s="116">
        <v>24.7</v>
      </c>
      <c r="L28" s="116">
        <v>22.9</v>
      </c>
      <c r="M28" s="116">
        <v>21.3</v>
      </c>
      <c r="N28" s="116">
        <v>20</v>
      </c>
      <c r="O28" s="116">
        <v>18.899999999999999</v>
      </c>
      <c r="P28" s="116">
        <v>17.899999999999999</v>
      </c>
      <c r="Q28" s="116">
        <v>17.100000000000001</v>
      </c>
      <c r="R28" s="116">
        <v>16.399999999999999</v>
      </c>
      <c r="S28" s="116">
        <v>15.7</v>
      </c>
      <c r="T28" s="116">
        <v>15.1</v>
      </c>
      <c r="U28" s="116">
        <v>14.6</v>
      </c>
    </row>
    <row r="29" spans="1:21" x14ac:dyDescent="0.25">
      <c r="A29" s="80">
        <v>18</v>
      </c>
      <c r="B29" s="116">
        <v>213.9</v>
      </c>
      <c r="C29" s="116">
        <v>108.9</v>
      </c>
      <c r="D29" s="116">
        <v>74</v>
      </c>
      <c r="E29" s="116">
        <v>56.5</v>
      </c>
      <c r="F29" s="116">
        <v>46</v>
      </c>
      <c r="G29" s="116">
        <v>39</v>
      </c>
      <c r="H29" s="116">
        <v>34</v>
      </c>
      <c r="I29" s="116">
        <v>30.3</v>
      </c>
      <c r="J29" s="116">
        <v>27.4</v>
      </c>
      <c r="K29" s="116">
        <v>25.1</v>
      </c>
      <c r="L29" s="116">
        <v>23.2</v>
      </c>
      <c r="M29" s="116">
        <v>21.7</v>
      </c>
      <c r="N29" s="116">
        <v>20.3</v>
      </c>
      <c r="O29" s="116">
        <v>19.2</v>
      </c>
      <c r="P29" s="116">
        <v>18.2</v>
      </c>
      <c r="Q29" s="116">
        <v>17.399999999999999</v>
      </c>
      <c r="R29" s="116">
        <v>16.600000000000001</v>
      </c>
      <c r="S29" s="116">
        <v>16</v>
      </c>
      <c r="T29" s="116">
        <v>15.4</v>
      </c>
      <c r="U29" s="116">
        <v>14.9</v>
      </c>
    </row>
    <row r="30" spans="1:21" x14ac:dyDescent="0.25">
      <c r="A30" s="80">
        <v>19</v>
      </c>
      <c r="B30" s="116">
        <v>217.3</v>
      </c>
      <c r="C30" s="116">
        <v>110.7</v>
      </c>
      <c r="D30" s="116">
        <v>75.099999999999994</v>
      </c>
      <c r="E30" s="116">
        <v>57.4</v>
      </c>
      <c r="F30" s="116">
        <v>46.7</v>
      </c>
      <c r="G30" s="116">
        <v>39.6</v>
      </c>
      <c r="H30" s="116">
        <v>34.6</v>
      </c>
      <c r="I30" s="116">
        <v>30.8</v>
      </c>
      <c r="J30" s="116">
        <v>27.9</v>
      </c>
      <c r="K30" s="116">
        <v>25.5</v>
      </c>
      <c r="L30" s="116">
        <v>23.6</v>
      </c>
      <c r="M30" s="116">
        <v>22</v>
      </c>
      <c r="N30" s="116">
        <v>20.7</v>
      </c>
      <c r="O30" s="116">
        <v>19.5</v>
      </c>
      <c r="P30" s="116">
        <v>18.5</v>
      </c>
      <c r="Q30" s="116">
        <v>17.7</v>
      </c>
      <c r="R30" s="116">
        <v>16.899999999999999</v>
      </c>
      <c r="S30" s="116">
        <v>16.2</v>
      </c>
      <c r="T30" s="116">
        <v>15.6</v>
      </c>
      <c r="U30" s="116">
        <v>15.1</v>
      </c>
    </row>
    <row r="31" spans="1:21" x14ac:dyDescent="0.25">
      <c r="A31" s="80">
        <v>20</v>
      </c>
      <c r="B31" s="116">
        <v>220.4</v>
      </c>
      <c r="C31" s="116">
        <v>112.3</v>
      </c>
      <c r="D31" s="116">
        <v>76.2</v>
      </c>
      <c r="E31" s="116">
        <v>58.2</v>
      </c>
      <c r="F31" s="116">
        <v>47.4</v>
      </c>
      <c r="G31" s="116">
        <v>40.200000000000003</v>
      </c>
      <c r="H31" s="116">
        <v>35.1</v>
      </c>
      <c r="I31" s="116">
        <v>31.3</v>
      </c>
      <c r="J31" s="116">
        <v>28.3</v>
      </c>
      <c r="K31" s="116">
        <v>25.9</v>
      </c>
      <c r="L31" s="116">
        <v>24</v>
      </c>
      <c r="M31" s="116">
        <v>22.3</v>
      </c>
      <c r="N31" s="116">
        <v>21</v>
      </c>
      <c r="O31" s="116">
        <v>19.8</v>
      </c>
      <c r="P31" s="116">
        <v>18.8</v>
      </c>
      <c r="Q31" s="116">
        <v>17.899999999999999</v>
      </c>
      <c r="R31" s="116">
        <v>17.2</v>
      </c>
      <c r="S31" s="116">
        <v>16.5</v>
      </c>
      <c r="T31" s="116">
        <v>15.9</v>
      </c>
      <c r="U31" s="116">
        <v>15.3</v>
      </c>
    </row>
    <row r="32" spans="1:21" x14ac:dyDescent="0.25">
      <c r="A32" s="80">
        <v>21</v>
      </c>
      <c r="B32" s="116">
        <v>223.6</v>
      </c>
      <c r="C32" s="116">
        <v>113.9</v>
      </c>
      <c r="D32" s="116">
        <v>77.3</v>
      </c>
      <c r="E32" s="116">
        <v>59</v>
      </c>
      <c r="F32" s="116">
        <v>48.1</v>
      </c>
      <c r="G32" s="116">
        <v>40.799999999999997</v>
      </c>
      <c r="H32" s="116">
        <v>35.6</v>
      </c>
      <c r="I32" s="116">
        <v>31.7</v>
      </c>
      <c r="J32" s="116">
        <v>28.7</v>
      </c>
      <c r="K32" s="116">
        <v>26.3</v>
      </c>
      <c r="L32" s="116">
        <v>24.3</v>
      </c>
      <c r="M32" s="116">
        <v>22.7</v>
      </c>
      <c r="N32" s="116">
        <v>21.3</v>
      </c>
      <c r="O32" s="116">
        <v>20.100000000000001</v>
      </c>
      <c r="P32" s="116">
        <v>19.100000000000001</v>
      </c>
      <c r="Q32" s="116">
        <v>18.2</v>
      </c>
      <c r="R32" s="116">
        <v>17.399999999999999</v>
      </c>
      <c r="S32" s="116">
        <v>16.7</v>
      </c>
      <c r="T32" s="116">
        <v>16.100000000000001</v>
      </c>
      <c r="U32" s="116">
        <v>15.5</v>
      </c>
    </row>
    <row r="33" spans="1:21" x14ac:dyDescent="0.25">
      <c r="A33" s="80">
        <v>22</v>
      </c>
      <c r="B33" s="116">
        <v>226.8</v>
      </c>
      <c r="C33" s="116">
        <v>115.5</v>
      </c>
      <c r="D33" s="116">
        <v>78.400000000000006</v>
      </c>
      <c r="E33" s="116">
        <v>59.9</v>
      </c>
      <c r="F33" s="116">
        <v>48.8</v>
      </c>
      <c r="G33" s="116">
        <v>41.4</v>
      </c>
      <c r="H33" s="116">
        <v>36.1</v>
      </c>
      <c r="I33" s="116">
        <v>32.200000000000003</v>
      </c>
      <c r="J33" s="116">
        <v>29.1</v>
      </c>
      <c r="K33" s="116">
        <v>26.6</v>
      </c>
      <c r="L33" s="116">
        <v>24.6</v>
      </c>
      <c r="M33" s="116">
        <v>23</v>
      </c>
      <c r="N33" s="116">
        <v>21.6</v>
      </c>
      <c r="O33" s="116">
        <v>20.399999999999999</v>
      </c>
      <c r="P33" s="116">
        <v>19.399999999999999</v>
      </c>
      <c r="Q33" s="116">
        <v>18.5</v>
      </c>
      <c r="R33" s="116">
        <v>17.7</v>
      </c>
      <c r="S33" s="116">
        <v>17</v>
      </c>
      <c r="T33" s="116">
        <v>16.3</v>
      </c>
      <c r="U33" s="116">
        <v>15.8</v>
      </c>
    </row>
    <row r="34" spans="1:21" x14ac:dyDescent="0.25">
      <c r="A34" s="80">
        <v>23</v>
      </c>
      <c r="B34" s="116">
        <v>230.1</v>
      </c>
      <c r="C34" s="116">
        <v>117.2</v>
      </c>
      <c r="D34" s="116">
        <v>79.599999999999994</v>
      </c>
      <c r="E34" s="116">
        <v>60.8</v>
      </c>
      <c r="F34" s="116">
        <v>49.5</v>
      </c>
      <c r="G34" s="116">
        <v>42</v>
      </c>
      <c r="H34" s="116">
        <v>36.6</v>
      </c>
      <c r="I34" s="116">
        <v>32.6</v>
      </c>
      <c r="J34" s="116">
        <v>29.5</v>
      </c>
      <c r="K34" s="116">
        <v>27</v>
      </c>
      <c r="L34" s="116">
        <v>25</v>
      </c>
      <c r="M34" s="116">
        <v>23.3</v>
      </c>
      <c r="N34" s="116">
        <v>21.9</v>
      </c>
      <c r="O34" s="116">
        <v>20.7</v>
      </c>
      <c r="P34" s="116">
        <v>19.600000000000001</v>
      </c>
      <c r="Q34" s="116">
        <v>18.7</v>
      </c>
      <c r="R34" s="116">
        <v>17.899999999999999</v>
      </c>
      <c r="S34" s="116">
        <v>17.2</v>
      </c>
      <c r="T34" s="116">
        <v>16.600000000000001</v>
      </c>
      <c r="U34" s="116">
        <v>16</v>
      </c>
    </row>
    <row r="35" spans="1:21" x14ac:dyDescent="0.25">
      <c r="A35" s="80">
        <v>24</v>
      </c>
      <c r="B35" s="116">
        <v>233.4</v>
      </c>
      <c r="C35" s="116">
        <v>118.9</v>
      </c>
      <c r="D35" s="116">
        <v>80.7</v>
      </c>
      <c r="E35" s="116">
        <v>61.6</v>
      </c>
      <c r="F35" s="116">
        <v>50.2</v>
      </c>
      <c r="G35" s="116">
        <v>42.6</v>
      </c>
      <c r="H35" s="116">
        <v>37.200000000000003</v>
      </c>
      <c r="I35" s="116">
        <v>33.1</v>
      </c>
      <c r="J35" s="116">
        <v>29.9</v>
      </c>
      <c r="K35" s="116">
        <v>27.4</v>
      </c>
      <c r="L35" s="116">
        <v>25.4</v>
      </c>
      <c r="M35" s="116">
        <v>23.7</v>
      </c>
      <c r="N35" s="116">
        <v>22.2</v>
      </c>
      <c r="O35" s="116">
        <v>21</v>
      </c>
      <c r="P35" s="116">
        <v>19.899999999999999</v>
      </c>
      <c r="Q35" s="116">
        <v>19</v>
      </c>
      <c r="R35" s="116">
        <v>18.2</v>
      </c>
      <c r="S35" s="116">
        <v>17.5</v>
      </c>
      <c r="T35" s="116">
        <v>16.8</v>
      </c>
      <c r="U35" s="116">
        <v>16.2</v>
      </c>
    </row>
    <row r="36" spans="1:21" x14ac:dyDescent="0.25">
      <c r="A36" s="80">
        <v>25</v>
      </c>
      <c r="B36" s="116">
        <v>236.8</v>
      </c>
      <c r="C36" s="116">
        <v>120.6</v>
      </c>
      <c r="D36" s="116">
        <v>81.900000000000006</v>
      </c>
      <c r="E36" s="116">
        <v>62.5</v>
      </c>
      <c r="F36" s="116">
        <v>50.9</v>
      </c>
      <c r="G36" s="116">
        <v>43.2</v>
      </c>
      <c r="H36" s="116">
        <v>37.700000000000003</v>
      </c>
      <c r="I36" s="116">
        <v>33.6</v>
      </c>
      <c r="J36" s="116">
        <v>30.4</v>
      </c>
      <c r="K36" s="116">
        <v>27.8</v>
      </c>
      <c r="L36" s="116">
        <v>25.7</v>
      </c>
      <c r="M36" s="116">
        <v>24</v>
      </c>
      <c r="N36" s="116">
        <v>22.5</v>
      </c>
      <c r="O36" s="116">
        <v>21.3</v>
      </c>
      <c r="P36" s="116">
        <v>20.2</v>
      </c>
      <c r="Q36" s="116">
        <v>19.3</v>
      </c>
      <c r="R36" s="116">
        <v>18.399999999999999</v>
      </c>
      <c r="S36" s="116">
        <v>17.7</v>
      </c>
      <c r="T36" s="116">
        <v>17.100000000000001</v>
      </c>
      <c r="U36" s="116">
        <v>16.5</v>
      </c>
    </row>
    <row r="37" spans="1:21" x14ac:dyDescent="0.25">
      <c r="A37" s="80">
        <v>26</v>
      </c>
      <c r="B37" s="116">
        <v>240.2</v>
      </c>
      <c r="C37" s="116">
        <v>122.3</v>
      </c>
      <c r="D37" s="116">
        <v>83</v>
      </c>
      <c r="E37" s="116">
        <v>63.4</v>
      </c>
      <c r="F37" s="116">
        <v>51.7</v>
      </c>
      <c r="G37" s="116">
        <v>43.8</v>
      </c>
      <c r="H37" s="116">
        <v>38.200000000000003</v>
      </c>
      <c r="I37" s="116">
        <v>34.1</v>
      </c>
      <c r="J37" s="116">
        <v>30.8</v>
      </c>
      <c r="K37" s="116">
        <v>28.2</v>
      </c>
      <c r="L37" s="116">
        <v>26.1</v>
      </c>
      <c r="M37" s="116">
        <v>24.3</v>
      </c>
      <c r="N37" s="116">
        <v>22.9</v>
      </c>
      <c r="O37" s="116">
        <v>21.6</v>
      </c>
      <c r="P37" s="116">
        <v>20.5</v>
      </c>
      <c r="Q37" s="116">
        <v>19.600000000000001</v>
      </c>
      <c r="R37" s="116">
        <v>18.7</v>
      </c>
      <c r="S37" s="116">
        <v>18</v>
      </c>
      <c r="T37" s="116">
        <v>17.3</v>
      </c>
      <c r="U37" s="116">
        <v>16.7</v>
      </c>
    </row>
    <row r="38" spans="1:21" x14ac:dyDescent="0.25">
      <c r="A38" s="80">
        <v>27</v>
      </c>
      <c r="B38" s="116">
        <v>243.6</v>
      </c>
      <c r="C38" s="116">
        <v>124.1</v>
      </c>
      <c r="D38" s="116">
        <v>84.2</v>
      </c>
      <c r="E38" s="116">
        <v>64.3</v>
      </c>
      <c r="F38" s="116">
        <v>52.4</v>
      </c>
      <c r="G38" s="116">
        <v>44.5</v>
      </c>
      <c r="H38" s="116">
        <v>38.799999999999997</v>
      </c>
      <c r="I38" s="116">
        <v>34.5</v>
      </c>
      <c r="J38" s="116">
        <v>31.3</v>
      </c>
      <c r="K38" s="116">
        <v>28.6</v>
      </c>
      <c r="L38" s="116">
        <v>26.5</v>
      </c>
      <c r="M38" s="116">
        <v>24.7</v>
      </c>
      <c r="N38" s="116">
        <v>23.2</v>
      </c>
      <c r="O38" s="116">
        <v>21.9</v>
      </c>
      <c r="P38" s="116">
        <v>20.8</v>
      </c>
      <c r="Q38" s="116">
        <v>19.8</v>
      </c>
      <c r="R38" s="116">
        <v>19</v>
      </c>
      <c r="S38" s="116">
        <v>18.2</v>
      </c>
      <c r="T38" s="116">
        <v>17.600000000000001</v>
      </c>
      <c r="U38" s="116">
        <v>17</v>
      </c>
    </row>
    <row r="39" spans="1:21" x14ac:dyDescent="0.25">
      <c r="A39" s="80">
        <v>28</v>
      </c>
      <c r="B39" s="116">
        <v>247.1</v>
      </c>
      <c r="C39" s="116">
        <v>125.8</v>
      </c>
      <c r="D39" s="116">
        <v>85.4</v>
      </c>
      <c r="E39" s="116">
        <v>65.2</v>
      </c>
      <c r="F39" s="116">
        <v>53.1</v>
      </c>
      <c r="G39" s="116">
        <v>45.1</v>
      </c>
      <c r="H39" s="116">
        <v>39.299999999999997</v>
      </c>
      <c r="I39" s="116">
        <v>35</v>
      </c>
      <c r="J39" s="116">
        <v>31.7</v>
      </c>
      <c r="K39" s="116">
        <v>29</v>
      </c>
      <c r="L39" s="116">
        <v>26.9</v>
      </c>
      <c r="M39" s="116">
        <v>25.1</v>
      </c>
      <c r="N39" s="116">
        <v>23.5</v>
      </c>
      <c r="O39" s="116">
        <v>22.2</v>
      </c>
      <c r="P39" s="116">
        <v>21.1</v>
      </c>
      <c r="Q39" s="116">
        <v>20.100000000000001</v>
      </c>
      <c r="R39" s="116">
        <v>19.3</v>
      </c>
      <c r="S39" s="116">
        <v>18.5</v>
      </c>
      <c r="T39" s="116">
        <v>17.8</v>
      </c>
      <c r="U39" s="116">
        <v>17.2</v>
      </c>
    </row>
    <row r="40" spans="1:21" x14ac:dyDescent="0.25">
      <c r="A40" s="80">
        <v>29</v>
      </c>
      <c r="B40" s="116">
        <v>250.6</v>
      </c>
      <c r="C40" s="116">
        <v>127.6</v>
      </c>
      <c r="D40" s="116">
        <v>86.7</v>
      </c>
      <c r="E40" s="116">
        <v>66.2</v>
      </c>
      <c r="F40" s="116">
        <v>53.9</v>
      </c>
      <c r="G40" s="116">
        <v>45.7</v>
      </c>
      <c r="H40" s="116">
        <v>39.9</v>
      </c>
      <c r="I40" s="116">
        <v>35.6</v>
      </c>
      <c r="J40" s="116">
        <v>32.200000000000003</v>
      </c>
      <c r="K40" s="116">
        <v>29.5</v>
      </c>
      <c r="L40" s="116">
        <v>27.3</v>
      </c>
      <c r="M40" s="116">
        <v>25.4</v>
      </c>
      <c r="N40" s="116">
        <v>23.9</v>
      </c>
      <c r="O40" s="116">
        <v>22.6</v>
      </c>
      <c r="P40" s="116">
        <v>21.4</v>
      </c>
      <c r="Q40" s="116">
        <v>20.399999999999999</v>
      </c>
      <c r="R40" s="116">
        <v>19.5</v>
      </c>
      <c r="S40" s="116">
        <v>18.8</v>
      </c>
      <c r="T40" s="116">
        <v>18.100000000000001</v>
      </c>
      <c r="U40" s="116">
        <v>17.5</v>
      </c>
    </row>
    <row r="41" spans="1:21" x14ac:dyDescent="0.25">
      <c r="A41" s="80">
        <v>30</v>
      </c>
      <c r="B41" s="116">
        <v>254.2</v>
      </c>
      <c r="C41" s="116">
        <v>129.5</v>
      </c>
      <c r="D41" s="116">
        <v>87.9</v>
      </c>
      <c r="E41" s="116">
        <v>67.099999999999994</v>
      </c>
      <c r="F41" s="116">
        <v>54.7</v>
      </c>
      <c r="G41" s="116">
        <v>46.4</v>
      </c>
      <c r="H41" s="116">
        <v>40.5</v>
      </c>
      <c r="I41" s="116">
        <v>36.1</v>
      </c>
      <c r="J41" s="116">
        <v>32.6</v>
      </c>
      <c r="K41" s="116">
        <v>29.9</v>
      </c>
      <c r="L41" s="116">
        <v>27.7</v>
      </c>
      <c r="M41" s="116">
        <v>25.8</v>
      </c>
      <c r="N41" s="116">
        <v>24.2</v>
      </c>
      <c r="O41" s="116">
        <v>22.9</v>
      </c>
      <c r="P41" s="116">
        <v>21.7</v>
      </c>
      <c r="Q41" s="116">
        <v>20.7</v>
      </c>
      <c r="R41" s="116">
        <v>19.8</v>
      </c>
      <c r="S41" s="116">
        <v>19.100000000000001</v>
      </c>
      <c r="T41" s="116">
        <v>18.399999999999999</v>
      </c>
      <c r="U41" s="116">
        <v>17.7</v>
      </c>
    </row>
    <row r="42" spans="1:21" x14ac:dyDescent="0.25">
      <c r="A42" s="80">
        <v>31</v>
      </c>
      <c r="B42" s="116">
        <v>257.8</v>
      </c>
      <c r="C42" s="116">
        <v>131.30000000000001</v>
      </c>
      <c r="D42" s="116">
        <v>89.2</v>
      </c>
      <c r="E42" s="116">
        <v>68.099999999999994</v>
      </c>
      <c r="F42" s="116">
        <v>55.5</v>
      </c>
      <c r="G42" s="116">
        <v>47.1</v>
      </c>
      <c r="H42" s="116">
        <v>41.1</v>
      </c>
      <c r="I42" s="116">
        <v>36.6</v>
      </c>
      <c r="J42" s="116">
        <v>33.1</v>
      </c>
      <c r="K42" s="116">
        <v>30.3</v>
      </c>
      <c r="L42" s="116">
        <v>28.1</v>
      </c>
      <c r="M42" s="116">
        <v>26.2</v>
      </c>
      <c r="N42" s="116">
        <v>24.6</v>
      </c>
      <c r="O42" s="116">
        <v>23.2</v>
      </c>
      <c r="P42" s="116">
        <v>22</v>
      </c>
      <c r="Q42" s="116">
        <v>21</v>
      </c>
      <c r="R42" s="116">
        <v>20.100000000000001</v>
      </c>
      <c r="S42" s="116">
        <v>19.3</v>
      </c>
      <c r="T42" s="116">
        <v>18.600000000000001</v>
      </c>
      <c r="U42" s="116">
        <v>18</v>
      </c>
    </row>
    <row r="43" spans="1:21" x14ac:dyDescent="0.25">
      <c r="A43" s="80">
        <v>32</v>
      </c>
      <c r="B43" s="116">
        <v>261.5</v>
      </c>
      <c r="C43" s="116">
        <v>133.19999999999999</v>
      </c>
      <c r="D43" s="116">
        <v>90.4</v>
      </c>
      <c r="E43" s="116">
        <v>69.099999999999994</v>
      </c>
      <c r="F43" s="116">
        <v>56.3</v>
      </c>
      <c r="G43" s="116">
        <v>47.7</v>
      </c>
      <c r="H43" s="116">
        <v>41.7</v>
      </c>
      <c r="I43" s="116">
        <v>37.1</v>
      </c>
      <c r="J43" s="116">
        <v>33.6</v>
      </c>
      <c r="K43" s="116">
        <v>30.8</v>
      </c>
      <c r="L43" s="116">
        <v>28.5</v>
      </c>
      <c r="M43" s="116">
        <v>26.6</v>
      </c>
      <c r="N43" s="116">
        <v>24.9</v>
      </c>
      <c r="O43" s="116">
        <v>23.6</v>
      </c>
      <c r="P43" s="116">
        <v>22.4</v>
      </c>
      <c r="Q43" s="116">
        <v>21.3</v>
      </c>
      <c r="R43" s="116">
        <v>20.399999999999999</v>
      </c>
      <c r="S43" s="116">
        <v>19.600000000000001</v>
      </c>
      <c r="T43" s="116">
        <v>18.899999999999999</v>
      </c>
      <c r="U43" s="116">
        <v>18.3</v>
      </c>
    </row>
    <row r="44" spans="1:21" x14ac:dyDescent="0.25">
      <c r="A44" s="80">
        <v>33</v>
      </c>
      <c r="B44" s="116">
        <v>265.2</v>
      </c>
      <c r="C44" s="116">
        <v>135.1</v>
      </c>
      <c r="D44" s="116">
        <v>91.7</v>
      </c>
      <c r="E44" s="116">
        <v>70.099999999999994</v>
      </c>
      <c r="F44" s="116">
        <v>57.1</v>
      </c>
      <c r="G44" s="116">
        <v>48.4</v>
      </c>
      <c r="H44" s="116">
        <v>42.3</v>
      </c>
      <c r="I44" s="116">
        <v>37.6</v>
      </c>
      <c r="J44" s="116">
        <v>34.1</v>
      </c>
      <c r="K44" s="116">
        <v>31.2</v>
      </c>
      <c r="L44" s="116">
        <v>28.9</v>
      </c>
      <c r="M44" s="116">
        <v>26.9</v>
      </c>
      <c r="N44" s="116">
        <v>25.3</v>
      </c>
      <c r="O44" s="116">
        <v>23.9</v>
      </c>
      <c r="P44" s="116">
        <v>22.7</v>
      </c>
      <c r="Q44" s="116">
        <v>21.7</v>
      </c>
      <c r="R44" s="116">
        <v>20.7</v>
      </c>
      <c r="S44" s="116">
        <v>19.899999999999999</v>
      </c>
      <c r="T44" s="116">
        <v>19.2</v>
      </c>
      <c r="U44" s="116">
        <v>18.5</v>
      </c>
    </row>
    <row r="45" spans="1:21" x14ac:dyDescent="0.25">
      <c r="A45" s="80">
        <v>34</v>
      </c>
      <c r="B45" s="116">
        <v>268.89999999999998</v>
      </c>
      <c r="C45" s="116">
        <v>137</v>
      </c>
      <c r="D45" s="116">
        <v>93</v>
      </c>
      <c r="E45" s="116">
        <v>71.099999999999994</v>
      </c>
      <c r="F45" s="116">
        <v>57.9</v>
      </c>
      <c r="G45" s="116">
        <v>49.1</v>
      </c>
      <c r="H45" s="116">
        <v>42.9</v>
      </c>
      <c r="I45" s="116">
        <v>38.200000000000003</v>
      </c>
      <c r="J45" s="116">
        <v>34.6</v>
      </c>
      <c r="K45" s="116">
        <v>31.7</v>
      </c>
      <c r="L45" s="116">
        <v>29.3</v>
      </c>
      <c r="M45" s="116">
        <v>27.3</v>
      </c>
      <c r="N45" s="116">
        <v>25.7</v>
      </c>
      <c r="O45" s="116">
        <v>24.3</v>
      </c>
      <c r="P45" s="116">
        <v>23</v>
      </c>
      <c r="Q45" s="116">
        <v>22</v>
      </c>
      <c r="R45" s="116">
        <v>21</v>
      </c>
      <c r="S45" s="116">
        <v>20.2</v>
      </c>
      <c r="T45" s="116">
        <v>19.5</v>
      </c>
      <c r="U45" s="116">
        <v>18.8</v>
      </c>
    </row>
    <row r="46" spans="1:21" x14ac:dyDescent="0.25">
      <c r="A46" s="80">
        <v>35</v>
      </c>
      <c r="B46" s="116">
        <v>272.7</v>
      </c>
      <c r="C46" s="116">
        <v>138.9</v>
      </c>
      <c r="D46" s="116">
        <v>94.3</v>
      </c>
      <c r="E46" s="116">
        <v>72.099999999999994</v>
      </c>
      <c r="F46" s="116">
        <v>58.7</v>
      </c>
      <c r="G46" s="116">
        <v>49.8</v>
      </c>
      <c r="H46" s="116">
        <v>43.5</v>
      </c>
      <c r="I46" s="116">
        <v>38.700000000000003</v>
      </c>
      <c r="J46" s="116">
        <v>35.1</v>
      </c>
      <c r="K46" s="116">
        <v>32.1</v>
      </c>
      <c r="L46" s="116">
        <v>29.7</v>
      </c>
      <c r="M46" s="116">
        <v>27.7</v>
      </c>
      <c r="N46" s="116">
        <v>26</v>
      </c>
      <c r="O46" s="116">
        <v>24.6</v>
      </c>
      <c r="P46" s="116">
        <v>23.4</v>
      </c>
      <c r="Q46" s="116">
        <v>22.3</v>
      </c>
      <c r="R46" s="116">
        <v>21.3</v>
      </c>
      <c r="S46" s="116">
        <v>20.5</v>
      </c>
      <c r="T46" s="116">
        <v>19.8</v>
      </c>
      <c r="U46" s="116">
        <v>19.100000000000001</v>
      </c>
    </row>
    <row r="47" spans="1:21" x14ac:dyDescent="0.25">
      <c r="A47" s="80">
        <v>36</v>
      </c>
      <c r="B47" s="116">
        <v>276.60000000000002</v>
      </c>
      <c r="C47" s="116">
        <v>140.9</v>
      </c>
      <c r="D47" s="116">
        <v>95.7</v>
      </c>
      <c r="E47" s="116">
        <v>73.099999999999994</v>
      </c>
      <c r="F47" s="116">
        <v>59.5</v>
      </c>
      <c r="G47" s="116">
        <v>50.5</v>
      </c>
      <c r="H47" s="116">
        <v>44.1</v>
      </c>
      <c r="I47" s="116">
        <v>39.299999999999997</v>
      </c>
      <c r="J47" s="116">
        <v>35.6</v>
      </c>
      <c r="K47" s="116">
        <v>32.6</v>
      </c>
      <c r="L47" s="116">
        <v>30.1</v>
      </c>
      <c r="M47" s="116">
        <v>28.1</v>
      </c>
      <c r="N47" s="116">
        <v>26.4</v>
      </c>
      <c r="O47" s="116">
        <v>25</v>
      </c>
      <c r="P47" s="116">
        <v>23.7</v>
      </c>
      <c r="Q47" s="116">
        <v>22.6</v>
      </c>
      <c r="R47" s="116">
        <v>21.7</v>
      </c>
      <c r="S47" s="116">
        <v>20.8</v>
      </c>
      <c r="T47" s="116">
        <v>20.100000000000001</v>
      </c>
      <c r="U47" s="116">
        <v>19.399999999999999</v>
      </c>
    </row>
    <row r="48" spans="1:21" x14ac:dyDescent="0.25">
      <c r="A48" s="80">
        <v>37</v>
      </c>
      <c r="B48" s="116">
        <v>280.5</v>
      </c>
      <c r="C48" s="116">
        <v>142.9</v>
      </c>
      <c r="D48" s="116">
        <v>97</v>
      </c>
      <c r="E48" s="116">
        <v>74.099999999999994</v>
      </c>
      <c r="F48" s="116">
        <v>60.4</v>
      </c>
      <c r="G48" s="116">
        <v>51.2</v>
      </c>
      <c r="H48" s="116">
        <v>44.7</v>
      </c>
      <c r="I48" s="116">
        <v>39.9</v>
      </c>
      <c r="J48" s="116">
        <v>36.1</v>
      </c>
      <c r="K48" s="116">
        <v>33</v>
      </c>
      <c r="L48" s="116">
        <v>30.6</v>
      </c>
      <c r="M48" s="116">
        <v>28.5</v>
      </c>
      <c r="N48" s="116">
        <v>26.8</v>
      </c>
      <c r="O48" s="116">
        <v>25.3</v>
      </c>
      <c r="P48" s="116">
        <v>24.1</v>
      </c>
      <c r="Q48" s="116">
        <v>23</v>
      </c>
      <c r="R48" s="116">
        <v>22</v>
      </c>
      <c r="S48" s="116">
        <v>21.1</v>
      </c>
      <c r="T48" s="116">
        <v>20.399999999999999</v>
      </c>
      <c r="U48" s="116">
        <v>19.7</v>
      </c>
    </row>
    <row r="49" spans="1:21" x14ac:dyDescent="0.25">
      <c r="A49" s="80">
        <v>38</v>
      </c>
      <c r="B49" s="116">
        <v>284.39999999999998</v>
      </c>
      <c r="C49" s="116">
        <v>144.9</v>
      </c>
      <c r="D49" s="116">
        <v>98.4</v>
      </c>
      <c r="E49" s="116">
        <v>75.2</v>
      </c>
      <c r="F49" s="116">
        <v>61.2</v>
      </c>
      <c r="G49" s="116">
        <v>52</v>
      </c>
      <c r="H49" s="116">
        <v>45.4</v>
      </c>
      <c r="I49" s="116">
        <v>40.4</v>
      </c>
      <c r="J49" s="116">
        <v>36.6</v>
      </c>
      <c r="K49" s="116">
        <v>33.5</v>
      </c>
      <c r="L49" s="116">
        <v>31</v>
      </c>
      <c r="M49" s="116">
        <v>29</v>
      </c>
      <c r="N49" s="116">
        <v>27.2</v>
      </c>
      <c r="O49" s="116">
        <v>25.7</v>
      </c>
      <c r="P49" s="116">
        <v>24.4</v>
      </c>
      <c r="Q49" s="116">
        <v>23.3</v>
      </c>
      <c r="R49" s="116">
        <v>22.3</v>
      </c>
      <c r="S49" s="116">
        <v>21.4</v>
      </c>
      <c r="T49" s="116">
        <v>20.7</v>
      </c>
      <c r="U49" s="116">
        <v>20</v>
      </c>
    </row>
    <row r="50" spans="1:21" x14ac:dyDescent="0.25">
      <c r="A50" s="80">
        <v>39</v>
      </c>
      <c r="B50" s="116">
        <v>288.39999999999998</v>
      </c>
      <c r="C50" s="116">
        <v>146.9</v>
      </c>
      <c r="D50" s="116">
        <v>99.8</v>
      </c>
      <c r="E50" s="116">
        <v>76.2</v>
      </c>
      <c r="F50" s="116">
        <v>62.1</v>
      </c>
      <c r="G50" s="116">
        <v>52.7</v>
      </c>
      <c r="H50" s="116">
        <v>46</v>
      </c>
      <c r="I50" s="116">
        <v>41</v>
      </c>
      <c r="J50" s="116">
        <v>37.1</v>
      </c>
      <c r="K50" s="116">
        <v>34</v>
      </c>
      <c r="L50" s="116">
        <v>31.5</v>
      </c>
      <c r="M50" s="116">
        <v>29.4</v>
      </c>
      <c r="N50" s="116">
        <v>27.6</v>
      </c>
      <c r="O50" s="116">
        <v>26.1</v>
      </c>
      <c r="P50" s="116">
        <v>24.8</v>
      </c>
      <c r="Q50" s="116">
        <v>23.6</v>
      </c>
      <c r="R50" s="116">
        <v>22.7</v>
      </c>
      <c r="S50" s="116">
        <v>21.8</v>
      </c>
      <c r="T50" s="116">
        <v>21</v>
      </c>
      <c r="U50" s="116">
        <v>20.3</v>
      </c>
    </row>
    <row r="51" spans="1:21" x14ac:dyDescent="0.25">
      <c r="A51" s="80">
        <v>40</v>
      </c>
      <c r="B51" s="116">
        <v>292.39999999999998</v>
      </c>
      <c r="C51" s="116">
        <v>149</v>
      </c>
      <c r="D51" s="116">
        <v>101.2</v>
      </c>
      <c r="E51" s="116">
        <v>77.3</v>
      </c>
      <c r="F51" s="116">
        <v>63</v>
      </c>
      <c r="G51" s="116">
        <v>53.5</v>
      </c>
      <c r="H51" s="116">
        <v>46.7</v>
      </c>
      <c r="I51" s="116">
        <v>41.6</v>
      </c>
      <c r="J51" s="116">
        <v>37.700000000000003</v>
      </c>
      <c r="K51" s="116">
        <v>34.5</v>
      </c>
      <c r="L51" s="116">
        <v>31.9</v>
      </c>
      <c r="M51" s="116">
        <v>29.8</v>
      </c>
      <c r="N51" s="116">
        <v>28</v>
      </c>
      <c r="O51" s="116">
        <v>26.5</v>
      </c>
      <c r="P51" s="116">
        <v>25.2</v>
      </c>
      <c r="Q51" s="116">
        <v>24</v>
      </c>
      <c r="R51" s="116">
        <v>23</v>
      </c>
      <c r="S51" s="116">
        <v>22.1</v>
      </c>
      <c r="T51" s="116">
        <v>21.3</v>
      </c>
      <c r="U51" s="116">
        <v>20.6</v>
      </c>
    </row>
    <row r="52" spans="1:21" x14ac:dyDescent="0.25">
      <c r="A52" s="80">
        <v>41</v>
      </c>
      <c r="B52" s="116">
        <v>296.60000000000002</v>
      </c>
      <c r="C52" s="116">
        <v>151.1</v>
      </c>
      <c r="D52" s="116">
        <v>102.6</v>
      </c>
      <c r="E52" s="116">
        <v>78.400000000000006</v>
      </c>
      <c r="F52" s="116">
        <v>63.9</v>
      </c>
      <c r="G52" s="116">
        <v>54.2</v>
      </c>
      <c r="H52" s="116">
        <v>47.4</v>
      </c>
      <c r="I52" s="116">
        <v>42.2</v>
      </c>
      <c r="J52" s="116">
        <v>38.200000000000003</v>
      </c>
      <c r="K52" s="116">
        <v>35</v>
      </c>
      <c r="L52" s="116">
        <v>32.4</v>
      </c>
      <c r="M52" s="116">
        <v>30.2</v>
      </c>
      <c r="N52" s="116">
        <v>28.4</v>
      </c>
      <c r="O52" s="116">
        <v>26.9</v>
      </c>
      <c r="P52" s="116">
        <v>25.5</v>
      </c>
      <c r="Q52" s="116">
        <v>24.4</v>
      </c>
      <c r="R52" s="116">
        <v>23.4</v>
      </c>
      <c r="S52" s="116">
        <v>22.5</v>
      </c>
      <c r="T52" s="116">
        <v>21.7</v>
      </c>
      <c r="U52" s="116">
        <v>21</v>
      </c>
    </row>
    <row r="53" spans="1:21" x14ac:dyDescent="0.25">
      <c r="A53" s="80">
        <v>42</v>
      </c>
      <c r="B53" s="116">
        <v>300.7</v>
      </c>
      <c r="C53" s="116">
        <v>153.19999999999999</v>
      </c>
      <c r="D53" s="116">
        <v>104.1</v>
      </c>
      <c r="E53" s="116">
        <v>79.5</v>
      </c>
      <c r="F53" s="116">
        <v>64.8</v>
      </c>
      <c r="G53" s="116">
        <v>55</v>
      </c>
      <c r="H53" s="116">
        <v>48</v>
      </c>
      <c r="I53" s="116">
        <v>42.8</v>
      </c>
      <c r="J53" s="116">
        <v>38.799999999999997</v>
      </c>
      <c r="K53" s="116">
        <v>35.5</v>
      </c>
      <c r="L53" s="116">
        <v>32.9</v>
      </c>
      <c r="M53" s="116">
        <v>30.7</v>
      </c>
      <c r="N53" s="116">
        <v>28.9</v>
      </c>
      <c r="O53" s="116">
        <v>27.3</v>
      </c>
      <c r="P53" s="116">
        <v>25.9</v>
      </c>
      <c r="Q53" s="116">
        <v>24.8</v>
      </c>
      <c r="R53" s="116">
        <v>23.7</v>
      </c>
      <c r="S53" s="116">
        <v>22.8</v>
      </c>
      <c r="T53" s="116">
        <v>22</v>
      </c>
      <c r="U53" s="116">
        <v>21.3</v>
      </c>
    </row>
    <row r="54" spans="1:21" x14ac:dyDescent="0.25">
      <c r="A54" s="80">
        <v>43</v>
      </c>
      <c r="B54" s="116">
        <v>304.89999999999998</v>
      </c>
      <c r="C54" s="116">
        <v>155.4</v>
      </c>
      <c r="D54" s="116">
        <v>105.5</v>
      </c>
      <c r="E54" s="116">
        <v>80.599999999999994</v>
      </c>
      <c r="F54" s="116">
        <v>65.7</v>
      </c>
      <c r="G54" s="116">
        <v>55.8</v>
      </c>
      <c r="H54" s="116">
        <v>48.7</v>
      </c>
      <c r="I54" s="116">
        <v>43.4</v>
      </c>
      <c r="J54" s="116">
        <v>39.299999999999997</v>
      </c>
      <c r="K54" s="116">
        <v>36</v>
      </c>
      <c r="L54" s="116">
        <v>33.4</v>
      </c>
      <c r="M54" s="116">
        <v>31.2</v>
      </c>
      <c r="N54" s="116">
        <v>29.3</v>
      </c>
      <c r="O54" s="116">
        <v>27.7</v>
      </c>
      <c r="P54" s="116">
        <v>26.3</v>
      </c>
      <c r="Q54" s="116">
        <v>25.1</v>
      </c>
      <c r="R54" s="116">
        <v>24.1</v>
      </c>
      <c r="S54" s="116">
        <v>23.2</v>
      </c>
      <c r="T54" s="116">
        <v>22.4</v>
      </c>
      <c r="U54" s="116">
        <v>21.6</v>
      </c>
    </row>
    <row r="55" spans="1:21" x14ac:dyDescent="0.25">
      <c r="A55" s="80">
        <v>44</v>
      </c>
      <c r="B55" s="116">
        <v>309.2</v>
      </c>
      <c r="C55" s="116">
        <v>157.5</v>
      </c>
      <c r="D55" s="116">
        <v>107</v>
      </c>
      <c r="E55" s="116">
        <v>81.8</v>
      </c>
      <c r="F55" s="116">
        <v>66.7</v>
      </c>
      <c r="G55" s="116">
        <v>56.6</v>
      </c>
      <c r="H55" s="116">
        <v>49.4</v>
      </c>
      <c r="I55" s="116">
        <v>44.1</v>
      </c>
      <c r="J55" s="116">
        <v>39.9</v>
      </c>
      <c r="K55" s="116">
        <v>36.6</v>
      </c>
      <c r="L55" s="116">
        <v>33.9</v>
      </c>
      <c r="M55" s="116">
        <v>31.6</v>
      </c>
      <c r="N55" s="116">
        <v>29.7</v>
      </c>
      <c r="O55" s="116">
        <v>28.1</v>
      </c>
      <c r="P55" s="116">
        <v>26.7</v>
      </c>
      <c r="Q55" s="116">
        <v>25.5</v>
      </c>
      <c r="R55" s="116">
        <v>24.5</v>
      </c>
      <c r="S55" s="116">
        <v>23.6</v>
      </c>
      <c r="T55" s="116">
        <v>22.7</v>
      </c>
      <c r="U55" s="116">
        <v>22</v>
      </c>
    </row>
    <row r="56" spans="1:21" x14ac:dyDescent="0.25">
      <c r="A56" s="80">
        <v>45</v>
      </c>
      <c r="B56" s="116">
        <v>313.5</v>
      </c>
      <c r="C56" s="116">
        <v>159.69999999999999</v>
      </c>
      <c r="D56" s="116">
        <v>108.5</v>
      </c>
      <c r="E56" s="116">
        <v>82.9</v>
      </c>
      <c r="F56" s="116">
        <v>67.599999999999994</v>
      </c>
      <c r="G56" s="116">
        <v>57.4</v>
      </c>
      <c r="H56" s="116">
        <v>50.1</v>
      </c>
      <c r="I56" s="116">
        <v>44.7</v>
      </c>
      <c r="J56" s="116">
        <v>40.5</v>
      </c>
      <c r="K56" s="116">
        <v>37.1</v>
      </c>
      <c r="L56" s="116">
        <v>34.4</v>
      </c>
      <c r="M56" s="116">
        <v>32.1</v>
      </c>
      <c r="N56" s="116">
        <v>30.2</v>
      </c>
      <c r="O56" s="116">
        <v>28.6</v>
      </c>
      <c r="P56" s="116">
        <v>27.2</v>
      </c>
      <c r="Q56" s="116">
        <v>26</v>
      </c>
      <c r="R56" s="116">
        <v>24.9</v>
      </c>
      <c r="S56" s="116">
        <v>24</v>
      </c>
      <c r="T56" s="116">
        <v>23.1</v>
      </c>
      <c r="U56" s="116">
        <v>22.4</v>
      </c>
    </row>
    <row r="57" spans="1:21" x14ac:dyDescent="0.25">
      <c r="A57" s="80">
        <v>46</v>
      </c>
      <c r="B57" s="116">
        <v>317.8</v>
      </c>
      <c r="C57" s="116">
        <v>162</v>
      </c>
      <c r="D57" s="116">
        <v>110.1</v>
      </c>
      <c r="E57" s="116">
        <v>84.1</v>
      </c>
      <c r="F57" s="116">
        <v>68.599999999999994</v>
      </c>
      <c r="G57" s="116">
        <v>58.2</v>
      </c>
      <c r="H57" s="116">
        <v>50.9</v>
      </c>
      <c r="I57" s="116">
        <v>45.4</v>
      </c>
      <c r="J57" s="116">
        <v>41.1</v>
      </c>
      <c r="K57" s="116">
        <v>37.700000000000003</v>
      </c>
      <c r="L57" s="116">
        <v>34.9</v>
      </c>
      <c r="M57" s="116">
        <v>32.6</v>
      </c>
      <c r="N57" s="116">
        <v>30.7</v>
      </c>
      <c r="O57" s="116">
        <v>29</v>
      </c>
      <c r="P57" s="116">
        <v>27.6</v>
      </c>
      <c r="Q57" s="116">
        <v>26.4</v>
      </c>
      <c r="R57" s="116">
        <v>25.3</v>
      </c>
      <c r="S57" s="116">
        <v>24.4</v>
      </c>
      <c r="T57" s="116">
        <v>23.5</v>
      </c>
      <c r="U57" s="116"/>
    </row>
    <row r="58" spans="1:21" x14ac:dyDescent="0.25">
      <c r="A58" s="80">
        <v>47</v>
      </c>
      <c r="B58" s="116">
        <v>322.3</v>
      </c>
      <c r="C58" s="116">
        <v>164.3</v>
      </c>
      <c r="D58" s="116">
        <v>111.6</v>
      </c>
      <c r="E58" s="116">
        <v>85.3</v>
      </c>
      <c r="F58" s="116">
        <v>69.599999999999994</v>
      </c>
      <c r="G58" s="116">
        <v>59.1</v>
      </c>
      <c r="H58" s="116">
        <v>51.6</v>
      </c>
      <c r="I58" s="116">
        <v>46</v>
      </c>
      <c r="J58" s="116">
        <v>41.7</v>
      </c>
      <c r="K58" s="116">
        <v>38.299999999999997</v>
      </c>
      <c r="L58" s="116">
        <v>35.5</v>
      </c>
      <c r="M58" s="116">
        <v>33.1</v>
      </c>
      <c r="N58" s="116">
        <v>31.2</v>
      </c>
      <c r="O58" s="116">
        <v>29.5</v>
      </c>
      <c r="P58" s="116">
        <v>28.1</v>
      </c>
      <c r="Q58" s="116">
        <v>26.8</v>
      </c>
      <c r="R58" s="116">
        <v>25.7</v>
      </c>
      <c r="S58" s="116">
        <v>24.8</v>
      </c>
      <c r="T58" s="116"/>
      <c r="U58" s="116"/>
    </row>
    <row r="59" spans="1:21" x14ac:dyDescent="0.25">
      <c r="A59" s="80">
        <v>48</v>
      </c>
      <c r="B59" s="116">
        <v>326.8</v>
      </c>
      <c r="C59" s="116">
        <v>166.6</v>
      </c>
      <c r="D59" s="116">
        <v>113.2</v>
      </c>
      <c r="E59" s="116">
        <v>86.5</v>
      </c>
      <c r="F59" s="116">
        <v>70.599999999999994</v>
      </c>
      <c r="G59" s="116">
        <v>60</v>
      </c>
      <c r="H59" s="116">
        <v>52.4</v>
      </c>
      <c r="I59" s="116">
        <v>46.7</v>
      </c>
      <c r="J59" s="116">
        <v>42.4</v>
      </c>
      <c r="K59" s="116">
        <v>38.9</v>
      </c>
      <c r="L59" s="116">
        <v>36</v>
      </c>
      <c r="M59" s="116">
        <v>33.700000000000003</v>
      </c>
      <c r="N59" s="116">
        <v>31.7</v>
      </c>
      <c r="O59" s="116">
        <v>30</v>
      </c>
      <c r="P59" s="116">
        <v>28.5</v>
      </c>
      <c r="Q59" s="116">
        <v>27.3</v>
      </c>
      <c r="R59" s="116">
        <v>26.2</v>
      </c>
      <c r="S59" s="116"/>
      <c r="T59" s="116"/>
      <c r="U59" s="116"/>
    </row>
    <row r="60" spans="1:21" x14ac:dyDescent="0.25">
      <c r="A60" s="80">
        <v>49</v>
      </c>
      <c r="B60" s="116">
        <v>331.4</v>
      </c>
      <c r="C60" s="116">
        <v>168.9</v>
      </c>
      <c r="D60" s="116">
        <v>114.8</v>
      </c>
      <c r="E60" s="116">
        <v>87.8</v>
      </c>
      <c r="F60" s="116">
        <v>71.599999999999994</v>
      </c>
      <c r="G60" s="116">
        <v>60.9</v>
      </c>
      <c r="H60" s="116">
        <v>53.2</v>
      </c>
      <c r="I60" s="116">
        <v>47.5</v>
      </c>
      <c r="J60" s="116">
        <v>43</v>
      </c>
      <c r="K60" s="116">
        <v>39.5</v>
      </c>
      <c r="L60" s="116">
        <v>36.6</v>
      </c>
      <c r="M60" s="116">
        <v>34.200000000000003</v>
      </c>
      <c r="N60" s="116">
        <v>32.200000000000003</v>
      </c>
      <c r="O60" s="116">
        <v>30.5</v>
      </c>
      <c r="P60" s="116">
        <v>29</v>
      </c>
      <c r="Q60" s="116">
        <v>27.8</v>
      </c>
      <c r="R60" s="116"/>
      <c r="S60" s="116"/>
      <c r="T60" s="116"/>
      <c r="U60" s="116"/>
    </row>
    <row r="61" spans="1:21" x14ac:dyDescent="0.25">
      <c r="A61" s="80">
        <v>50</v>
      </c>
      <c r="B61" s="116">
        <v>336.1</v>
      </c>
      <c r="C61" s="116">
        <v>171.4</v>
      </c>
      <c r="D61" s="116">
        <v>116.5</v>
      </c>
      <c r="E61" s="116">
        <v>89.1</v>
      </c>
      <c r="F61" s="116">
        <v>72.7</v>
      </c>
      <c r="G61" s="116">
        <v>61.8</v>
      </c>
      <c r="H61" s="116">
        <v>54</v>
      </c>
      <c r="I61" s="116">
        <v>48.2</v>
      </c>
      <c r="J61" s="116">
        <v>43.7</v>
      </c>
      <c r="K61" s="116">
        <v>40.1</v>
      </c>
      <c r="L61" s="116">
        <v>37.200000000000003</v>
      </c>
      <c r="M61" s="116">
        <v>34.799999999999997</v>
      </c>
      <c r="N61" s="116">
        <v>32.799999999999997</v>
      </c>
      <c r="O61" s="116">
        <v>31</v>
      </c>
      <c r="P61" s="116">
        <v>29.5</v>
      </c>
      <c r="Q61" s="116"/>
      <c r="R61" s="116"/>
      <c r="S61" s="116"/>
      <c r="T61" s="116"/>
      <c r="U61" s="116"/>
    </row>
    <row r="62" spans="1:21" x14ac:dyDescent="0.25">
      <c r="A62" s="80">
        <v>51</v>
      </c>
      <c r="B62" s="116">
        <v>340.9</v>
      </c>
      <c r="C62" s="116">
        <v>173.9</v>
      </c>
      <c r="D62" s="116">
        <v>118.2</v>
      </c>
      <c r="E62" s="116">
        <v>90.5</v>
      </c>
      <c r="F62" s="116">
        <v>73.8</v>
      </c>
      <c r="G62" s="116">
        <v>62.8</v>
      </c>
      <c r="H62" s="116">
        <v>54.9</v>
      </c>
      <c r="I62" s="116">
        <v>49</v>
      </c>
      <c r="J62" s="116">
        <v>44.4</v>
      </c>
      <c r="K62" s="116">
        <v>40.799999999999997</v>
      </c>
      <c r="L62" s="116">
        <v>37.9</v>
      </c>
      <c r="M62" s="116">
        <v>35.4</v>
      </c>
      <c r="N62" s="116">
        <v>33.299999999999997</v>
      </c>
      <c r="O62" s="116">
        <v>31.6</v>
      </c>
      <c r="P62" s="116"/>
      <c r="Q62" s="116"/>
      <c r="R62" s="116"/>
      <c r="S62" s="116"/>
      <c r="T62" s="116"/>
      <c r="U62" s="116"/>
    </row>
    <row r="63" spans="1:21" x14ac:dyDescent="0.25">
      <c r="A63" s="80">
        <v>52</v>
      </c>
      <c r="B63" s="116">
        <v>345.7</v>
      </c>
      <c r="C63" s="116">
        <v>176.4</v>
      </c>
      <c r="D63" s="116">
        <v>120</v>
      </c>
      <c r="E63" s="116">
        <v>91.8</v>
      </c>
      <c r="F63" s="116">
        <v>75</v>
      </c>
      <c r="G63" s="116">
        <v>63.7</v>
      </c>
      <c r="H63" s="116">
        <v>55.8</v>
      </c>
      <c r="I63" s="116">
        <v>49.8</v>
      </c>
      <c r="J63" s="116">
        <v>45.2</v>
      </c>
      <c r="K63" s="116">
        <v>41.5</v>
      </c>
      <c r="L63" s="116">
        <v>38.5</v>
      </c>
      <c r="M63" s="116">
        <v>36</v>
      </c>
      <c r="N63" s="116">
        <v>33.9</v>
      </c>
      <c r="O63" s="116"/>
      <c r="P63" s="116"/>
      <c r="Q63" s="116"/>
      <c r="R63" s="116"/>
      <c r="S63" s="116"/>
      <c r="T63" s="116"/>
      <c r="U63" s="116"/>
    </row>
    <row r="64" spans="1:21" x14ac:dyDescent="0.25">
      <c r="A64" s="80">
        <v>53</v>
      </c>
      <c r="B64" s="116">
        <v>350.6</v>
      </c>
      <c r="C64" s="116">
        <v>178.9</v>
      </c>
      <c r="D64" s="116">
        <v>121.7</v>
      </c>
      <c r="E64" s="116">
        <v>93.2</v>
      </c>
      <c r="F64" s="116">
        <v>76.099999999999994</v>
      </c>
      <c r="G64" s="116">
        <v>64.7</v>
      </c>
      <c r="H64" s="116">
        <v>56.6</v>
      </c>
      <c r="I64" s="116">
        <v>50.6</v>
      </c>
      <c r="J64" s="116">
        <v>45.9</v>
      </c>
      <c r="K64" s="116">
        <v>42.2</v>
      </c>
      <c r="L64" s="116">
        <v>39.200000000000003</v>
      </c>
      <c r="M64" s="116">
        <v>36.6</v>
      </c>
      <c r="N64" s="116"/>
      <c r="O64" s="116"/>
      <c r="P64" s="116"/>
      <c r="Q64" s="116"/>
      <c r="R64" s="116"/>
      <c r="S64" s="116"/>
      <c r="T64" s="116"/>
      <c r="U64" s="116"/>
    </row>
    <row r="65" spans="1:21" x14ac:dyDescent="0.25">
      <c r="A65" s="80">
        <v>54</v>
      </c>
      <c r="B65" s="116">
        <v>355.6</v>
      </c>
      <c r="C65" s="116">
        <v>181.5</v>
      </c>
      <c r="D65" s="116">
        <v>123.5</v>
      </c>
      <c r="E65" s="116">
        <v>94.6</v>
      </c>
      <c r="F65" s="116">
        <v>77.3</v>
      </c>
      <c r="G65" s="116">
        <v>65.7</v>
      </c>
      <c r="H65" s="116">
        <v>57.5</v>
      </c>
      <c r="I65" s="116">
        <v>51.4</v>
      </c>
      <c r="J65" s="116">
        <v>46.7</v>
      </c>
      <c r="K65" s="116">
        <v>42.9</v>
      </c>
      <c r="L65" s="116">
        <v>39.799999999999997</v>
      </c>
      <c r="M65" s="116"/>
      <c r="N65" s="116"/>
      <c r="O65" s="116"/>
      <c r="P65" s="116"/>
      <c r="Q65" s="116"/>
      <c r="R65" s="116"/>
      <c r="S65" s="116"/>
      <c r="T65" s="116"/>
      <c r="U65" s="116"/>
    </row>
    <row r="66" spans="1:21" x14ac:dyDescent="0.25">
      <c r="A66" s="80">
        <v>55</v>
      </c>
      <c r="B66" s="116">
        <v>360.7</v>
      </c>
      <c r="C66" s="116">
        <v>184.2</v>
      </c>
      <c r="D66" s="116">
        <v>125.4</v>
      </c>
      <c r="E66" s="116">
        <v>96</v>
      </c>
      <c r="F66" s="116">
        <v>78.5</v>
      </c>
      <c r="G66" s="116">
        <v>66.8</v>
      </c>
      <c r="H66" s="116">
        <v>58.5</v>
      </c>
      <c r="I66" s="116">
        <v>52.3</v>
      </c>
      <c r="J66" s="116">
        <v>47.5</v>
      </c>
      <c r="K66" s="116">
        <v>43.6</v>
      </c>
      <c r="L66" s="116"/>
      <c r="M66" s="116"/>
      <c r="N66" s="116"/>
      <c r="O66" s="116"/>
      <c r="P66" s="116"/>
      <c r="Q66" s="116"/>
      <c r="R66" s="116"/>
      <c r="S66" s="116"/>
      <c r="T66" s="116"/>
      <c r="U66" s="116"/>
    </row>
    <row r="67" spans="1:21" x14ac:dyDescent="0.25">
      <c r="A67" s="80">
        <v>56</v>
      </c>
      <c r="B67" s="116">
        <v>365.9</v>
      </c>
      <c r="C67" s="116">
        <v>186.9</v>
      </c>
      <c r="D67" s="116">
        <v>127.3</v>
      </c>
      <c r="E67" s="116">
        <v>97.5</v>
      </c>
      <c r="F67" s="116">
        <v>79.7</v>
      </c>
      <c r="G67" s="116">
        <v>67.900000000000006</v>
      </c>
      <c r="H67" s="116">
        <v>59.4</v>
      </c>
      <c r="I67" s="116">
        <v>53.1</v>
      </c>
      <c r="J67" s="116">
        <v>48.3</v>
      </c>
      <c r="K67" s="116"/>
      <c r="L67" s="116"/>
      <c r="M67" s="116"/>
      <c r="N67" s="116"/>
      <c r="O67" s="116"/>
      <c r="P67" s="116"/>
      <c r="Q67" s="116"/>
      <c r="R67" s="116"/>
      <c r="S67" s="116"/>
      <c r="T67" s="116"/>
      <c r="U67" s="116"/>
    </row>
    <row r="68" spans="1:21" x14ac:dyDescent="0.25">
      <c r="A68" s="80">
        <v>57</v>
      </c>
      <c r="B68" s="116">
        <v>371.2</v>
      </c>
      <c r="C68" s="116">
        <v>189.7</v>
      </c>
      <c r="D68" s="116">
        <v>129.19999999999999</v>
      </c>
      <c r="E68" s="116">
        <v>99</v>
      </c>
      <c r="F68" s="116">
        <v>81</v>
      </c>
      <c r="G68" s="116">
        <v>69</v>
      </c>
      <c r="H68" s="116">
        <v>60.4</v>
      </c>
      <c r="I68" s="116">
        <v>54</v>
      </c>
      <c r="J68" s="116"/>
      <c r="K68" s="116"/>
      <c r="L68" s="116"/>
      <c r="M68" s="116"/>
      <c r="N68" s="116"/>
      <c r="O68" s="116"/>
      <c r="P68" s="116"/>
      <c r="Q68" s="116"/>
      <c r="R68" s="116"/>
      <c r="S68" s="116"/>
      <c r="T68" s="116"/>
      <c r="U68" s="116"/>
    </row>
    <row r="69" spans="1:21" x14ac:dyDescent="0.25">
      <c r="A69" s="80">
        <v>58</v>
      </c>
      <c r="B69" s="116">
        <v>376.7</v>
      </c>
      <c r="C69" s="116">
        <v>192.5</v>
      </c>
      <c r="D69" s="116">
        <v>131.19999999999999</v>
      </c>
      <c r="E69" s="116">
        <v>100.6</v>
      </c>
      <c r="F69" s="116">
        <v>82.3</v>
      </c>
      <c r="G69" s="116">
        <v>70.099999999999994</v>
      </c>
      <c r="H69" s="116">
        <v>61.4</v>
      </c>
      <c r="I69" s="116"/>
      <c r="J69" s="116"/>
      <c r="K69" s="116"/>
      <c r="L69" s="116"/>
      <c r="M69" s="116"/>
      <c r="N69" s="116"/>
      <c r="O69" s="116"/>
      <c r="P69" s="116"/>
      <c r="Q69" s="116"/>
      <c r="R69" s="116"/>
      <c r="S69" s="116"/>
      <c r="T69" s="116"/>
      <c r="U69" s="116"/>
    </row>
    <row r="70" spans="1:21" x14ac:dyDescent="0.25">
      <c r="A70" s="80">
        <v>59</v>
      </c>
      <c r="B70" s="116">
        <v>382.4</v>
      </c>
      <c r="C70" s="116">
        <v>195.5</v>
      </c>
      <c r="D70" s="116">
        <v>133.30000000000001</v>
      </c>
      <c r="E70" s="116">
        <v>102.2</v>
      </c>
      <c r="F70" s="116">
        <v>83.6</v>
      </c>
      <c r="G70" s="116">
        <v>71.3</v>
      </c>
      <c r="H70" s="116"/>
      <c r="I70" s="116"/>
      <c r="J70" s="116"/>
      <c r="K70" s="116"/>
      <c r="L70" s="116"/>
      <c r="M70" s="116"/>
      <c r="N70" s="116"/>
      <c r="O70" s="116"/>
      <c r="P70" s="116"/>
      <c r="Q70" s="116"/>
      <c r="R70" s="116"/>
      <c r="S70" s="116"/>
      <c r="T70" s="116"/>
      <c r="U70" s="116"/>
    </row>
    <row r="71" spans="1:21" x14ac:dyDescent="0.25">
      <c r="A71" s="80">
        <v>60</v>
      </c>
      <c r="B71" s="116">
        <v>388.3</v>
      </c>
      <c r="C71" s="116">
        <v>198.6</v>
      </c>
      <c r="D71" s="116">
        <v>135.4</v>
      </c>
      <c r="E71" s="116">
        <v>103.9</v>
      </c>
      <c r="F71" s="116">
        <v>85</v>
      </c>
      <c r="G71" s="116"/>
      <c r="H71" s="116"/>
      <c r="I71" s="116"/>
      <c r="J71" s="116"/>
      <c r="K71" s="116"/>
      <c r="L71" s="116"/>
      <c r="M71" s="116"/>
      <c r="N71" s="116"/>
      <c r="O71" s="116"/>
      <c r="P71" s="116"/>
      <c r="Q71" s="116"/>
      <c r="R71" s="116"/>
      <c r="S71" s="116"/>
      <c r="T71" s="116"/>
      <c r="U71" s="116"/>
    </row>
    <row r="72" spans="1:21" x14ac:dyDescent="0.25">
      <c r="A72" s="80">
        <v>61</v>
      </c>
      <c r="B72" s="116">
        <v>394.5</v>
      </c>
      <c r="C72" s="116">
        <v>201.8</v>
      </c>
      <c r="D72" s="116">
        <v>137.69999999999999</v>
      </c>
      <c r="E72" s="116">
        <v>105.7</v>
      </c>
      <c r="F72" s="116"/>
      <c r="G72" s="116"/>
      <c r="H72" s="116"/>
      <c r="I72" s="116"/>
      <c r="J72" s="116"/>
      <c r="K72" s="116"/>
      <c r="L72" s="116"/>
      <c r="M72" s="116"/>
      <c r="N72" s="116"/>
      <c r="O72" s="116"/>
      <c r="P72" s="116"/>
      <c r="Q72" s="116"/>
      <c r="R72" s="116"/>
      <c r="S72" s="116"/>
      <c r="T72" s="116"/>
      <c r="U72" s="116"/>
    </row>
    <row r="73" spans="1:21" x14ac:dyDescent="0.25">
      <c r="A73" s="80">
        <v>62</v>
      </c>
      <c r="B73" s="116">
        <v>400.9</v>
      </c>
      <c r="C73" s="116">
        <v>205.1</v>
      </c>
      <c r="D73" s="116">
        <v>140</v>
      </c>
      <c r="E73" s="116"/>
      <c r="F73" s="116"/>
      <c r="G73" s="116"/>
      <c r="H73" s="116"/>
      <c r="I73" s="116"/>
      <c r="J73" s="116"/>
      <c r="K73" s="116"/>
      <c r="L73" s="116"/>
      <c r="M73" s="116"/>
      <c r="N73" s="116"/>
      <c r="O73" s="116"/>
      <c r="P73" s="116"/>
      <c r="Q73" s="116"/>
      <c r="R73" s="116"/>
      <c r="S73" s="116"/>
      <c r="T73" s="116"/>
      <c r="U73" s="116"/>
    </row>
    <row r="74" spans="1:21" x14ac:dyDescent="0.25">
      <c r="A74" s="80">
        <v>63</v>
      </c>
      <c r="B74" s="116">
        <v>407.5</v>
      </c>
      <c r="C74" s="116">
        <v>208.6</v>
      </c>
      <c r="D74" s="116"/>
      <c r="E74" s="116"/>
      <c r="F74" s="116"/>
      <c r="G74" s="116"/>
      <c r="H74" s="116"/>
      <c r="I74" s="116"/>
      <c r="J74" s="116"/>
      <c r="K74" s="116"/>
      <c r="L74" s="116"/>
      <c r="M74" s="116"/>
      <c r="N74" s="116"/>
      <c r="O74" s="116"/>
      <c r="P74" s="116"/>
      <c r="Q74" s="116"/>
      <c r="R74" s="116"/>
      <c r="S74" s="116"/>
      <c r="T74" s="116"/>
      <c r="U74" s="116"/>
    </row>
    <row r="75" spans="1:21" x14ac:dyDescent="0.25">
      <c r="A75" s="80">
        <v>64</v>
      </c>
      <c r="B75" s="116">
        <v>414.5</v>
      </c>
      <c r="C75" s="116"/>
      <c r="D75" s="116"/>
      <c r="E75" s="116"/>
      <c r="F75" s="116"/>
      <c r="G75" s="116"/>
      <c r="H75" s="116"/>
      <c r="I75" s="116"/>
      <c r="J75" s="116"/>
      <c r="K75" s="116"/>
      <c r="L75" s="116"/>
      <c r="M75" s="116"/>
      <c r="N75" s="116"/>
      <c r="O75" s="116"/>
      <c r="P75" s="116"/>
      <c r="Q75" s="116"/>
      <c r="R75" s="116"/>
      <c r="S75" s="116"/>
      <c r="T75" s="116"/>
      <c r="U75" s="116"/>
    </row>
  </sheetData>
  <sheetProtection algorithmName="SHA-512" hashValue="7j28b45v4YPAelG1EOT3wTjD3SMwubE01ImsIVtylFSDurO5eWFVHzD31RSgy1MDOYBKDoVwrqjOJAVrhk4F7Q==" saltValue="Vh1J2hDNplUaIc71GEkXbg==" spinCount="100000" sheet="1" objects="1" scenarios="1"/>
  <conditionalFormatting sqref="A6:A21">
    <cfRule type="expression" dxfId="329" priority="9" stopIfTrue="1">
      <formula>MOD(ROW(),2)=0</formula>
    </cfRule>
    <cfRule type="expression" dxfId="328" priority="10" stopIfTrue="1">
      <formula>MOD(ROW(),2)&lt;&gt;0</formula>
    </cfRule>
  </conditionalFormatting>
  <conditionalFormatting sqref="A26:A75">
    <cfRule type="expression" dxfId="327" priority="11" stopIfTrue="1">
      <formula>MOD(ROW(),2)=0</formula>
    </cfRule>
    <cfRule type="expression" dxfId="326" priority="12" stopIfTrue="1">
      <formula>MOD(ROW(),2)&lt;&gt;0</formula>
    </cfRule>
  </conditionalFormatting>
  <conditionalFormatting sqref="B17:B21">
    <cfRule type="expression" dxfId="325" priority="1" stopIfTrue="1">
      <formula>MOD(ROW(),2)=0</formula>
    </cfRule>
    <cfRule type="expression" dxfId="324" priority="2" stopIfTrue="1">
      <formula>MOD(ROW(),2)&lt;&gt;0</formula>
    </cfRule>
  </conditionalFormatting>
  <conditionalFormatting sqref="B6:U21">
    <cfRule type="expression" dxfId="323" priority="17" stopIfTrue="1">
      <formula>MOD(ROW(),2)=0</formula>
    </cfRule>
    <cfRule type="expression" dxfId="322" priority="18" stopIfTrue="1">
      <formula>MOD(ROW(),2)&lt;&gt;0</formula>
    </cfRule>
  </conditionalFormatting>
  <conditionalFormatting sqref="B26:U75">
    <cfRule type="expression" dxfId="321" priority="13" stopIfTrue="1">
      <formula>MOD(ROW(),2)=0</formula>
    </cfRule>
    <cfRule type="expression" dxfId="320" priority="14" stopIfTrue="1">
      <formula>MOD(ROW(),2)&lt;&gt;0</formula>
    </cfRule>
  </conditionalFormatting>
  <hyperlinks>
    <hyperlink ref="B24" location="Assumptions!A1" display="Assumptions" xr:uid="{0073FC29-9A43-4F63-8B24-94EB666EDEE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4828-9FD1-44AA-A46A-DB6E7F2A95CA}">
  <sheetPr codeName="Sheet4"/>
  <dimension ref="A1:I78"/>
  <sheetViews>
    <sheetView showGridLines="0" zoomScale="85" zoomScaleNormal="85" workbookViewId="0">
      <selection activeCell="A4" sqref="A4"/>
    </sheetView>
  </sheetViews>
  <sheetFormatPr defaultColWidth="8.6328125" defaultRowHeight="12.5" x14ac:dyDescent="0.25"/>
  <cols>
    <col min="1" max="1" width="31.6328125" style="26" customWidth="1"/>
    <col min="2" max="2" width="15.36328125" style="26" customWidth="1"/>
    <col min="3" max="16384" width="8.6328125" style="26"/>
  </cols>
  <sheetData>
    <row r="1" spans="1:9" ht="20" x14ac:dyDescent="0.4">
      <c r="A1" s="37" t="s">
        <v>0</v>
      </c>
      <c r="B1" s="38"/>
      <c r="C1" s="38"/>
      <c r="D1" s="38"/>
      <c r="E1" s="38"/>
      <c r="F1" s="38"/>
      <c r="G1" s="38"/>
      <c r="H1" s="38"/>
      <c r="I1" s="38"/>
    </row>
    <row r="2" spans="1:9" ht="15.5" x14ac:dyDescent="0.35">
      <c r="A2" s="88"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Club - CARE Benefit Adjustment Factors  - x-101</v>
      </c>
      <c r="B3" s="40"/>
      <c r="C3" s="40"/>
      <c r="D3" s="40"/>
      <c r="E3" s="40"/>
      <c r="F3" s="40"/>
      <c r="G3" s="40"/>
      <c r="H3" s="40"/>
      <c r="I3" s="40"/>
    </row>
    <row r="4" spans="1:9" x14ac:dyDescent="0.25">
      <c r="A4" s="42"/>
    </row>
    <row r="6" spans="1:9" ht="13.4" customHeight="1" x14ac:dyDescent="0.3">
      <c r="A6" s="75" t="s">
        <v>274</v>
      </c>
      <c r="B6" s="114" t="s">
        <v>275</v>
      </c>
      <c r="C6" s="76"/>
      <c r="D6" s="76"/>
      <c r="E6" s="76"/>
      <c r="F6" s="76"/>
    </row>
    <row r="7" spans="1:9" ht="14.15" customHeight="1" x14ac:dyDescent="0.25">
      <c r="A7" s="77" t="s">
        <v>276</v>
      </c>
      <c r="B7" s="114" t="s">
        <v>72</v>
      </c>
      <c r="C7" s="78"/>
      <c r="D7" s="78"/>
      <c r="E7" s="78"/>
      <c r="F7" s="78"/>
    </row>
    <row r="8" spans="1:9" ht="14.15" customHeight="1" x14ac:dyDescent="0.25">
      <c r="A8" s="77" t="s">
        <v>278</v>
      </c>
      <c r="B8" s="114" t="s">
        <v>73</v>
      </c>
      <c r="C8" s="78"/>
      <c r="D8" s="78"/>
      <c r="E8" s="78"/>
      <c r="F8" s="78"/>
    </row>
    <row r="9" spans="1:9" ht="14.15" customHeight="1" x14ac:dyDescent="0.25">
      <c r="A9" s="77" t="s">
        <v>280</v>
      </c>
      <c r="B9" s="114" t="s">
        <v>308</v>
      </c>
      <c r="C9" s="78"/>
      <c r="D9" s="78"/>
      <c r="E9" s="78"/>
      <c r="F9" s="78"/>
    </row>
    <row r="10" spans="1:9" ht="14.15" customHeight="1" x14ac:dyDescent="0.25">
      <c r="A10" s="77" t="s">
        <v>6</v>
      </c>
      <c r="B10" s="114" t="s">
        <v>309</v>
      </c>
      <c r="C10" s="78"/>
      <c r="D10" s="78"/>
      <c r="E10" s="78"/>
      <c r="F10" s="78"/>
    </row>
    <row r="11" spans="1:9" ht="14.15" customHeight="1" x14ac:dyDescent="0.25">
      <c r="A11" s="77" t="s">
        <v>283</v>
      </c>
      <c r="B11" s="114" t="s">
        <v>310</v>
      </c>
      <c r="C11" s="78"/>
      <c r="D11" s="78"/>
      <c r="E11" s="78"/>
      <c r="F11" s="78"/>
    </row>
    <row r="12" spans="1:9" ht="14.15" customHeight="1" x14ac:dyDescent="0.25">
      <c r="A12" s="77" t="s">
        <v>285</v>
      </c>
      <c r="B12" s="114" t="s">
        <v>311</v>
      </c>
      <c r="C12" s="78"/>
      <c r="D12" s="78"/>
      <c r="E12" s="78"/>
      <c r="F12" s="78"/>
    </row>
    <row r="13" spans="1:9" ht="14.15" customHeight="1" x14ac:dyDescent="0.25">
      <c r="A13" s="77" t="s">
        <v>287</v>
      </c>
      <c r="B13" s="114">
        <v>0</v>
      </c>
      <c r="C13" s="78"/>
      <c r="D13" s="78"/>
      <c r="E13" s="78"/>
      <c r="F13" s="78"/>
    </row>
    <row r="14" spans="1:9" ht="14.15" customHeight="1" x14ac:dyDescent="0.25">
      <c r="A14" s="77" t="s">
        <v>289</v>
      </c>
      <c r="B14" s="114">
        <v>101</v>
      </c>
      <c r="C14" s="78"/>
      <c r="D14" s="78"/>
      <c r="E14" s="78"/>
      <c r="F14" s="78"/>
    </row>
    <row r="15" spans="1:9" ht="14.15" customHeight="1" x14ac:dyDescent="0.25">
      <c r="A15" s="77" t="s">
        <v>291</v>
      </c>
      <c r="B15" s="114" t="s">
        <v>312</v>
      </c>
      <c r="C15" s="78"/>
      <c r="D15" s="78"/>
      <c r="E15" s="78"/>
      <c r="F15" s="78"/>
    </row>
    <row r="16" spans="1:9" ht="14.15" customHeight="1" x14ac:dyDescent="0.25">
      <c r="A16" s="77" t="s">
        <v>293</v>
      </c>
      <c r="B16" s="114" t="s">
        <v>313</v>
      </c>
      <c r="C16" s="78"/>
      <c r="D16" s="78"/>
      <c r="E16" s="78"/>
      <c r="F16" s="78"/>
    </row>
    <row r="17" spans="1:6" ht="28.4" customHeight="1" x14ac:dyDescent="0.25">
      <c r="A17" s="74" t="s">
        <v>760</v>
      </c>
      <c r="B17" s="114"/>
      <c r="C17" s="78"/>
      <c r="D17" s="78"/>
      <c r="E17" s="78"/>
      <c r="F17" s="78"/>
    </row>
    <row r="18" spans="1:6" ht="14.15" customHeight="1" x14ac:dyDescent="0.25">
      <c r="A18" s="77" t="s">
        <v>297</v>
      </c>
      <c r="B18" s="162">
        <v>45202</v>
      </c>
      <c r="C18" s="85"/>
      <c r="D18" s="85"/>
      <c r="E18" s="85"/>
      <c r="F18" s="85"/>
    </row>
    <row r="19" spans="1:6" ht="14.15" customHeight="1" x14ac:dyDescent="0.25">
      <c r="A19" s="77" t="s">
        <v>299</v>
      </c>
      <c r="B19" s="162">
        <v>45200</v>
      </c>
      <c r="C19" s="85"/>
      <c r="D19" s="85"/>
      <c r="E19" s="85"/>
      <c r="F19" s="85"/>
    </row>
    <row r="20" spans="1:6" ht="14.15" customHeight="1" x14ac:dyDescent="0.25">
      <c r="A20" s="77" t="s">
        <v>301</v>
      </c>
      <c r="B20" s="114" t="s">
        <v>314</v>
      </c>
      <c r="C20" s="78"/>
      <c r="D20" s="78"/>
      <c r="E20" s="78"/>
      <c r="F20" s="78"/>
    </row>
    <row r="21" spans="1:6" x14ac:dyDescent="0.25">
      <c r="A21" s="77" t="s">
        <v>307</v>
      </c>
      <c r="B21" s="114" t="s">
        <v>315</v>
      </c>
      <c r="C21" s="78"/>
      <c r="D21" s="78"/>
      <c r="E21" s="78"/>
      <c r="F21" s="78"/>
    </row>
    <row r="23" spans="1:6" x14ac:dyDescent="0.25">
      <c r="B23" s="100" t="str">
        <f>HYPERLINK("#'Factor List'!A1","Back to Factor List")</f>
        <v>Back to Factor List</v>
      </c>
    </row>
    <row r="24" spans="1:6" x14ac:dyDescent="0.25">
      <c r="B24" s="100" t="s">
        <v>13</v>
      </c>
    </row>
    <row r="26" spans="1:6" ht="26" x14ac:dyDescent="0.25">
      <c r="A26" s="79" t="s">
        <v>371</v>
      </c>
      <c r="B26" s="79" t="s">
        <v>761</v>
      </c>
    </row>
    <row r="27" spans="1:6" x14ac:dyDescent="0.25">
      <c r="A27" s="80">
        <v>16</v>
      </c>
      <c r="B27" s="81">
        <v>1.006</v>
      </c>
    </row>
    <row r="28" spans="1:6" x14ac:dyDescent="0.25">
      <c r="A28" s="80">
        <f>A27+1</f>
        <v>17</v>
      </c>
      <c r="B28" s="81">
        <v>1.006</v>
      </c>
    </row>
    <row r="29" spans="1:6" x14ac:dyDescent="0.25">
      <c r="A29" s="80">
        <f t="shared" ref="A29:A78" si="0">A28+1</f>
        <v>18</v>
      </c>
      <c r="B29" s="81">
        <v>1.006</v>
      </c>
    </row>
    <row r="30" spans="1:6" x14ac:dyDescent="0.25">
      <c r="A30" s="80">
        <f t="shared" si="0"/>
        <v>19</v>
      </c>
      <c r="B30" s="81">
        <v>1.006</v>
      </c>
    </row>
    <row r="31" spans="1:6" x14ac:dyDescent="0.25">
      <c r="A31" s="80">
        <f t="shared" si="0"/>
        <v>20</v>
      </c>
      <c r="B31" s="81">
        <v>1.006</v>
      </c>
    </row>
    <row r="32" spans="1:6" x14ac:dyDescent="0.25">
      <c r="A32" s="80">
        <f t="shared" si="0"/>
        <v>21</v>
      </c>
      <c r="B32" s="81">
        <v>1.006</v>
      </c>
    </row>
    <row r="33" spans="1:2" x14ac:dyDescent="0.25">
      <c r="A33" s="80">
        <f t="shared" si="0"/>
        <v>22</v>
      </c>
      <c r="B33" s="81">
        <v>1.006</v>
      </c>
    </row>
    <row r="34" spans="1:2" x14ac:dyDescent="0.25">
      <c r="A34" s="80">
        <f t="shared" si="0"/>
        <v>23</v>
      </c>
      <c r="B34" s="81">
        <v>1.006</v>
      </c>
    </row>
    <row r="35" spans="1:2" x14ac:dyDescent="0.25">
      <c r="A35" s="80">
        <f t="shared" si="0"/>
        <v>24</v>
      </c>
      <c r="B35" s="81">
        <v>1.006</v>
      </c>
    </row>
    <row r="36" spans="1:2" x14ac:dyDescent="0.25">
      <c r="A36" s="80">
        <f>A35+1</f>
        <v>25</v>
      </c>
      <c r="B36" s="81">
        <v>1.006</v>
      </c>
    </row>
    <row r="37" spans="1:2" x14ac:dyDescent="0.25">
      <c r="A37" s="80">
        <f t="shared" si="0"/>
        <v>26</v>
      </c>
      <c r="B37" s="81">
        <v>1.006</v>
      </c>
    </row>
    <row r="38" spans="1:2" x14ac:dyDescent="0.25">
      <c r="A38" s="80">
        <f t="shared" si="0"/>
        <v>27</v>
      </c>
      <c r="B38" s="81">
        <v>1.006</v>
      </c>
    </row>
    <row r="39" spans="1:2" x14ac:dyDescent="0.25">
      <c r="A39" s="80">
        <f t="shared" si="0"/>
        <v>28</v>
      </c>
      <c r="B39" s="81">
        <v>1.006</v>
      </c>
    </row>
    <row r="40" spans="1:2" x14ac:dyDescent="0.25">
      <c r="A40" s="80">
        <f>A39+1</f>
        <v>29</v>
      </c>
      <c r="B40" s="81">
        <v>1.006</v>
      </c>
    </row>
    <row r="41" spans="1:2" x14ac:dyDescent="0.25">
      <c r="A41" s="80">
        <f t="shared" si="0"/>
        <v>30</v>
      </c>
      <c r="B41" s="81">
        <v>1.006</v>
      </c>
    </row>
    <row r="42" spans="1:2" x14ac:dyDescent="0.25">
      <c r="A42" s="80">
        <f t="shared" si="0"/>
        <v>31</v>
      </c>
      <c r="B42" s="81">
        <v>1.006</v>
      </c>
    </row>
    <row r="43" spans="1:2" x14ac:dyDescent="0.25">
      <c r="A43" s="80">
        <f t="shared" si="0"/>
        <v>32</v>
      </c>
      <c r="B43" s="81">
        <v>1.006</v>
      </c>
    </row>
    <row r="44" spans="1:2" x14ac:dyDescent="0.25">
      <c r="A44" s="80">
        <f t="shared" si="0"/>
        <v>33</v>
      </c>
      <c r="B44" s="81">
        <v>1.006</v>
      </c>
    </row>
    <row r="45" spans="1:2" x14ac:dyDescent="0.25">
      <c r="A45" s="80">
        <f t="shared" si="0"/>
        <v>34</v>
      </c>
      <c r="B45" s="81">
        <v>1.006</v>
      </c>
    </row>
    <row r="46" spans="1:2" x14ac:dyDescent="0.25">
      <c r="A46" s="80">
        <f t="shared" si="0"/>
        <v>35</v>
      </c>
      <c r="B46" s="81">
        <v>1.006</v>
      </c>
    </row>
    <row r="47" spans="1:2" x14ac:dyDescent="0.25">
      <c r="A47" s="80">
        <f t="shared" si="0"/>
        <v>36</v>
      </c>
      <c r="B47" s="81">
        <v>1.006</v>
      </c>
    </row>
    <row r="48" spans="1:2" x14ac:dyDescent="0.25">
      <c r="A48" s="80">
        <f t="shared" si="0"/>
        <v>37</v>
      </c>
      <c r="B48" s="81">
        <v>1.006</v>
      </c>
    </row>
    <row r="49" spans="1:2" x14ac:dyDescent="0.25">
      <c r="A49" s="80">
        <f t="shared" si="0"/>
        <v>38</v>
      </c>
      <c r="B49" s="81">
        <v>1.006</v>
      </c>
    </row>
    <row r="50" spans="1:2" x14ac:dyDescent="0.25">
      <c r="A50" s="80">
        <f t="shared" si="0"/>
        <v>39</v>
      </c>
      <c r="B50" s="81">
        <v>1.006</v>
      </c>
    </row>
    <row r="51" spans="1:2" x14ac:dyDescent="0.25">
      <c r="A51" s="80">
        <f t="shared" si="0"/>
        <v>40</v>
      </c>
      <c r="B51" s="81">
        <v>1.006</v>
      </c>
    </row>
    <row r="52" spans="1:2" x14ac:dyDescent="0.25">
      <c r="A52" s="80">
        <f t="shared" si="0"/>
        <v>41</v>
      </c>
      <c r="B52" s="81">
        <v>1.006</v>
      </c>
    </row>
    <row r="53" spans="1:2" x14ac:dyDescent="0.25">
      <c r="A53" s="80">
        <f t="shared" si="0"/>
        <v>42</v>
      </c>
      <c r="B53" s="81">
        <v>1.006</v>
      </c>
    </row>
    <row r="54" spans="1:2" x14ac:dyDescent="0.25">
      <c r="A54" s="80">
        <f t="shared" si="0"/>
        <v>43</v>
      </c>
      <c r="B54" s="81">
        <v>1.006</v>
      </c>
    </row>
    <row r="55" spans="1:2" x14ac:dyDescent="0.25">
      <c r="A55" s="80">
        <f t="shared" si="0"/>
        <v>44</v>
      </c>
      <c r="B55" s="81">
        <v>1.006</v>
      </c>
    </row>
    <row r="56" spans="1:2" x14ac:dyDescent="0.25">
      <c r="A56" s="80">
        <f t="shared" si="0"/>
        <v>45</v>
      </c>
      <c r="B56" s="81">
        <v>1.006</v>
      </c>
    </row>
    <row r="57" spans="1:2" x14ac:dyDescent="0.25">
      <c r="A57" s="80">
        <f t="shared" si="0"/>
        <v>46</v>
      </c>
      <c r="B57" s="81">
        <v>1.006</v>
      </c>
    </row>
    <row r="58" spans="1:2" x14ac:dyDescent="0.25">
      <c r="A58" s="80">
        <f t="shared" si="0"/>
        <v>47</v>
      </c>
      <c r="B58" s="81">
        <v>1.006</v>
      </c>
    </row>
    <row r="59" spans="1:2" x14ac:dyDescent="0.25">
      <c r="A59" s="80">
        <f t="shared" si="0"/>
        <v>48</v>
      </c>
      <c r="B59" s="81">
        <v>1.006</v>
      </c>
    </row>
    <row r="60" spans="1:2" x14ac:dyDescent="0.25">
      <c r="A60" s="80">
        <f t="shared" si="0"/>
        <v>49</v>
      </c>
      <c r="B60" s="81">
        <v>1.006</v>
      </c>
    </row>
    <row r="61" spans="1:2" x14ac:dyDescent="0.25">
      <c r="A61" s="80">
        <f t="shared" si="0"/>
        <v>50</v>
      </c>
      <c r="B61" s="81">
        <v>1.006</v>
      </c>
    </row>
    <row r="62" spans="1:2" x14ac:dyDescent="0.25">
      <c r="A62" s="80">
        <f t="shared" si="0"/>
        <v>51</v>
      </c>
      <c r="B62" s="81">
        <v>1.006</v>
      </c>
    </row>
    <row r="63" spans="1:2" x14ac:dyDescent="0.25">
      <c r="A63" s="80">
        <f t="shared" si="0"/>
        <v>52</v>
      </c>
      <c r="B63" s="81">
        <v>1.006</v>
      </c>
    </row>
    <row r="64" spans="1:2" x14ac:dyDescent="0.25">
      <c r="A64" s="80">
        <f t="shared" si="0"/>
        <v>53</v>
      </c>
      <c r="B64" s="81">
        <v>1.0049999999999999</v>
      </c>
    </row>
    <row r="65" spans="1:2" x14ac:dyDescent="0.25">
      <c r="A65" s="80">
        <f t="shared" si="0"/>
        <v>54</v>
      </c>
      <c r="B65" s="81">
        <v>1.0049999999999999</v>
      </c>
    </row>
    <row r="66" spans="1:2" x14ac:dyDescent="0.25">
      <c r="A66" s="80">
        <f t="shared" si="0"/>
        <v>55</v>
      </c>
      <c r="B66" s="81">
        <v>1.0049999999999999</v>
      </c>
    </row>
    <row r="67" spans="1:2" x14ac:dyDescent="0.25">
      <c r="A67" s="80">
        <f t="shared" si="0"/>
        <v>56</v>
      </c>
      <c r="B67" s="81">
        <v>1.0049999999999999</v>
      </c>
    </row>
    <row r="68" spans="1:2" x14ac:dyDescent="0.25">
      <c r="A68" s="80">
        <f t="shared" si="0"/>
        <v>57</v>
      </c>
      <c r="B68" s="81">
        <v>1.0049999999999999</v>
      </c>
    </row>
    <row r="69" spans="1:2" x14ac:dyDescent="0.25">
      <c r="A69" s="80">
        <f t="shared" si="0"/>
        <v>58</v>
      </c>
      <c r="B69" s="81">
        <v>1.0049999999999999</v>
      </c>
    </row>
    <row r="70" spans="1:2" x14ac:dyDescent="0.25">
      <c r="A70" s="80">
        <f t="shared" si="0"/>
        <v>59</v>
      </c>
      <c r="B70" s="81">
        <v>1.0049999999999999</v>
      </c>
    </row>
    <row r="71" spans="1:2" x14ac:dyDescent="0.25">
      <c r="A71" s="80">
        <f t="shared" si="0"/>
        <v>60</v>
      </c>
      <c r="B71" s="81">
        <v>1.0049999999999999</v>
      </c>
    </row>
    <row r="72" spans="1:2" x14ac:dyDescent="0.25">
      <c r="A72" s="80">
        <f t="shared" si="0"/>
        <v>61</v>
      </c>
      <c r="B72" s="81">
        <v>1.0049999999999999</v>
      </c>
    </row>
    <row r="73" spans="1:2" x14ac:dyDescent="0.25">
      <c r="A73" s="80">
        <f t="shared" si="0"/>
        <v>62</v>
      </c>
      <c r="B73" s="81">
        <v>1.0049999999999999</v>
      </c>
    </row>
    <row r="74" spans="1:2" x14ac:dyDescent="0.25">
      <c r="A74" s="80">
        <f t="shared" si="0"/>
        <v>63</v>
      </c>
      <c r="B74" s="81">
        <v>1.0049999999999999</v>
      </c>
    </row>
    <row r="75" spans="1:2" x14ac:dyDescent="0.25">
      <c r="A75" s="80">
        <f t="shared" si="0"/>
        <v>64</v>
      </c>
      <c r="B75" s="81">
        <v>1.0049999999999999</v>
      </c>
    </row>
    <row r="76" spans="1:2" x14ac:dyDescent="0.25">
      <c r="A76" s="80">
        <f t="shared" si="0"/>
        <v>65</v>
      </c>
      <c r="B76" s="81">
        <v>1.004</v>
      </c>
    </row>
    <row r="77" spans="1:2" x14ac:dyDescent="0.25">
      <c r="A77" s="80">
        <f t="shared" si="0"/>
        <v>66</v>
      </c>
      <c r="B77" s="81">
        <v>1.004</v>
      </c>
    </row>
    <row r="78" spans="1:2" x14ac:dyDescent="0.25">
      <c r="A78" s="80">
        <f t="shared" si="0"/>
        <v>67</v>
      </c>
      <c r="B78" s="81">
        <v>1.004</v>
      </c>
    </row>
  </sheetData>
  <sheetProtection algorithmName="SHA-512" hashValue="wen9f3jUKgAsfttCv6hk12zJIDB8LX7rOzPMS4FamdgW5f+PdQA/QY8VhlXzEf9LpU9im8iAyva1uPpbiuv2zA==" saltValue="NlefwySeGIGIu8qJV4w2Bw==" spinCount="100000" sheet="1" objects="1" scenarios="1"/>
  <conditionalFormatting sqref="A6:A21">
    <cfRule type="expression" dxfId="1227" priority="7" stopIfTrue="1">
      <formula>MOD(ROW(),2)=0</formula>
    </cfRule>
    <cfRule type="expression" dxfId="1226" priority="8" stopIfTrue="1">
      <formula>MOD(ROW(),2)&lt;&gt;0</formula>
    </cfRule>
  </conditionalFormatting>
  <conditionalFormatting sqref="A26:A78">
    <cfRule type="expression" dxfId="1225" priority="11" stopIfTrue="1">
      <formula>MOD(ROW(),2)=0</formula>
    </cfRule>
    <cfRule type="expression" dxfId="1224" priority="12" stopIfTrue="1">
      <formula>MOD(ROW(),2)&lt;&gt;0</formula>
    </cfRule>
  </conditionalFormatting>
  <conditionalFormatting sqref="B6:B21">
    <cfRule type="expression" dxfId="1223" priority="9" stopIfTrue="1">
      <formula>MOD(ROW(),2)=0</formula>
    </cfRule>
    <cfRule type="expression" dxfId="1222" priority="10" stopIfTrue="1">
      <formula>MOD(ROW(),2)&lt;&gt;0</formula>
    </cfRule>
  </conditionalFormatting>
  <conditionalFormatting sqref="B18:B21">
    <cfRule type="expression" dxfId="1221" priority="23" stopIfTrue="1">
      <formula>MOD(ROW(),2)=0</formula>
    </cfRule>
    <cfRule type="expression" dxfId="1220" priority="24" stopIfTrue="1">
      <formula>MOD(ROW(),2)&lt;&gt;0</formula>
    </cfRule>
  </conditionalFormatting>
  <conditionalFormatting sqref="B26:B78">
    <cfRule type="expression" dxfId="1219" priority="13" stopIfTrue="1">
      <formula>MOD(ROW(),2)=0</formula>
    </cfRule>
    <cfRule type="expression" dxfId="1218" priority="14" stopIfTrue="1">
      <formula>MOD(ROW(),2)&lt;&gt;0</formula>
    </cfRule>
  </conditionalFormatting>
  <conditionalFormatting sqref="B6:F6 B9:F16 C7:F8">
    <cfRule type="expression" dxfId="1217" priority="27" stopIfTrue="1">
      <formula>MOD(ROW(),2)=0</formula>
    </cfRule>
  </conditionalFormatting>
  <conditionalFormatting sqref="B6:F6 C7:F8 B9:F16">
    <cfRule type="expression" dxfId="1216" priority="28" stopIfTrue="1">
      <formula>MOD(ROW(),2)&lt;&gt;0</formula>
    </cfRule>
  </conditionalFormatting>
  <conditionalFormatting sqref="B17:F17">
    <cfRule type="expression" dxfId="1215" priority="5" stopIfTrue="1">
      <formula>MOD(ROW(),2)=0</formula>
    </cfRule>
    <cfRule type="expression" dxfId="1214" priority="6" stopIfTrue="1">
      <formula>MOD(ROW(),2)&lt;&gt;0</formula>
    </cfRule>
  </conditionalFormatting>
  <conditionalFormatting sqref="C18:F21">
    <cfRule type="expression" dxfId="1213" priority="1" stopIfTrue="1">
      <formula>MOD(ROW(),2)=0</formula>
    </cfRule>
    <cfRule type="expression" dxfId="1212" priority="2" stopIfTrue="1">
      <formula>MOD(ROW(),2)&lt;&gt;0</formula>
    </cfRule>
  </conditionalFormatting>
  <hyperlinks>
    <hyperlink ref="B24" location="Assumptions!A1" display="Assumptions" xr:uid="{AEC4D977-30C6-4E5D-A958-040BF69BCBA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8B4F6-51F6-4A4C-9D28-DB700A1F848E}">
  <sheetPr codeName="Sheet102"/>
  <dimension ref="A1:V178"/>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x-717</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73</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594</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0</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717</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595</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596</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198.8</v>
      </c>
      <c r="C27" s="116">
        <v>101.2</v>
      </c>
      <c r="D27" s="116">
        <v>68.7</v>
      </c>
      <c r="E27" s="116">
        <v>52.5</v>
      </c>
      <c r="F27" s="116">
        <v>42.7</v>
      </c>
      <c r="G27" s="116">
        <v>36.299999999999997</v>
      </c>
      <c r="H27" s="116">
        <v>31.6</v>
      </c>
      <c r="I27" s="116">
        <v>28.2</v>
      </c>
      <c r="J27" s="116">
        <v>25.5</v>
      </c>
      <c r="K27" s="116">
        <v>23.3</v>
      </c>
      <c r="L27" s="116">
        <v>21.6</v>
      </c>
      <c r="M27" s="116">
        <v>20.100000000000001</v>
      </c>
      <c r="N27" s="116">
        <v>18.899999999999999</v>
      </c>
      <c r="O27" s="116">
        <v>17.899999999999999</v>
      </c>
      <c r="P27" s="116">
        <v>16.899999999999999</v>
      </c>
      <c r="Q27" s="116">
        <v>16.2</v>
      </c>
      <c r="R27" s="116">
        <v>15.5</v>
      </c>
      <c r="S27" s="116">
        <v>14.8</v>
      </c>
      <c r="T27" s="116">
        <v>14.3</v>
      </c>
      <c r="U27" s="116">
        <v>13.8</v>
      </c>
    </row>
    <row r="28" spans="1:21" x14ac:dyDescent="0.25">
      <c r="A28" s="80">
        <v>17</v>
      </c>
      <c r="B28" s="116">
        <v>202</v>
      </c>
      <c r="C28" s="116">
        <v>102.8</v>
      </c>
      <c r="D28" s="116">
        <v>69.8</v>
      </c>
      <c r="E28" s="116">
        <v>53.3</v>
      </c>
      <c r="F28" s="116">
        <v>43.4</v>
      </c>
      <c r="G28" s="116">
        <v>36.799999999999997</v>
      </c>
      <c r="H28" s="116">
        <v>32.1</v>
      </c>
      <c r="I28" s="116">
        <v>28.6</v>
      </c>
      <c r="J28" s="116">
        <v>25.9</v>
      </c>
      <c r="K28" s="116">
        <v>23.7</v>
      </c>
      <c r="L28" s="116">
        <v>21.9</v>
      </c>
      <c r="M28" s="116">
        <v>20.5</v>
      </c>
      <c r="N28" s="116">
        <v>19.2</v>
      </c>
      <c r="O28" s="116">
        <v>18.100000000000001</v>
      </c>
      <c r="P28" s="116">
        <v>17.2</v>
      </c>
      <c r="Q28" s="116">
        <v>16.399999999999999</v>
      </c>
      <c r="R28" s="116">
        <v>15.7</v>
      </c>
      <c r="S28" s="116">
        <v>15.1</v>
      </c>
      <c r="T28" s="116">
        <v>14.5</v>
      </c>
      <c r="U28" s="116">
        <v>14</v>
      </c>
    </row>
    <row r="29" spans="1:21" x14ac:dyDescent="0.25">
      <c r="A29" s="80">
        <v>18</v>
      </c>
      <c r="B29" s="116">
        <v>205.4</v>
      </c>
      <c r="C29" s="116">
        <v>104.6</v>
      </c>
      <c r="D29" s="116">
        <v>71</v>
      </c>
      <c r="E29" s="116">
        <v>54.2</v>
      </c>
      <c r="F29" s="116">
        <v>44.2</v>
      </c>
      <c r="G29" s="116">
        <v>37.5</v>
      </c>
      <c r="H29" s="116">
        <v>32.700000000000003</v>
      </c>
      <c r="I29" s="116">
        <v>29.1</v>
      </c>
      <c r="J29" s="116">
        <v>26.3</v>
      </c>
      <c r="K29" s="116">
        <v>24.1</v>
      </c>
      <c r="L29" s="116">
        <v>22.3</v>
      </c>
      <c r="M29" s="116">
        <v>20.8</v>
      </c>
      <c r="N29" s="116">
        <v>19.5</v>
      </c>
      <c r="O29" s="116">
        <v>18.399999999999999</v>
      </c>
      <c r="P29" s="116">
        <v>17.5</v>
      </c>
      <c r="Q29" s="116">
        <v>16.7</v>
      </c>
      <c r="R29" s="116">
        <v>16</v>
      </c>
      <c r="S29" s="116">
        <v>15.3</v>
      </c>
      <c r="T29" s="116">
        <v>14.8</v>
      </c>
      <c r="U29" s="116">
        <v>14.3</v>
      </c>
    </row>
    <row r="30" spans="1:21" x14ac:dyDescent="0.25">
      <c r="A30" s="80">
        <v>19</v>
      </c>
      <c r="B30" s="116">
        <v>208.6</v>
      </c>
      <c r="C30" s="116">
        <v>106.2</v>
      </c>
      <c r="D30" s="116">
        <v>72.099999999999994</v>
      </c>
      <c r="E30" s="116">
        <v>55.1</v>
      </c>
      <c r="F30" s="116">
        <v>44.9</v>
      </c>
      <c r="G30" s="116">
        <v>38.1</v>
      </c>
      <c r="H30" s="116">
        <v>33.200000000000003</v>
      </c>
      <c r="I30" s="116">
        <v>29.6</v>
      </c>
      <c r="J30" s="116">
        <v>26.8</v>
      </c>
      <c r="K30" s="116">
        <v>24.5</v>
      </c>
      <c r="L30" s="116">
        <v>22.7</v>
      </c>
      <c r="M30" s="116">
        <v>21.1</v>
      </c>
      <c r="N30" s="116">
        <v>19.8</v>
      </c>
      <c r="O30" s="116">
        <v>18.7</v>
      </c>
      <c r="P30" s="116">
        <v>17.8</v>
      </c>
      <c r="Q30" s="116">
        <v>17</v>
      </c>
      <c r="R30" s="116">
        <v>16.2</v>
      </c>
      <c r="S30" s="116">
        <v>15.6</v>
      </c>
      <c r="T30" s="116">
        <v>15</v>
      </c>
      <c r="U30" s="116">
        <v>14.5</v>
      </c>
    </row>
    <row r="31" spans="1:21" x14ac:dyDescent="0.25">
      <c r="A31" s="80">
        <v>20</v>
      </c>
      <c r="B31" s="116">
        <v>211.6</v>
      </c>
      <c r="C31" s="116">
        <v>107.8</v>
      </c>
      <c r="D31" s="116">
        <v>73.2</v>
      </c>
      <c r="E31" s="116">
        <v>55.9</v>
      </c>
      <c r="F31" s="116">
        <v>45.5</v>
      </c>
      <c r="G31" s="116">
        <v>38.6</v>
      </c>
      <c r="H31" s="116">
        <v>33.700000000000003</v>
      </c>
      <c r="I31" s="116">
        <v>30</v>
      </c>
      <c r="J31" s="116">
        <v>27.1</v>
      </c>
      <c r="K31" s="116">
        <v>24.9</v>
      </c>
      <c r="L31" s="116">
        <v>23</v>
      </c>
      <c r="M31" s="116">
        <v>21.4</v>
      </c>
      <c r="N31" s="116">
        <v>20.100000000000001</v>
      </c>
      <c r="O31" s="116">
        <v>19</v>
      </c>
      <c r="P31" s="116">
        <v>18.100000000000001</v>
      </c>
      <c r="Q31" s="116">
        <v>17.2</v>
      </c>
      <c r="R31" s="116">
        <v>16.5</v>
      </c>
      <c r="S31" s="116">
        <v>15.8</v>
      </c>
      <c r="T31" s="116">
        <v>15.2</v>
      </c>
      <c r="U31" s="116">
        <v>14.7</v>
      </c>
    </row>
    <row r="32" spans="1:21" x14ac:dyDescent="0.25">
      <c r="A32" s="80">
        <v>21</v>
      </c>
      <c r="B32" s="116">
        <v>214.6</v>
      </c>
      <c r="C32" s="116">
        <v>109.3</v>
      </c>
      <c r="D32" s="116">
        <v>74.2</v>
      </c>
      <c r="E32" s="116">
        <v>56.7</v>
      </c>
      <c r="F32" s="116">
        <v>46.2</v>
      </c>
      <c r="G32" s="116">
        <v>39.200000000000003</v>
      </c>
      <c r="H32" s="116">
        <v>34.200000000000003</v>
      </c>
      <c r="I32" s="116">
        <v>30.4</v>
      </c>
      <c r="J32" s="116">
        <v>27.5</v>
      </c>
      <c r="K32" s="116">
        <v>25.2</v>
      </c>
      <c r="L32" s="116">
        <v>23.3</v>
      </c>
      <c r="M32" s="116">
        <v>21.7</v>
      </c>
      <c r="N32" s="116">
        <v>20.399999999999999</v>
      </c>
      <c r="O32" s="116">
        <v>19.3</v>
      </c>
      <c r="P32" s="116">
        <v>18.3</v>
      </c>
      <c r="Q32" s="116">
        <v>17.5</v>
      </c>
      <c r="R32" s="116">
        <v>16.7</v>
      </c>
      <c r="S32" s="116">
        <v>16</v>
      </c>
      <c r="T32" s="116">
        <v>15.5</v>
      </c>
      <c r="U32" s="116">
        <v>14.9</v>
      </c>
    </row>
    <row r="33" spans="1:21" x14ac:dyDescent="0.25">
      <c r="A33" s="80">
        <v>22</v>
      </c>
      <c r="B33" s="116">
        <v>217.7</v>
      </c>
      <c r="C33" s="116">
        <v>110.9</v>
      </c>
      <c r="D33" s="116">
        <v>75.3</v>
      </c>
      <c r="E33" s="116">
        <v>57.5</v>
      </c>
      <c r="F33" s="116">
        <v>46.8</v>
      </c>
      <c r="G33" s="116">
        <v>39.700000000000003</v>
      </c>
      <c r="H33" s="116">
        <v>34.700000000000003</v>
      </c>
      <c r="I33" s="116">
        <v>30.9</v>
      </c>
      <c r="J33" s="116">
        <v>27.9</v>
      </c>
      <c r="K33" s="116">
        <v>25.6</v>
      </c>
      <c r="L33" s="116">
        <v>23.7</v>
      </c>
      <c r="M33" s="116">
        <v>22.1</v>
      </c>
      <c r="N33" s="116">
        <v>20.7</v>
      </c>
      <c r="O33" s="116">
        <v>19.600000000000001</v>
      </c>
      <c r="P33" s="116">
        <v>18.600000000000001</v>
      </c>
      <c r="Q33" s="116">
        <v>17.7</v>
      </c>
      <c r="R33" s="116">
        <v>16.899999999999999</v>
      </c>
      <c r="S33" s="116">
        <v>16.3</v>
      </c>
      <c r="T33" s="116">
        <v>15.7</v>
      </c>
      <c r="U33" s="116">
        <v>15.1</v>
      </c>
    </row>
    <row r="34" spans="1:21" x14ac:dyDescent="0.25">
      <c r="A34" s="80">
        <v>23</v>
      </c>
      <c r="B34" s="116">
        <v>220.8</v>
      </c>
      <c r="C34" s="116">
        <v>112.5</v>
      </c>
      <c r="D34" s="116">
        <v>76.3</v>
      </c>
      <c r="E34" s="116">
        <v>58.3</v>
      </c>
      <c r="F34" s="116">
        <v>47.5</v>
      </c>
      <c r="G34" s="116">
        <v>40.299999999999997</v>
      </c>
      <c r="H34" s="116">
        <v>35.200000000000003</v>
      </c>
      <c r="I34" s="116">
        <v>31.3</v>
      </c>
      <c r="J34" s="116">
        <v>28.3</v>
      </c>
      <c r="K34" s="116">
        <v>25.9</v>
      </c>
      <c r="L34" s="116">
        <v>24</v>
      </c>
      <c r="M34" s="116">
        <v>22.4</v>
      </c>
      <c r="N34" s="116">
        <v>21</v>
      </c>
      <c r="O34" s="116">
        <v>19.899999999999999</v>
      </c>
      <c r="P34" s="116">
        <v>18.8</v>
      </c>
      <c r="Q34" s="116">
        <v>18</v>
      </c>
      <c r="R34" s="116">
        <v>17.2</v>
      </c>
      <c r="S34" s="116">
        <v>16.5</v>
      </c>
      <c r="T34" s="116">
        <v>15.9</v>
      </c>
      <c r="U34" s="116">
        <v>15.4</v>
      </c>
    </row>
    <row r="35" spans="1:21" x14ac:dyDescent="0.25">
      <c r="A35" s="80">
        <v>24</v>
      </c>
      <c r="B35" s="116">
        <v>224</v>
      </c>
      <c r="C35" s="116">
        <v>114.1</v>
      </c>
      <c r="D35" s="116">
        <v>77.400000000000006</v>
      </c>
      <c r="E35" s="116">
        <v>59.1</v>
      </c>
      <c r="F35" s="116">
        <v>48.2</v>
      </c>
      <c r="G35" s="116">
        <v>40.9</v>
      </c>
      <c r="H35" s="116">
        <v>35.700000000000003</v>
      </c>
      <c r="I35" s="116">
        <v>31.8</v>
      </c>
      <c r="J35" s="116">
        <v>28.7</v>
      </c>
      <c r="K35" s="116">
        <v>26.3</v>
      </c>
      <c r="L35" s="116">
        <v>24.3</v>
      </c>
      <c r="M35" s="116">
        <v>22.7</v>
      </c>
      <c r="N35" s="116">
        <v>21.3</v>
      </c>
      <c r="O35" s="116">
        <v>20.100000000000001</v>
      </c>
      <c r="P35" s="116">
        <v>19.100000000000001</v>
      </c>
      <c r="Q35" s="116">
        <v>18.2</v>
      </c>
      <c r="R35" s="116">
        <v>17.399999999999999</v>
      </c>
      <c r="S35" s="116">
        <v>16.8</v>
      </c>
      <c r="T35" s="116">
        <v>16.100000000000001</v>
      </c>
      <c r="U35" s="116">
        <v>15.6</v>
      </c>
    </row>
    <row r="36" spans="1:21" x14ac:dyDescent="0.25">
      <c r="A36" s="80">
        <v>25</v>
      </c>
      <c r="B36" s="116">
        <v>227.2</v>
      </c>
      <c r="C36" s="116">
        <v>115.7</v>
      </c>
      <c r="D36" s="116">
        <v>78.5</v>
      </c>
      <c r="E36" s="116">
        <v>60</v>
      </c>
      <c r="F36" s="116">
        <v>48.9</v>
      </c>
      <c r="G36" s="116">
        <v>41.5</v>
      </c>
      <c r="H36" s="116">
        <v>36.200000000000003</v>
      </c>
      <c r="I36" s="116">
        <v>32.200000000000003</v>
      </c>
      <c r="J36" s="116">
        <v>29.1</v>
      </c>
      <c r="K36" s="116">
        <v>26.7</v>
      </c>
      <c r="L36" s="116">
        <v>24.7</v>
      </c>
      <c r="M36" s="116">
        <v>23</v>
      </c>
      <c r="N36" s="116">
        <v>21.6</v>
      </c>
      <c r="O36" s="116">
        <v>20.399999999999999</v>
      </c>
      <c r="P36" s="116">
        <v>19.399999999999999</v>
      </c>
      <c r="Q36" s="116">
        <v>18.5</v>
      </c>
      <c r="R36" s="116">
        <v>17.7</v>
      </c>
      <c r="S36" s="116">
        <v>17</v>
      </c>
      <c r="T36" s="116">
        <v>16.399999999999999</v>
      </c>
      <c r="U36" s="116">
        <v>15.8</v>
      </c>
    </row>
    <row r="37" spans="1:21" x14ac:dyDescent="0.25">
      <c r="A37" s="80">
        <v>26</v>
      </c>
      <c r="B37" s="116">
        <v>230.4</v>
      </c>
      <c r="C37" s="116">
        <v>117.3</v>
      </c>
      <c r="D37" s="116">
        <v>79.7</v>
      </c>
      <c r="E37" s="116">
        <v>60.8</v>
      </c>
      <c r="F37" s="116">
        <v>49.6</v>
      </c>
      <c r="G37" s="116">
        <v>42</v>
      </c>
      <c r="H37" s="116">
        <v>36.700000000000003</v>
      </c>
      <c r="I37" s="116">
        <v>32.700000000000003</v>
      </c>
      <c r="J37" s="116">
        <v>29.6</v>
      </c>
      <c r="K37" s="116">
        <v>27.1</v>
      </c>
      <c r="L37" s="116">
        <v>25</v>
      </c>
      <c r="M37" s="116">
        <v>23.4</v>
      </c>
      <c r="N37" s="116">
        <v>21.9</v>
      </c>
      <c r="O37" s="116">
        <v>20.7</v>
      </c>
      <c r="P37" s="116">
        <v>19.7</v>
      </c>
      <c r="Q37" s="116">
        <v>18.8</v>
      </c>
      <c r="R37" s="116">
        <v>18</v>
      </c>
      <c r="S37" s="116">
        <v>17.2</v>
      </c>
      <c r="T37" s="116">
        <v>16.600000000000001</v>
      </c>
      <c r="U37" s="116">
        <v>16</v>
      </c>
    </row>
    <row r="38" spans="1:21" x14ac:dyDescent="0.25">
      <c r="A38" s="80">
        <v>27</v>
      </c>
      <c r="B38" s="116">
        <v>233.7</v>
      </c>
      <c r="C38" s="116">
        <v>119</v>
      </c>
      <c r="D38" s="116">
        <v>80.8</v>
      </c>
      <c r="E38" s="116">
        <v>61.7</v>
      </c>
      <c r="F38" s="116">
        <v>50.3</v>
      </c>
      <c r="G38" s="116">
        <v>42.6</v>
      </c>
      <c r="H38" s="116">
        <v>37.200000000000003</v>
      </c>
      <c r="I38" s="116">
        <v>33.1</v>
      </c>
      <c r="J38" s="116">
        <v>30</v>
      </c>
      <c r="K38" s="116">
        <v>27.5</v>
      </c>
      <c r="L38" s="116">
        <v>25.4</v>
      </c>
      <c r="M38" s="116">
        <v>23.7</v>
      </c>
      <c r="N38" s="116">
        <v>22.3</v>
      </c>
      <c r="O38" s="116">
        <v>21</v>
      </c>
      <c r="P38" s="116">
        <v>20</v>
      </c>
      <c r="Q38" s="116">
        <v>19</v>
      </c>
      <c r="R38" s="116">
        <v>18.2</v>
      </c>
      <c r="S38" s="116">
        <v>17.5</v>
      </c>
      <c r="T38" s="116">
        <v>16.899999999999999</v>
      </c>
      <c r="U38" s="116">
        <v>16.3</v>
      </c>
    </row>
    <row r="39" spans="1:21" x14ac:dyDescent="0.25">
      <c r="A39" s="80">
        <v>28</v>
      </c>
      <c r="B39" s="116">
        <v>237</v>
      </c>
      <c r="C39" s="116">
        <v>120.7</v>
      </c>
      <c r="D39" s="116">
        <v>81.900000000000006</v>
      </c>
      <c r="E39" s="116">
        <v>62.6</v>
      </c>
      <c r="F39" s="116">
        <v>51</v>
      </c>
      <c r="G39" s="116">
        <v>43.3</v>
      </c>
      <c r="H39" s="116">
        <v>37.700000000000003</v>
      </c>
      <c r="I39" s="116">
        <v>33.6</v>
      </c>
      <c r="J39" s="116">
        <v>30.4</v>
      </c>
      <c r="K39" s="116">
        <v>27.9</v>
      </c>
      <c r="L39" s="116">
        <v>25.8</v>
      </c>
      <c r="M39" s="116">
        <v>24</v>
      </c>
      <c r="N39" s="116">
        <v>22.6</v>
      </c>
      <c r="O39" s="116">
        <v>21.3</v>
      </c>
      <c r="P39" s="116">
        <v>20.2</v>
      </c>
      <c r="Q39" s="116">
        <v>19.3</v>
      </c>
      <c r="R39" s="116">
        <v>18.5</v>
      </c>
      <c r="S39" s="116">
        <v>17.7</v>
      </c>
      <c r="T39" s="116">
        <v>17.100000000000001</v>
      </c>
      <c r="U39" s="116">
        <v>16.5</v>
      </c>
    </row>
    <row r="40" spans="1:21" x14ac:dyDescent="0.25">
      <c r="A40" s="80">
        <v>29</v>
      </c>
      <c r="B40" s="116">
        <v>240.4</v>
      </c>
      <c r="C40" s="116">
        <v>122.4</v>
      </c>
      <c r="D40" s="116">
        <v>83.1</v>
      </c>
      <c r="E40" s="116">
        <v>63.5</v>
      </c>
      <c r="F40" s="116">
        <v>51.7</v>
      </c>
      <c r="G40" s="116">
        <v>43.9</v>
      </c>
      <c r="H40" s="116">
        <v>38.299999999999997</v>
      </c>
      <c r="I40" s="116">
        <v>34.1</v>
      </c>
      <c r="J40" s="116">
        <v>30.9</v>
      </c>
      <c r="K40" s="116">
        <v>28.3</v>
      </c>
      <c r="L40" s="116">
        <v>26.1</v>
      </c>
      <c r="M40" s="116">
        <v>24.4</v>
      </c>
      <c r="N40" s="116">
        <v>22.9</v>
      </c>
      <c r="O40" s="116">
        <v>21.6</v>
      </c>
      <c r="P40" s="116">
        <v>20.5</v>
      </c>
      <c r="Q40" s="116">
        <v>19.600000000000001</v>
      </c>
      <c r="R40" s="116">
        <v>18.7</v>
      </c>
      <c r="S40" s="116">
        <v>18</v>
      </c>
      <c r="T40" s="116">
        <v>17.3</v>
      </c>
      <c r="U40" s="116">
        <v>16.8</v>
      </c>
    </row>
    <row r="41" spans="1:21" x14ac:dyDescent="0.25">
      <c r="A41" s="80">
        <v>30</v>
      </c>
      <c r="B41" s="116">
        <v>243.8</v>
      </c>
      <c r="C41" s="116">
        <v>124.1</v>
      </c>
      <c r="D41" s="116">
        <v>84.3</v>
      </c>
      <c r="E41" s="116">
        <v>64.400000000000006</v>
      </c>
      <c r="F41" s="116">
        <v>52.4</v>
      </c>
      <c r="G41" s="116">
        <v>44.5</v>
      </c>
      <c r="H41" s="116">
        <v>38.799999999999997</v>
      </c>
      <c r="I41" s="116">
        <v>34.6</v>
      </c>
      <c r="J41" s="116">
        <v>31.3</v>
      </c>
      <c r="K41" s="116">
        <v>28.7</v>
      </c>
      <c r="L41" s="116">
        <v>26.5</v>
      </c>
      <c r="M41" s="116">
        <v>24.7</v>
      </c>
      <c r="N41" s="116">
        <v>23.2</v>
      </c>
      <c r="O41" s="116">
        <v>21.9</v>
      </c>
      <c r="P41" s="116">
        <v>20.8</v>
      </c>
      <c r="Q41" s="116">
        <v>19.899999999999999</v>
      </c>
      <c r="R41" s="116">
        <v>19</v>
      </c>
      <c r="S41" s="116">
        <v>18.3</v>
      </c>
      <c r="T41" s="116">
        <v>17.600000000000001</v>
      </c>
      <c r="U41" s="116">
        <v>17</v>
      </c>
    </row>
    <row r="42" spans="1:21" x14ac:dyDescent="0.25">
      <c r="A42" s="80">
        <v>31</v>
      </c>
      <c r="B42" s="116">
        <v>247.2</v>
      </c>
      <c r="C42" s="116">
        <v>125.9</v>
      </c>
      <c r="D42" s="116">
        <v>85.5</v>
      </c>
      <c r="E42" s="116">
        <v>65.3</v>
      </c>
      <c r="F42" s="116">
        <v>53.2</v>
      </c>
      <c r="G42" s="116">
        <v>45.1</v>
      </c>
      <c r="H42" s="116">
        <v>39.4</v>
      </c>
      <c r="I42" s="116">
        <v>35.1</v>
      </c>
      <c r="J42" s="116">
        <v>31.7</v>
      </c>
      <c r="K42" s="116">
        <v>29.1</v>
      </c>
      <c r="L42" s="116">
        <v>26.9</v>
      </c>
      <c r="M42" s="116">
        <v>25.1</v>
      </c>
      <c r="N42" s="116">
        <v>23.6</v>
      </c>
      <c r="O42" s="116">
        <v>22.3</v>
      </c>
      <c r="P42" s="116">
        <v>21.1</v>
      </c>
      <c r="Q42" s="116">
        <v>20.2</v>
      </c>
      <c r="R42" s="116">
        <v>19.3</v>
      </c>
      <c r="S42" s="116">
        <v>18.5</v>
      </c>
      <c r="T42" s="116">
        <v>17.899999999999999</v>
      </c>
      <c r="U42" s="116">
        <v>17.3</v>
      </c>
    </row>
    <row r="43" spans="1:21" x14ac:dyDescent="0.25">
      <c r="A43" s="80">
        <v>32</v>
      </c>
      <c r="B43" s="116">
        <v>250.7</v>
      </c>
      <c r="C43" s="116">
        <v>127.7</v>
      </c>
      <c r="D43" s="116">
        <v>86.7</v>
      </c>
      <c r="E43" s="116">
        <v>66.2</v>
      </c>
      <c r="F43" s="116">
        <v>54</v>
      </c>
      <c r="G43" s="116">
        <v>45.8</v>
      </c>
      <c r="H43" s="116">
        <v>40</v>
      </c>
      <c r="I43" s="116">
        <v>35.6</v>
      </c>
      <c r="J43" s="116">
        <v>32.200000000000003</v>
      </c>
      <c r="K43" s="116">
        <v>29.5</v>
      </c>
      <c r="L43" s="116">
        <v>27.3</v>
      </c>
      <c r="M43" s="116">
        <v>25.5</v>
      </c>
      <c r="N43" s="116">
        <v>23.9</v>
      </c>
      <c r="O43" s="116">
        <v>22.6</v>
      </c>
      <c r="P43" s="116">
        <v>21.5</v>
      </c>
      <c r="Q43" s="116">
        <v>20.5</v>
      </c>
      <c r="R43" s="116">
        <v>19.600000000000001</v>
      </c>
      <c r="S43" s="116">
        <v>18.8</v>
      </c>
      <c r="T43" s="116">
        <v>18.100000000000001</v>
      </c>
      <c r="U43" s="116">
        <v>17.5</v>
      </c>
    </row>
    <row r="44" spans="1:21" x14ac:dyDescent="0.25">
      <c r="A44" s="80">
        <v>33</v>
      </c>
      <c r="B44" s="116">
        <v>254.2</v>
      </c>
      <c r="C44" s="116">
        <v>129.5</v>
      </c>
      <c r="D44" s="116">
        <v>87.9</v>
      </c>
      <c r="E44" s="116">
        <v>67.2</v>
      </c>
      <c r="F44" s="116">
        <v>54.7</v>
      </c>
      <c r="G44" s="116">
        <v>46.4</v>
      </c>
      <c r="H44" s="116">
        <v>40.5</v>
      </c>
      <c r="I44" s="116">
        <v>36.1</v>
      </c>
      <c r="J44" s="116">
        <v>32.700000000000003</v>
      </c>
      <c r="K44" s="116">
        <v>29.9</v>
      </c>
      <c r="L44" s="116">
        <v>27.7</v>
      </c>
      <c r="M44" s="116">
        <v>25.8</v>
      </c>
      <c r="N44" s="116">
        <v>24.3</v>
      </c>
      <c r="O44" s="116">
        <v>22.9</v>
      </c>
      <c r="P44" s="116">
        <v>21.8</v>
      </c>
      <c r="Q44" s="116">
        <v>20.8</v>
      </c>
      <c r="R44" s="116">
        <v>19.899999999999999</v>
      </c>
      <c r="S44" s="116">
        <v>19.100000000000001</v>
      </c>
      <c r="T44" s="116">
        <v>18.399999999999999</v>
      </c>
      <c r="U44" s="116">
        <v>17.8</v>
      </c>
    </row>
    <row r="45" spans="1:21" x14ac:dyDescent="0.25">
      <c r="A45" s="80">
        <v>34</v>
      </c>
      <c r="B45" s="116">
        <v>257.8</v>
      </c>
      <c r="C45" s="116">
        <v>131.30000000000001</v>
      </c>
      <c r="D45" s="116">
        <v>89.2</v>
      </c>
      <c r="E45" s="116">
        <v>68.099999999999994</v>
      </c>
      <c r="F45" s="116">
        <v>55.5</v>
      </c>
      <c r="G45" s="116">
        <v>47.1</v>
      </c>
      <c r="H45" s="116">
        <v>41.1</v>
      </c>
      <c r="I45" s="116">
        <v>36.6</v>
      </c>
      <c r="J45" s="116">
        <v>33.1</v>
      </c>
      <c r="K45" s="116">
        <v>30.3</v>
      </c>
      <c r="L45" s="116">
        <v>28.1</v>
      </c>
      <c r="M45" s="116">
        <v>26.2</v>
      </c>
      <c r="N45" s="116">
        <v>24.6</v>
      </c>
      <c r="O45" s="116">
        <v>23.2</v>
      </c>
      <c r="P45" s="116">
        <v>22.1</v>
      </c>
      <c r="Q45" s="116">
        <v>21.1</v>
      </c>
      <c r="R45" s="116">
        <v>20.2</v>
      </c>
      <c r="S45" s="116">
        <v>19.399999999999999</v>
      </c>
      <c r="T45" s="116">
        <v>18.7</v>
      </c>
      <c r="U45" s="116">
        <v>18</v>
      </c>
    </row>
    <row r="46" spans="1:21" x14ac:dyDescent="0.25">
      <c r="A46" s="80">
        <v>35</v>
      </c>
      <c r="B46" s="116">
        <v>261.39999999999998</v>
      </c>
      <c r="C46" s="116">
        <v>133.1</v>
      </c>
      <c r="D46" s="116">
        <v>90.4</v>
      </c>
      <c r="E46" s="116">
        <v>69.099999999999994</v>
      </c>
      <c r="F46" s="116">
        <v>56.3</v>
      </c>
      <c r="G46" s="116">
        <v>47.7</v>
      </c>
      <c r="H46" s="116">
        <v>41.7</v>
      </c>
      <c r="I46" s="116">
        <v>37.1</v>
      </c>
      <c r="J46" s="116">
        <v>33.6</v>
      </c>
      <c r="K46" s="116">
        <v>30.8</v>
      </c>
      <c r="L46" s="116">
        <v>28.5</v>
      </c>
      <c r="M46" s="116">
        <v>26.6</v>
      </c>
      <c r="N46" s="116">
        <v>25</v>
      </c>
      <c r="O46" s="116">
        <v>23.6</v>
      </c>
      <c r="P46" s="116">
        <v>22.4</v>
      </c>
      <c r="Q46" s="116">
        <v>21.4</v>
      </c>
      <c r="R46" s="116">
        <v>20.5</v>
      </c>
      <c r="S46" s="116">
        <v>19.7</v>
      </c>
      <c r="T46" s="116">
        <v>18.899999999999999</v>
      </c>
      <c r="U46" s="116">
        <v>18.3</v>
      </c>
    </row>
    <row r="47" spans="1:21" x14ac:dyDescent="0.25">
      <c r="A47" s="80">
        <v>36</v>
      </c>
      <c r="B47" s="116">
        <v>265</v>
      </c>
      <c r="C47" s="116">
        <v>135</v>
      </c>
      <c r="D47" s="116">
        <v>91.7</v>
      </c>
      <c r="E47" s="116">
        <v>70</v>
      </c>
      <c r="F47" s="116">
        <v>57.1</v>
      </c>
      <c r="G47" s="116">
        <v>48.4</v>
      </c>
      <c r="H47" s="116">
        <v>42.3</v>
      </c>
      <c r="I47" s="116">
        <v>37.700000000000003</v>
      </c>
      <c r="J47" s="116">
        <v>34.1</v>
      </c>
      <c r="K47" s="116">
        <v>31.2</v>
      </c>
      <c r="L47" s="116">
        <v>28.9</v>
      </c>
      <c r="M47" s="116">
        <v>27</v>
      </c>
      <c r="N47" s="116">
        <v>25.3</v>
      </c>
      <c r="O47" s="116">
        <v>23.9</v>
      </c>
      <c r="P47" s="116">
        <v>22.7</v>
      </c>
      <c r="Q47" s="116">
        <v>21.7</v>
      </c>
      <c r="R47" s="116">
        <v>20.8</v>
      </c>
      <c r="S47" s="116">
        <v>19.899999999999999</v>
      </c>
      <c r="T47" s="116">
        <v>19.2</v>
      </c>
      <c r="U47" s="116">
        <v>18.600000000000001</v>
      </c>
    </row>
    <row r="48" spans="1:21" x14ac:dyDescent="0.25">
      <c r="A48" s="80">
        <v>37</v>
      </c>
      <c r="B48" s="116">
        <v>268.7</v>
      </c>
      <c r="C48" s="116">
        <v>136.9</v>
      </c>
      <c r="D48" s="116">
        <v>93</v>
      </c>
      <c r="E48" s="116">
        <v>71</v>
      </c>
      <c r="F48" s="116">
        <v>57.9</v>
      </c>
      <c r="G48" s="116">
        <v>49.1</v>
      </c>
      <c r="H48" s="116">
        <v>42.9</v>
      </c>
      <c r="I48" s="116">
        <v>38.200000000000003</v>
      </c>
      <c r="J48" s="116">
        <v>34.6</v>
      </c>
      <c r="K48" s="116">
        <v>31.7</v>
      </c>
      <c r="L48" s="116">
        <v>29.3</v>
      </c>
      <c r="M48" s="116">
        <v>27.3</v>
      </c>
      <c r="N48" s="116">
        <v>25.7</v>
      </c>
      <c r="O48" s="116">
        <v>24.3</v>
      </c>
      <c r="P48" s="116">
        <v>23.1</v>
      </c>
      <c r="Q48" s="116">
        <v>22</v>
      </c>
      <c r="R48" s="116">
        <v>21.1</v>
      </c>
      <c r="S48" s="116">
        <v>20.2</v>
      </c>
      <c r="T48" s="116">
        <v>19.5</v>
      </c>
      <c r="U48" s="116">
        <v>18.899999999999999</v>
      </c>
    </row>
    <row r="49" spans="1:21" x14ac:dyDescent="0.25">
      <c r="A49" s="80">
        <v>38</v>
      </c>
      <c r="B49" s="116">
        <v>272.5</v>
      </c>
      <c r="C49" s="116">
        <v>138.80000000000001</v>
      </c>
      <c r="D49" s="116">
        <v>94.3</v>
      </c>
      <c r="E49" s="116">
        <v>72</v>
      </c>
      <c r="F49" s="116">
        <v>58.7</v>
      </c>
      <c r="G49" s="116">
        <v>49.8</v>
      </c>
      <c r="H49" s="116">
        <v>43.5</v>
      </c>
      <c r="I49" s="116">
        <v>38.700000000000003</v>
      </c>
      <c r="J49" s="116">
        <v>35.1</v>
      </c>
      <c r="K49" s="116">
        <v>32.1</v>
      </c>
      <c r="L49" s="116">
        <v>29.7</v>
      </c>
      <c r="M49" s="116">
        <v>27.7</v>
      </c>
      <c r="N49" s="116">
        <v>26.1</v>
      </c>
      <c r="O49" s="116">
        <v>24.6</v>
      </c>
      <c r="P49" s="116">
        <v>23.4</v>
      </c>
      <c r="Q49" s="116">
        <v>22.3</v>
      </c>
      <c r="R49" s="116">
        <v>21.4</v>
      </c>
      <c r="S49" s="116">
        <v>20.5</v>
      </c>
      <c r="T49" s="116">
        <v>19.8</v>
      </c>
      <c r="U49" s="116">
        <v>19.2</v>
      </c>
    </row>
    <row r="50" spans="1:21" x14ac:dyDescent="0.25">
      <c r="A50" s="80">
        <v>39</v>
      </c>
      <c r="B50" s="116">
        <v>276.3</v>
      </c>
      <c r="C50" s="116">
        <v>140.69999999999999</v>
      </c>
      <c r="D50" s="116">
        <v>95.6</v>
      </c>
      <c r="E50" s="116">
        <v>73</v>
      </c>
      <c r="F50" s="116">
        <v>59.5</v>
      </c>
      <c r="G50" s="116">
        <v>50.5</v>
      </c>
      <c r="H50" s="116">
        <v>44.1</v>
      </c>
      <c r="I50" s="116">
        <v>39.299999999999997</v>
      </c>
      <c r="J50" s="116">
        <v>35.6</v>
      </c>
      <c r="K50" s="116">
        <v>32.6</v>
      </c>
      <c r="L50" s="116">
        <v>30.2</v>
      </c>
      <c r="M50" s="116">
        <v>28.1</v>
      </c>
      <c r="N50" s="116">
        <v>26.4</v>
      </c>
      <c r="O50" s="116">
        <v>25</v>
      </c>
      <c r="P50" s="116">
        <v>23.7</v>
      </c>
      <c r="Q50" s="116">
        <v>22.7</v>
      </c>
      <c r="R50" s="116">
        <v>21.7</v>
      </c>
      <c r="S50" s="116">
        <v>20.9</v>
      </c>
      <c r="T50" s="116">
        <v>20.100000000000001</v>
      </c>
      <c r="U50" s="116">
        <v>19.399999999999999</v>
      </c>
    </row>
    <row r="51" spans="1:21" x14ac:dyDescent="0.25">
      <c r="A51" s="80">
        <v>40</v>
      </c>
      <c r="B51" s="116">
        <v>280.10000000000002</v>
      </c>
      <c r="C51" s="116">
        <v>142.69999999999999</v>
      </c>
      <c r="D51" s="116">
        <v>96.9</v>
      </c>
      <c r="E51" s="116">
        <v>74.099999999999994</v>
      </c>
      <c r="F51" s="116">
        <v>60.3</v>
      </c>
      <c r="G51" s="116">
        <v>51.2</v>
      </c>
      <c r="H51" s="116">
        <v>44.7</v>
      </c>
      <c r="I51" s="116">
        <v>39.799999999999997</v>
      </c>
      <c r="J51" s="116">
        <v>36.1</v>
      </c>
      <c r="K51" s="116">
        <v>33.1</v>
      </c>
      <c r="L51" s="116">
        <v>30.6</v>
      </c>
      <c r="M51" s="116">
        <v>28.5</v>
      </c>
      <c r="N51" s="116">
        <v>26.8</v>
      </c>
      <c r="O51" s="116">
        <v>25.4</v>
      </c>
      <c r="P51" s="116">
        <v>24.1</v>
      </c>
      <c r="Q51" s="116">
        <v>23</v>
      </c>
      <c r="R51" s="116">
        <v>22</v>
      </c>
      <c r="S51" s="116">
        <v>21.2</v>
      </c>
      <c r="T51" s="116">
        <v>20.399999999999999</v>
      </c>
      <c r="U51" s="116">
        <v>19.8</v>
      </c>
    </row>
    <row r="52" spans="1:21" x14ac:dyDescent="0.25">
      <c r="A52" s="80">
        <v>41</v>
      </c>
      <c r="B52" s="116">
        <v>284</v>
      </c>
      <c r="C52" s="116">
        <v>144.69999999999999</v>
      </c>
      <c r="D52" s="116">
        <v>98.3</v>
      </c>
      <c r="E52" s="116">
        <v>75.099999999999994</v>
      </c>
      <c r="F52" s="116">
        <v>61.2</v>
      </c>
      <c r="G52" s="116">
        <v>51.9</v>
      </c>
      <c r="H52" s="116">
        <v>45.4</v>
      </c>
      <c r="I52" s="116">
        <v>40.4</v>
      </c>
      <c r="J52" s="116">
        <v>36.6</v>
      </c>
      <c r="K52" s="116">
        <v>33.5</v>
      </c>
      <c r="L52" s="116">
        <v>31</v>
      </c>
      <c r="M52" s="116">
        <v>29</v>
      </c>
      <c r="N52" s="116">
        <v>27.2</v>
      </c>
      <c r="O52" s="116">
        <v>25.7</v>
      </c>
      <c r="P52" s="116">
        <v>24.5</v>
      </c>
      <c r="Q52" s="116">
        <v>23.3</v>
      </c>
      <c r="R52" s="116">
        <v>22.4</v>
      </c>
      <c r="S52" s="116">
        <v>21.5</v>
      </c>
      <c r="T52" s="116">
        <v>20.7</v>
      </c>
      <c r="U52" s="116">
        <v>20.100000000000001</v>
      </c>
    </row>
    <row r="53" spans="1:21" x14ac:dyDescent="0.25">
      <c r="A53" s="80">
        <v>42</v>
      </c>
      <c r="B53" s="116">
        <v>287.89999999999998</v>
      </c>
      <c r="C53" s="116">
        <v>146.69999999999999</v>
      </c>
      <c r="D53" s="116">
        <v>99.7</v>
      </c>
      <c r="E53" s="116">
        <v>76.099999999999994</v>
      </c>
      <c r="F53" s="116">
        <v>62.1</v>
      </c>
      <c r="G53" s="116">
        <v>52.7</v>
      </c>
      <c r="H53" s="116">
        <v>46</v>
      </c>
      <c r="I53" s="116">
        <v>41</v>
      </c>
      <c r="J53" s="116">
        <v>37.1</v>
      </c>
      <c r="K53" s="116">
        <v>34</v>
      </c>
      <c r="L53" s="116">
        <v>31.5</v>
      </c>
      <c r="M53" s="116">
        <v>29.4</v>
      </c>
      <c r="N53" s="116">
        <v>27.6</v>
      </c>
      <c r="O53" s="116">
        <v>26.1</v>
      </c>
      <c r="P53" s="116">
        <v>24.8</v>
      </c>
      <c r="Q53" s="116">
        <v>23.7</v>
      </c>
      <c r="R53" s="116">
        <v>22.7</v>
      </c>
      <c r="S53" s="116">
        <v>21.8</v>
      </c>
      <c r="T53" s="116">
        <v>21.1</v>
      </c>
      <c r="U53" s="116">
        <v>20.399999999999999</v>
      </c>
    </row>
    <row r="54" spans="1:21" x14ac:dyDescent="0.25">
      <c r="A54" s="80">
        <v>43</v>
      </c>
      <c r="B54" s="116">
        <v>291.89999999999998</v>
      </c>
      <c r="C54" s="116">
        <v>148.69999999999999</v>
      </c>
      <c r="D54" s="116">
        <v>101</v>
      </c>
      <c r="E54" s="116">
        <v>77.2</v>
      </c>
      <c r="F54" s="116">
        <v>62.9</v>
      </c>
      <c r="G54" s="116">
        <v>53.4</v>
      </c>
      <c r="H54" s="116">
        <v>46.6</v>
      </c>
      <c r="I54" s="116">
        <v>41.6</v>
      </c>
      <c r="J54" s="116">
        <v>37.6</v>
      </c>
      <c r="K54" s="116">
        <v>34.5</v>
      </c>
      <c r="L54" s="116">
        <v>31.9</v>
      </c>
      <c r="M54" s="116">
        <v>29.8</v>
      </c>
      <c r="N54" s="116">
        <v>28</v>
      </c>
      <c r="O54" s="116">
        <v>26.5</v>
      </c>
      <c r="P54" s="116">
        <v>25.2</v>
      </c>
      <c r="Q54" s="116">
        <v>24.1</v>
      </c>
      <c r="R54" s="116">
        <v>23.1</v>
      </c>
      <c r="S54" s="116">
        <v>22.2</v>
      </c>
      <c r="T54" s="116">
        <v>21.4</v>
      </c>
      <c r="U54" s="116">
        <v>20.7</v>
      </c>
    </row>
    <row r="55" spans="1:21" x14ac:dyDescent="0.25">
      <c r="A55" s="80">
        <v>44</v>
      </c>
      <c r="B55" s="116">
        <v>295.89999999999998</v>
      </c>
      <c r="C55" s="116">
        <v>150.80000000000001</v>
      </c>
      <c r="D55" s="116">
        <v>102.4</v>
      </c>
      <c r="E55" s="116">
        <v>78.3</v>
      </c>
      <c r="F55" s="116">
        <v>63.8</v>
      </c>
      <c r="G55" s="116">
        <v>54.2</v>
      </c>
      <c r="H55" s="116">
        <v>47.3</v>
      </c>
      <c r="I55" s="116">
        <v>42.2</v>
      </c>
      <c r="J55" s="116">
        <v>38.200000000000003</v>
      </c>
      <c r="K55" s="116">
        <v>35</v>
      </c>
      <c r="L55" s="116">
        <v>32.4</v>
      </c>
      <c r="M55" s="116">
        <v>30.3</v>
      </c>
      <c r="N55" s="116">
        <v>28.5</v>
      </c>
      <c r="O55" s="116">
        <v>26.9</v>
      </c>
      <c r="P55" s="116">
        <v>25.6</v>
      </c>
      <c r="Q55" s="116">
        <v>24.5</v>
      </c>
      <c r="R55" s="116">
        <v>23.4</v>
      </c>
      <c r="S55" s="116">
        <v>22.6</v>
      </c>
      <c r="T55" s="116">
        <v>21.8</v>
      </c>
      <c r="U55" s="116">
        <v>21.1</v>
      </c>
    </row>
    <row r="56" spans="1:21" x14ac:dyDescent="0.25">
      <c r="A56" s="80">
        <v>45</v>
      </c>
      <c r="B56" s="116">
        <v>300</v>
      </c>
      <c r="C56" s="116">
        <v>152.9</v>
      </c>
      <c r="D56" s="116">
        <v>103.9</v>
      </c>
      <c r="E56" s="116">
        <v>79.400000000000006</v>
      </c>
      <c r="F56" s="116">
        <v>64.7</v>
      </c>
      <c r="G56" s="116">
        <v>54.9</v>
      </c>
      <c r="H56" s="116">
        <v>48</v>
      </c>
      <c r="I56" s="116">
        <v>42.8</v>
      </c>
      <c r="J56" s="116">
        <v>38.700000000000003</v>
      </c>
      <c r="K56" s="116">
        <v>35.5</v>
      </c>
      <c r="L56" s="116">
        <v>32.9</v>
      </c>
      <c r="M56" s="116">
        <v>30.7</v>
      </c>
      <c r="N56" s="116">
        <v>28.9</v>
      </c>
      <c r="O56" s="116">
        <v>27.3</v>
      </c>
      <c r="P56" s="116">
        <v>26</v>
      </c>
      <c r="Q56" s="116">
        <v>24.8</v>
      </c>
      <c r="R56" s="116">
        <v>23.8</v>
      </c>
      <c r="S56" s="116">
        <v>22.9</v>
      </c>
      <c r="T56" s="116">
        <v>22.1</v>
      </c>
      <c r="U56" s="116">
        <v>21.4</v>
      </c>
    </row>
    <row r="57" spans="1:21" x14ac:dyDescent="0.25">
      <c r="A57" s="80">
        <v>46</v>
      </c>
      <c r="B57" s="116">
        <v>304.10000000000002</v>
      </c>
      <c r="C57" s="116">
        <v>155</v>
      </c>
      <c r="D57" s="116">
        <v>105.3</v>
      </c>
      <c r="E57" s="116">
        <v>80.5</v>
      </c>
      <c r="F57" s="116">
        <v>65.599999999999994</v>
      </c>
      <c r="G57" s="116">
        <v>55.7</v>
      </c>
      <c r="H57" s="116">
        <v>48.7</v>
      </c>
      <c r="I57" s="116">
        <v>43.4</v>
      </c>
      <c r="J57" s="116">
        <v>39.299999999999997</v>
      </c>
      <c r="K57" s="116">
        <v>36.1</v>
      </c>
      <c r="L57" s="116">
        <v>33.4</v>
      </c>
      <c r="M57" s="116">
        <v>31.2</v>
      </c>
      <c r="N57" s="116">
        <v>29.4</v>
      </c>
      <c r="O57" s="116">
        <v>27.8</v>
      </c>
      <c r="P57" s="116">
        <v>26.4</v>
      </c>
      <c r="Q57" s="116">
        <v>25.2</v>
      </c>
      <c r="R57" s="116">
        <v>24.2</v>
      </c>
      <c r="S57" s="116">
        <v>23.3</v>
      </c>
      <c r="T57" s="116">
        <v>22.5</v>
      </c>
      <c r="U57" s="116">
        <v>21.8</v>
      </c>
    </row>
    <row r="58" spans="1:21" x14ac:dyDescent="0.25">
      <c r="A58" s="80">
        <v>47</v>
      </c>
      <c r="B58" s="116">
        <v>308.3</v>
      </c>
      <c r="C58" s="116">
        <v>157.1</v>
      </c>
      <c r="D58" s="116">
        <v>106.8</v>
      </c>
      <c r="E58" s="116">
        <v>81.599999999999994</v>
      </c>
      <c r="F58" s="116">
        <v>66.599999999999994</v>
      </c>
      <c r="G58" s="116">
        <v>56.5</v>
      </c>
      <c r="H58" s="116">
        <v>49.4</v>
      </c>
      <c r="I58" s="116">
        <v>44</v>
      </c>
      <c r="J58" s="116">
        <v>39.9</v>
      </c>
      <c r="K58" s="116">
        <v>36.6</v>
      </c>
      <c r="L58" s="116">
        <v>33.9</v>
      </c>
      <c r="M58" s="116">
        <v>31.7</v>
      </c>
      <c r="N58" s="116">
        <v>29.8</v>
      </c>
      <c r="O58" s="116">
        <v>28.2</v>
      </c>
      <c r="P58" s="116">
        <v>26.9</v>
      </c>
      <c r="Q58" s="116">
        <v>25.7</v>
      </c>
      <c r="R58" s="116">
        <v>24.6</v>
      </c>
      <c r="S58" s="116">
        <v>23.7</v>
      </c>
      <c r="T58" s="116">
        <v>22.9</v>
      </c>
      <c r="U58" s="116"/>
    </row>
    <row r="59" spans="1:21" x14ac:dyDescent="0.25">
      <c r="A59" s="80">
        <v>48</v>
      </c>
      <c r="B59" s="116">
        <v>312.60000000000002</v>
      </c>
      <c r="C59" s="116">
        <v>159.30000000000001</v>
      </c>
      <c r="D59" s="116">
        <v>108.3</v>
      </c>
      <c r="E59" s="116">
        <v>82.8</v>
      </c>
      <c r="F59" s="116">
        <v>67.5</v>
      </c>
      <c r="G59" s="116">
        <v>57.4</v>
      </c>
      <c r="H59" s="116">
        <v>50.1</v>
      </c>
      <c r="I59" s="116">
        <v>44.7</v>
      </c>
      <c r="J59" s="116">
        <v>40.5</v>
      </c>
      <c r="K59" s="116">
        <v>37.200000000000003</v>
      </c>
      <c r="L59" s="116">
        <v>34.5</v>
      </c>
      <c r="M59" s="116">
        <v>32.200000000000003</v>
      </c>
      <c r="N59" s="116">
        <v>30.3</v>
      </c>
      <c r="O59" s="116">
        <v>28.7</v>
      </c>
      <c r="P59" s="116">
        <v>27.3</v>
      </c>
      <c r="Q59" s="116">
        <v>26.1</v>
      </c>
      <c r="R59" s="116">
        <v>25.1</v>
      </c>
      <c r="S59" s="116">
        <v>24.1</v>
      </c>
      <c r="T59" s="116"/>
      <c r="U59" s="116"/>
    </row>
    <row r="60" spans="1:21" x14ac:dyDescent="0.25">
      <c r="A60" s="80">
        <v>49</v>
      </c>
      <c r="B60" s="116">
        <v>316.89999999999998</v>
      </c>
      <c r="C60" s="116">
        <v>161.6</v>
      </c>
      <c r="D60" s="116">
        <v>109.8</v>
      </c>
      <c r="E60" s="116">
        <v>84</v>
      </c>
      <c r="F60" s="116">
        <v>68.5</v>
      </c>
      <c r="G60" s="116">
        <v>58.2</v>
      </c>
      <c r="H60" s="116">
        <v>50.9</v>
      </c>
      <c r="I60" s="116">
        <v>45.4</v>
      </c>
      <c r="J60" s="116">
        <v>41.1</v>
      </c>
      <c r="K60" s="116">
        <v>37.799999999999997</v>
      </c>
      <c r="L60" s="116">
        <v>35</v>
      </c>
      <c r="M60" s="116">
        <v>32.700000000000003</v>
      </c>
      <c r="N60" s="116">
        <v>30.8</v>
      </c>
      <c r="O60" s="116">
        <v>29.2</v>
      </c>
      <c r="P60" s="116">
        <v>27.8</v>
      </c>
      <c r="Q60" s="116">
        <v>26.6</v>
      </c>
      <c r="R60" s="116">
        <v>25.5</v>
      </c>
      <c r="S60" s="116"/>
      <c r="T60" s="116"/>
      <c r="U60" s="116"/>
    </row>
    <row r="61" spans="1:21" x14ac:dyDescent="0.25">
      <c r="A61" s="80">
        <v>50</v>
      </c>
      <c r="B61" s="116">
        <v>321.39999999999998</v>
      </c>
      <c r="C61" s="116">
        <v>163.9</v>
      </c>
      <c r="D61" s="116">
        <v>111.4</v>
      </c>
      <c r="E61" s="116">
        <v>85.2</v>
      </c>
      <c r="F61" s="116">
        <v>69.5</v>
      </c>
      <c r="G61" s="116">
        <v>59.1</v>
      </c>
      <c r="H61" s="116">
        <v>51.7</v>
      </c>
      <c r="I61" s="116">
        <v>46.1</v>
      </c>
      <c r="J61" s="116">
        <v>41.8</v>
      </c>
      <c r="K61" s="116">
        <v>38.4</v>
      </c>
      <c r="L61" s="116">
        <v>35.6</v>
      </c>
      <c r="M61" s="116">
        <v>33.299999999999997</v>
      </c>
      <c r="N61" s="116">
        <v>31.3</v>
      </c>
      <c r="O61" s="116">
        <v>29.7</v>
      </c>
      <c r="P61" s="116">
        <v>28.3</v>
      </c>
      <c r="Q61" s="116">
        <v>27</v>
      </c>
      <c r="R61" s="116"/>
      <c r="S61" s="116"/>
      <c r="T61" s="116"/>
      <c r="U61" s="116"/>
    </row>
    <row r="62" spans="1:21" x14ac:dyDescent="0.25">
      <c r="A62" s="80">
        <v>51</v>
      </c>
      <c r="B62" s="116">
        <v>325.89999999999998</v>
      </c>
      <c r="C62" s="116">
        <v>166.2</v>
      </c>
      <c r="D62" s="116">
        <v>113</v>
      </c>
      <c r="E62" s="116">
        <v>86.5</v>
      </c>
      <c r="F62" s="116">
        <v>70.599999999999994</v>
      </c>
      <c r="G62" s="116">
        <v>60</v>
      </c>
      <c r="H62" s="116">
        <v>52.5</v>
      </c>
      <c r="I62" s="116">
        <v>46.8</v>
      </c>
      <c r="J62" s="116">
        <v>42.5</v>
      </c>
      <c r="K62" s="116">
        <v>39</v>
      </c>
      <c r="L62" s="116">
        <v>36.200000000000003</v>
      </c>
      <c r="M62" s="116">
        <v>33.799999999999997</v>
      </c>
      <c r="N62" s="116">
        <v>31.9</v>
      </c>
      <c r="O62" s="116">
        <v>30.2</v>
      </c>
      <c r="P62" s="116">
        <v>28.8</v>
      </c>
      <c r="Q62" s="116"/>
      <c r="R62" s="116"/>
      <c r="S62" s="116"/>
      <c r="T62" s="116"/>
      <c r="U62" s="116"/>
    </row>
    <row r="63" spans="1:21" x14ac:dyDescent="0.25">
      <c r="A63" s="80">
        <v>52</v>
      </c>
      <c r="B63" s="116">
        <v>330.4</v>
      </c>
      <c r="C63" s="116">
        <v>168.6</v>
      </c>
      <c r="D63" s="116">
        <v>114.7</v>
      </c>
      <c r="E63" s="116">
        <v>87.7</v>
      </c>
      <c r="F63" s="116">
        <v>71.599999999999994</v>
      </c>
      <c r="G63" s="116">
        <v>60.9</v>
      </c>
      <c r="H63" s="116">
        <v>53.3</v>
      </c>
      <c r="I63" s="116">
        <v>47.6</v>
      </c>
      <c r="J63" s="116">
        <v>43.2</v>
      </c>
      <c r="K63" s="116">
        <v>39.700000000000003</v>
      </c>
      <c r="L63" s="116">
        <v>36.799999999999997</v>
      </c>
      <c r="M63" s="116">
        <v>34.4</v>
      </c>
      <c r="N63" s="116">
        <v>32.4</v>
      </c>
      <c r="O63" s="116">
        <v>30.7</v>
      </c>
      <c r="P63" s="116"/>
      <c r="Q63" s="116"/>
      <c r="R63" s="116"/>
      <c r="S63" s="116"/>
      <c r="T63" s="116"/>
      <c r="U63" s="116"/>
    </row>
    <row r="64" spans="1:21" x14ac:dyDescent="0.25">
      <c r="A64" s="80">
        <v>53</v>
      </c>
      <c r="B64" s="116">
        <v>335</v>
      </c>
      <c r="C64" s="116">
        <v>170.9</v>
      </c>
      <c r="D64" s="116">
        <v>116.3</v>
      </c>
      <c r="E64" s="116">
        <v>89</v>
      </c>
      <c r="F64" s="116">
        <v>72.7</v>
      </c>
      <c r="G64" s="116">
        <v>61.8</v>
      </c>
      <c r="H64" s="116">
        <v>54.1</v>
      </c>
      <c r="I64" s="116">
        <v>48.3</v>
      </c>
      <c r="J64" s="116">
        <v>43.9</v>
      </c>
      <c r="K64" s="116">
        <v>40.299999999999997</v>
      </c>
      <c r="L64" s="116">
        <v>37.4</v>
      </c>
      <c r="M64" s="116">
        <v>35</v>
      </c>
      <c r="N64" s="116">
        <v>33</v>
      </c>
      <c r="O64" s="116"/>
      <c r="P64" s="116"/>
      <c r="Q64" s="116"/>
      <c r="R64" s="116"/>
      <c r="S64" s="116"/>
      <c r="T64" s="116"/>
      <c r="U64" s="116"/>
    </row>
    <row r="65" spans="1:21" x14ac:dyDescent="0.25">
      <c r="A65" s="80">
        <v>54</v>
      </c>
      <c r="B65" s="116">
        <v>339.7</v>
      </c>
      <c r="C65" s="116">
        <v>173.4</v>
      </c>
      <c r="D65" s="116">
        <v>118</v>
      </c>
      <c r="E65" s="116">
        <v>90.4</v>
      </c>
      <c r="F65" s="116">
        <v>73.8</v>
      </c>
      <c r="G65" s="116">
        <v>62.8</v>
      </c>
      <c r="H65" s="116">
        <v>55</v>
      </c>
      <c r="I65" s="116">
        <v>49.1</v>
      </c>
      <c r="J65" s="116">
        <v>44.6</v>
      </c>
      <c r="K65" s="116">
        <v>41</v>
      </c>
      <c r="L65" s="116">
        <v>38</v>
      </c>
      <c r="M65" s="116">
        <v>35.6</v>
      </c>
      <c r="N65" s="116"/>
      <c r="O65" s="116"/>
      <c r="P65" s="116"/>
      <c r="Q65" s="116"/>
      <c r="R65" s="116"/>
      <c r="S65" s="116"/>
      <c r="T65" s="116"/>
      <c r="U65" s="116"/>
    </row>
    <row r="66" spans="1:21" x14ac:dyDescent="0.25">
      <c r="A66" s="80">
        <v>55</v>
      </c>
      <c r="B66" s="116">
        <v>344.4</v>
      </c>
      <c r="C66" s="116">
        <v>175.9</v>
      </c>
      <c r="D66" s="116">
        <v>119.7</v>
      </c>
      <c r="E66" s="116">
        <v>91.7</v>
      </c>
      <c r="F66" s="116">
        <v>74.900000000000006</v>
      </c>
      <c r="G66" s="116">
        <v>63.8</v>
      </c>
      <c r="H66" s="116">
        <v>55.8</v>
      </c>
      <c r="I66" s="116">
        <v>49.9</v>
      </c>
      <c r="J66" s="116">
        <v>45.3</v>
      </c>
      <c r="K66" s="116">
        <v>41.7</v>
      </c>
      <c r="L66" s="116">
        <v>38.700000000000003</v>
      </c>
      <c r="M66" s="116"/>
      <c r="N66" s="116"/>
      <c r="O66" s="116"/>
      <c r="P66" s="116"/>
      <c r="Q66" s="116"/>
      <c r="R66" s="116"/>
      <c r="S66" s="116"/>
      <c r="T66" s="116"/>
      <c r="U66" s="116"/>
    </row>
    <row r="67" spans="1:21" x14ac:dyDescent="0.25">
      <c r="A67" s="80">
        <v>56</v>
      </c>
      <c r="B67" s="116">
        <v>349.3</v>
      </c>
      <c r="C67" s="116">
        <v>178.4</v>
      </c>
      <c r="D67" s="116">
        <v>121.5</v>
      </c>
      <c r="E67" s="116">
        <v>93.1</v>
      </c>
      <c r="F67" s="116">
        <v>76.099999999999994</v>
      </c>
      <c r="G67" s="116">
        <v>64.8</v>
      </c>
      <c r="H67" s="116">
        <v>56.7</v>
      </c>
      <c r="I67" s="116">
        <v>50.7</v>
      </c>
      <c r="J67" s="116">
        <v>46.1</v>
      </c>
      <c r="K67" s="116">
        <v>42.4</v>
      </c>
      <c r="L67" s="116"/>
      <c r="M67" s="116"/>
      <c r="N67" s="116"/>
      <c r="O67" s="116"/>
      <c r="P67" s="116"/>
      <c r="Q67" s="116"/>
      <c r="R67" s="116"/>
      <c r="S67" s="116"/>
      <c r="T67" s="116"/>
      <c r="U67" s="116"/>
    </row>
    <row r="68" spans="1:21" x14ac:dyDescent="0.25">
      <c r="A68" s="80">
        <v>57</v>
      </c>
      <c r="B68" s="116">
        <v>354.2</v>
      </c>
      <c r="C68" s="116">
        <v>181</v>
      </c>
      <c r="D68" s="116">
        <v>123.3</v>
      </c>
      <c r="E68" s="116">
        <v>94.5</v>
      </c>
      <c r="F68" s="116">
        <v>77.3</v>
      </c>
      <c r="G68" s="116">
        <v>65.8</v>
      </c>
      <c r="H68" s="116">
        <v>57.6</v>
      </c>
      <c r="I68" s="116">
        <v>51.6</v>
      </c>
      <c r="J68" s="116">
        <v>46.9</v>
      </c>
      <c r="K68" s="116"/>
      <c r="L68" s="116"/>
      <c r="M68" s="116"/>
      <c r="N68" s="116"/>
      <c r="O68" s="116"/>
      <c r="P68" s="116"/>
      <c r="Q68" s="116"/>
      <c r="R68" s="116"/>
      <c r="S68" s="116"/>
      <c r="T68" s="116"/>
      <c r="U68" s="116"/>
    </row>
    <row r="69" spans="1:21" x14ac:dyDescent="0.25">
      <c r="A69" s="80">
        <v>58</v>
      </c>
      <c r="B69" s="116">
        <v>359.3</v>
      </c>
      <c r="C69" s="116">
        <v>183.6</v>
      </c>
      <c r="D69" s="116">
        <v>125.2</v>
      </c>
      <c r="E69" s="116">
        <v>96</v>
      </c>
      <c r="F69" s="116">
        <v>78.5</v>
      </c>
      <c r="G69" s="116">
        <v>66.900000000000006</v>
      </c>
      <c r="H69" s="116">
        <v>58.6</v>
      </c>
      <c r="I69" s="116">
        <v>52.4</v>
      </c>
      <c r="J69" s="116"/>
      <c r="K69" s="116"/>
      <c r="L69" s="116"/>
      <c r="M69" s="116"/>
      <c r="N69" s="116"/>
      <c r="O69" s="116"/>
      <c r="P69" s="116"/>
      <c r="Q69" s="116"/>
      <c r="R69" s="116"/>
      <c r="S69" s="116"/>
      <c r="T69" s="116"/>
      <c r="U69" s="116"/>
    </row>
    <row r="70" spans="1:21" x14ac:dyDescent="0.25">
      <c r="A70" s="80">
        <v>59</v>
      </c>
      <c r="B70" s="116">
        <v>364.6</v>
      </c>
      <c r="C70" s="116">
        <v>186.4</v>
      </c>
      <c r="D70" s="116">
        <v>127.1</v>
      </c>
      <c r="E70" s="116">
        <v>97.5</v>
      </c>
      <c r="F70" s="116">
        <v>79.7</v>
      </c>
      <c r="G70" s="116">
        <v>67.900000000000006</v>
      </c>
      <c r="H70" s="116">
        <v>59.6</v>
      </c>
      <c r="I70" s="116"/>
      <c r="J70" s="116"/>
      <c r="K70" s="116"/>
      <c r="L70" s="116"/>
      <c r="M70" s="116"/>
      <c r="N70" s="116"/>
      <c r="O70" s="116"/>
      <c r="P70" s="116"/>
      <c r="Q70" s="116"/>
      <c r="R70" s="116"/>
      <c r="S70" s="116"/>
      <c r="T70" s="116"/>
      <c r="U70" s="116"/>
    </row>
    <row r="71" spans="1:21" x14ac:dyDescent="0.25">
      <c r="A71" s="80">
        <v>60</v>
      </c>
      <c r="B71" s="116">
        <v>370.1</v>
      </c>
      <c r="C71" s="116">
        <v>189.3</v>
      </c>
      <c r="D71" s="116">
        <v>129.1</v>
      </c>
      <c r="E71" s="116">
        <v>99</v>
      </c>
      <c r="F71" s="116">
        <v>81</v>
      </c>
      <c r="G71" s="116">
        <v>69.099999999999994</v>
      </c>
      <c r="H71" s="116"/>
      <c r="I71" s="116"/>
      <c r="J71" s="116"/>
      <c r="K71" s="116"/>
      <c r="L71" s="116"/>
      <c r="M71" s="116"/>
      <c r="N71" s="116"/>
      <c r="O71" s="116"/>
      <c r="P71" s="116"/>
      <c r="Q71" s="116"/>
      <c r="R71" s="116"/>
      <c r="S71" s="116"/>
      <c r="T71" s="116"/>
      <c r="U71" s="116"/>
    </row>
    <row r="72" spans="1:21" x14ac:dyDescent="0.25">
      <c r="A72" s="80">
        <v>61</v>
      </c>
      <c r="B72" s="116">
        <v>375.8</v>
      </c>
      <c r="C72" s="116">
        <v>192.2</v>
      </c>
      <c r="D72" s="116">
        <v>131.1</v>
      </c>
      <c r="E72" s="116">
        <v>100.6</v>
      </c>
      <c r="F72" s="116">
        <v>82.4</v>
      </c>
      <c r="G72" s="116"/>
      <c r="H72" s="116"/>
      <c r="I72" s="116"/>
      <c r="J72" s="116"/>
      <c r="K72" s="116"/>
      <c r="L72" s="116"/>
      <c r="M72" s="116"/>
      <c r="N72" s="116"/>
      <c r="O72" s="116"/>
      <c r="P72" s="116"/>
      <c r="Q72" s="116"/>
      <c r="R72" s="116"/>
      <c r="S72" s="116"/>
      <c r="T72" s="116"/>
      <c r="U72" s="116"/>
    </row>
    <row r="73" spans="1:21" x14ac:dyDescent="0.25">
      <c r="A73" s="80">
        <v>62</v>
      </c>
      <c r="B73" s="116">
        <v>381.7</v>
      </c>
      <c r="C73" s="116">
        <v>195.3</v>
      </c>
      <c r="D73" s="116">
        <v>133.30000000000001</v>
      </c>
      <c r="E73" s="116">
        <v>102.4</v>
      </c>
      <c r="F73" s="116"/>
      <c r="G73" s="116"/>
      <c r="H73" s="116"/>
      <c r="I73" s="116"/>
      <c r="J73" s="116"/>
      <c r="K73" s="116"/>
      <c r="L73" s="116"/>
      <c r="M73" s="116"/>
      <c r="N73" s="116"/>
      <c r="O73" s="116"/>
      <c r="P73" s="116"/>
      <c r="Q73" s="116"/>
      <c r="R73" s="116"/>
      <c r="S73" s="116"/>
      <c r="T73" s="116"/>
      <c r="U73" s="116"/>
    </row>
    <row r="74" spans="1:21" x14ac:dyDescent="0.25">
      <c r="A74" s="80">
        <v>63</v>
      </c>
      <c r="B74" s="116">
        <v>387.9</v>
      </c>
      <c r="C74" s="116">
        <v>198.6</v>
      </c>
      <c r="D74" s="116">
        <v>135.6</v>
      </c>
      <c r="E74" s="116"/>
      <c r="F74" s="116"/>
      <c r="G74" s="116"/>
      <c r="H74" s="116"/>
      <c r="I74" s="116"/>
      <c r="J74" s="116"/>
      <c r="K74" s="116"/>
      <c r="L74" s="116"/>
      <c r="M74" s="116"/>
      <c r="N74" s="116"/>
      <c r="O74" s="116"/>
      <c r="P74" s="116"/>
      <c r="Q74" s="116"/>
      <c r="R74" s="116"/>
      <c r="S74" s="116"/>
      <c r="T74" s="116"/>
      <c r="U74" s="116"/>
    </row>
    <row r="75" spans="1:21" x14ac:dyDescent="0.25">
      <c r="A75" s="80">
        <v>64</v>
      </c>
      <c r="B75" s="116">
        <v>394.4</v>
      </c>
      <c r="C75" s="116">
        <v>202</v>
      </c>
      <c r="D75" s="116"/>
      <c r="E75" s="116"/>
      <c r="F75" s="116"/>
      <c r="G75" s="116"/>
      <c r="H75" s="116"/>
      <c r="I75" s="116"/>
      <c r="J75" s="116"/>
      <c r="K75" s="116"/>
      <c r="L75" s="116"/>
      <c r="M75" s="116"/>
      <c r="N75" s="116"/>
      <c r="O75" s="116"/>
      <c r="P75" s="116"/>
      <c r="Q75" s="116"/>
      <c r="R75" s="116"/>
      <c r="S75" s="116"/>
      <c r="T75" s="116"/>
      <c r="U75" s="116"/>
    </row>
    <row r="76" spans="1:21" x14ac:dyDescent="0.25">
      <c r="A76" s="80">
        <v>65</v>
      </c>
      <c r="B76" s="116">
        <v>401.2</v>
      </c>
      <c r="C76" s="116"/>
      <c r="D76" s="116"/>
      <c r="E76" s="116"/>
      <c r="F76" s="116"/>
      <c r="G76" s="116"/>
      <c r="H76" s="116"/>
      <c r="I76" s="116"/>
      <c r="J76" s="116"/>
      <c r="K76" s="116"/>
      <c r="L76" s="116"/>
      <c r="M76" s="116"/>
      <c r="N76" s="116"/>
      <c r="O76" s="116"/>
      <c r="P76" s="116"/>
      <c r="Q76" s="116"/>
      <c r="R76" s="116"/>
      <c r="S76" s="116"/>
      <c r="T76" s="116"/>
      <c r="U76" s="116"/>
    </row>
    <row r="129" spans="22:22" x14ac:dyDescent="0.25">
      <c r="V129" s="26" t="b">
        <f t="shared" ref="V129" si="0">V78=V27</f>
        <v>1</v>
      </c>
    </row>
    <row r="130" spans="22:22" x14ac:dyDescent="0.25">
      <c r="V130" s="26" t="b">
        <f t="shared" ref="V130" si="1">V79=V28</f>
        <v>1</v>
      </c>
    </row>
    <row r="131" spans="22:22" x14ac:dyDescent="0.25">
      <c r="V131" s="26" t="b">
        <f t="shared" ref="V131" si="2">V80=V29</f>
        <v>1</v>
      </c>
    </row>
    <row r="132" spans="22:22" x14ac:dyDescent="0.25">
      <c r="V132" s="26" t="b">
        <f t="shared" ref="V132" si="3">V81=V30</f>
        <v>1</v>
      </c>
    </row>
    <row r="133" spans="22:22" x14ac:dyDescent="0.25">
      <c r="V133" s="26" t="b">
        <f t="shared" ref="V133" si="4">V82=V31</f>
        <v>1</v>
      </c>
    </row>
    <row r="134" spans="22:22" x14ac:dyDescent="0.25">
      <c r="V134" s="26" t="b">
        <f t="shared" ref="V134" si="5">V83=V32</f>
        <v>1</v>
      </c>
    </row>
    <row r="135" spans="22:22" x14ac:dyDescent="0.25">
      <c r="V135" s="26" t="b">
        <f t="shared" ref="V135" si="6">V84=V33</f>
        <v>1</v>
      </c>
    </row>
    <row r="136" spans="22:22" x14ac:dyDescent="0.25">
      <c r="V136" s="26" t="b">
        <f t="shared" ref="V136" si="7">V85=V34</f>
        <v>1</v>
      </c>
    </row>
    <row r="137" spans="22:22" x14ac:dyDescent="0.25">
      <c r="V137" s="26" t="b">
        <f t="shared" ref="V137" si="8">V86=V35</f>
        <v>1</v>
      </c>
    </row>
    <row r="138" spans="22:22" x14ac:dyDescent="0.25">
      <c r="V138" s="26" t="b">
        <f t="shared" ref="V138" si="9">V87=V36</f>
        <v>1</v>
      </c>
    </row>
    <row r="139" spans="22:22" x14ac:dyDescent="0.25">
      <c r="V139" s="26" t="b">
        <f t="shared" ref="V139" si="10">V88=V37</f>
        <v>1</v>
      </c>
    </row>
    <row r="140" spans="22:22" x14ac:dyDescent="0.25">
      <c r="V140" s="26" t="b">
        <f t="shared" ref="V140" si="11">V89=V38</f>
        <v>1</v>
      </c>
    </row>
    <row r="141" spans="22:22" x14ac:dyDescent="0.25">
      <c r="V141" s="26" t="b">
        <f t="shared" ref="V141" si="12">V90=V39</f>
        <v>1</v>
      </c>
    </row>
    <row r="142" spans="22:22" x14ac:dyDescent="0.25">
      <c r="V142" s="26" t="b">
        <f t="shared" ref="V142" si="13">V91=V40</f>
        <v>1</v>
      </c>
    </row>
    <row r="143" spans="22:22" x14ac:dyDescent="0.25">
      <c r="V143" s="26" t="b">
        <f t="shared" ref="V143" si="14">V92=V41</f>
        <v>1</v>
      </c>
    </row>
    <row r="144" spans="22:22" x14ac:dyDescent="0.25">
      <c r="V144" s="26" t="b">
        <f t="shared" ref="V144" si="15">V93=V42</f>
        <v>1</v>
      </c>
    </row>
    <row r="145" spans="22:22" x14ac:dyDescent="0.25">
      <c r="V145" s="26" t="b">
        <f t="shared" ref="V145" si="16">V94=V43</f>
        <v>1</v>
      </c>
    </row>
    <row r="146" spans="22:22" x14ac:dyDescent="0.25">
      <c r="V146" s="26" t="b">
        <f t="shared" ref="V146" si="17">V95=V44</f>
        <v>1</v>
      </c>
    </row>
    <row r="147" spans="22:22" x14ac:dyDescent="0.25">
      <c r="V147" s="26" t="b">
        <f t="shared" ref="V147" si="18">V96=V45</f>
        <v>1</v>
      </c>
    </row>
    <row r="148" spans="22:22" x14ac:dyDescent="0.25">
      <c r="V148" s="26" t="b">
        <f t="shared" ref="V148" si="19">V97=V46</f>
        <v>1</v>
      </c>
    </row>
    <row r="149" spans="22:22" x14ac:dyDescent="0.25">
      <c r="V149" s="26" t="b">
        <f t="shared" ref="V149" si="20">V98=V47</f>
        <v>1</v>
      </c>
    </row>
    <row r="150" spans="22:22" x14ac:dyDescent="0.25">
      <c r="V150" s="26" t="b">
        <f t="shared" ref="V150" si="21">V99=V48</f>
        <v>1</v>
      </c>
    </row>
    <row r="151" spans="22:22" x14ac:dyDescent="0.25">
      <c r="V151" s="26" t="b">
        <f t="shared" ref="V151" si="22">V100=V49</f>
        <v>1</v>
      </c>
    </row>
    <row r="152" spans="22:22" x14ac:dyDescent="0.25">
      <c r="V152" s="26" t="b">
        <f t="shared" ref="V152" si="23">V101=V50</f>
        <v>1</v>
      </c>
    </row>
    <row r="153" spans="22:22" x14ac:dyDescent="0.25">
      <c r="V153" s="26" t="b">
        <f t="shared" ref="V153" si="24">V102=V51</f>
        <v>1</v>
      </c>
    </row>
    <row r="154" spans="22:22" x14ac:dyDescent="0.25">
      <c r="V154" s="26" t="b">
        <f t="shared" ref="V154" si="25">V103=V52</f>
        <v>1</v>
      </c>
    </row>
    <row r="155" spans="22:22" x14ac:dyDescent="0.25">
      <c r="V155" s="26" t="b">
        <f t="shared" ref="V155" si="26">V104=V53</f>
        <v>1</v>
      </c>
    </row>
    <row r="156" spans="22:22" x14ac:dyDescent="0.25">
      <c r="V156" s="26" t="b">
        <f t="shared" ref="V156" si="27">V105=V54</f>
        <v>1</v>
      </c>
    </row>
    <row r="157" spans="22:22" x14ac:dyDescent="0.25">
      <c r="V157" s="26" t="b">
        <f t="shared" ref="V157" si="28">V106=V55</f>
        <v>1</v>
      </c>
    </row>
    <row r="158" spans="22:22" x14ac:dyDescent="0.25">
      <c r="V158" s="26" t="b">
        <f t="shared" ref="V158" si="29">V107=V56</f>
        <v>1</v>
      </c>
    </row>
    <row r="159" spans="22:22" x14ac:dyDescent="0.25">
      <c r="V159" s="26" t="b">
        <f t="shared" ref="V159" si="30">V108=V57</f>
        <v>1</v>
      </c>
    </row>
    <row r="160" spans="22:22" x14ac:dyDescent="0.25">
      <c r="V160" s="26" t="b">
        <f t="shared" ref="V160" si="31">V109=V58</f>
        <v>1</v>
      </c>
    </row>
    <row r="161" spans="22:22" x14ac:dyDescent="0.25">
      <c r="V161" s="26" t="b">
        <f t="shared" ref="V161" si="32">V110=V59</f>
        <v>1</v>
      </c>
    </row>
    <row r="162" spans="22:22" x14ac:dyDescent="0.25">
      <c r="V162" s="26" t="b">
        <f t="shared" ref="V162" si="33">V111=V60</f>
        <v>1</v>
      </c>
    </row>
    <row r="163" spans="22:22" x14ac:dyDescent="0.25">
      <c r="V163" s="26" t="b">
        <f t="shared" ref="V163" si="34">V112=V61</f>
        <v>1</v>
      </c>
    </row>
    <row r="164" spans="22:22" x14ac:dyDescent="0.25">
      <c r="V164" s="26" t="b">
        <f t="shared" ref="V164" si="35">V113=V62</f>
        <v>1</v>
      </c>
    </row>
    <row r="165" spans="22:22" x14ac:dyDescent="0.25">
      <c r="V165" s="26" t="b">
        <f t="shared" ref="V165" si="36">V114=V63</f>
        <v>1</v>
      </c>
    </row>
    <row r="166" spans="22:22" x14ac:dyDescent="0.25">
      <c r="V166" s="26" t="b">
        <f t="shared" ref="V166" si="37">V115=V64</f>
        <v>1</v>
      </c>
    </row>
    <row r="167" spans="22:22" x14ac:dyDescent="0.25">
      <c r="V167" s="26" t="b">
        <f t="shared" ref="V167" si="38">V116=V65</f>
        <v>1</v>
      </c>
    </row>
    <row r="168" spans="22:22" x14ac:dyDescent="0.25">
      <c r="V168" s="26" t="b">
        <f t="shared" ref="V168" si="39">V117=V66</f>
        <v>1</v>
      </c>
    </row>
    <row r="169" spans="22:22" x14ac:dyDescent="0.25">
      <c r="V169" s="26" t="b">
        <f t="shared" ref="V169" si="40">V118=V67</f>
        <v>1</v>
      </c>
    </row>
    <row r="170" spans="22:22" x14ac:dyDescent="0.25">
      <c r="V170" s="26" t="b">
        <f t="shared" ref="V170" si="41">V119=V68</f>
        <v>1</v>
      </c>
    </row>
    <row r="171" spans="22:22" x14ac:dyDescent="0.25">
      <c r="V171" s="26" t="b">
        <f t="shared" ref="V171" si="42">V120=V69</f>
        <v>1</v>
      </c>
    </row>
    <row r="172" spans="22:22" x14ac:dyDescent="0.25">
      <c r="V172" s="26" t="b">
        <f t="shared" ref="V172" si="43">V121=V70</f>
        <v>1</v>
      </c>
    </row>
    <row r="173" spans="22:22" x14ac:dyDescent="0.25">
      <c r="V173" s="26" t="b">
        <f t="shared" ref="V173" si="44">V122=V71</f>
        <v>1</v>
      </c>
    </row>
    <row r="174" spans="22:22" x14ac:dyDescent="0.25">
      <c r="V174" s="26" t="b">
        <f t="shared" ref="V174" si="45">V123=V72</f>
        <v>1</v>
      </c>
    </row>
    <row r="175" spans="22:22" x14ac:dyDescent="0.25">
      <c r="V175" s="26" t="b">
        <f t="shared" ref="V175" si="46">V124=V73</f>
        <v>1</v>
      </c>
    </row>
    <row r="176" spans="22:22" x14ac:dyDescent="0.25">
      <c r="V176" s="26" t="b">
        <f t="shared" ref="V176" si="47">V125=V74</f>
        <v>1</v>
      </c>
    </row>
    <row r="177" spans="22:22" x14ac:dyDescent="0.25">
      <c r="V177" s="26" t="b">
        <f t="shared" ref="V177" si="48">V126=V75</f>
        <v>1</v>
      </c>
    </row>
    <row r="178" spans="22:22" x14ac:dyDescent="0.25">
      <c r="V178" s="26" t="b">
        <f t="shared" ref="V178" si="49">V127=V76</f>
        <v>1</v>
      </c>
    </row>
  </sheetData>
  <sheetProtection algorithmName="SHA-512" hashValue="6BSNY/XR8TrVAVEVdSRr2ypZLzyhQzkNZAf6m4TF1qdeRrF1gq74/+uVI7iBk05Tt6peBqucliRyfGk4DnWeyg==" saltValue="9QuBPJNvaaqnxrU6murO/A==" spinCount="100000" sheet="1" objects="1" scenarios="1"/>
  <conditionalFormatting sqref="A6:A21">
    <cfRule type="expression" dxfId="319" priority="9" stopIfTrue="1">
      <formula>MOD(ROW(),2)=0</formula>
    </cfRule>
    <cfRule type="expression" dxfId="318" priority="10" stopIfTrue="1">
      <formula>MOD(ROW(),2)&lt;&gt;0</formula>
    </cfRule>
  </conditionalFormatting>
  <conditionalFormatting sqref="A26:A76">
    <cfRule type="expression" dxfId="317" priority="11" stopIfTrue="1">
      <formula>MOD(ROW(),2)=0</formula>
    </cfRule>
    <cfRule type="expression" dxfId="316" priority="12" stopIfTrue="1">
      <formula>MOD(ROW(),2)&lt;&gt;0</formula>
    </cfRule>
  </conditionalFormatting>
  <conditionalFormatting sqref="B17:B21">
    <cfRule type="expression" dxfId="315" priority="1" stopIfTrue="1">
      <formula>MOD(ROW(),2)=0</formula>
    </cfRule>
    <cfRule type="expression" dxfId="314" priority="2" stopIfTrue="1">
      <formula>MOD(ROW(),2)&lt;&gt;0</formula>
    </cfRule>
  </conditionalFormatting>
  <conditionalFormatting sqref="B6:U21">
    <cfRule type="expression" dxfId="313" priority="17" stopIfTrue="1">
      <formula>MOD(ROW(),2)=0</formula>
    </cfRule>
    <cfRule type="expression" dxfId="312" priority="18" stopIfTrue="1">
      <formula>MOD(ROW(),2)&lt;&gt;0</formula>
    </cfRule>
  </conditionalFormatting>
  <conditionalFormatting sqref="B26:U76">
    <cfRule type="expression" dxfId="311" priority="13" stopIfTrue="1">
      <formula>MOD(ROW(),2)=0</formula>
    </cfRule>
    <cfRule type="expression" dxfId="310" priority="14" stopIfTrue="1">
      <formula>MOD(ROW(),2)&lt;&gt;0</formula>
    </cfRule>
  </conditionalFormatting>
  <hyperlinks>
    <hyperlink ref="B24" location="Assumptions!A1" display="Assumptions" xr:uid="{85F6C699-A681-4862-A4A5-A45C8BCD486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C9CE-8726-4488-A2FB-8A0A4274EDB9}">
  <sheetPr codeName="Sheet103"/>
  <dimension ref="A1:U77"/>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x-718</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73</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597</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0</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718</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598</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599</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190.7</v>
      </c>
      <c r="C27" s="116">
        <v>97.1</v>
      </c>
      <c r="D27" s="116">
        <v>65.900000000000006</v>
      </c>
      <c r="E27" s="116">
        <v>50.4</v>
      </c>
      <c r="F27" s="116">
        <v>41</v>
      </c>
      <c r="G27" s="116">
        <v>34.799999999999997</v>
      </c>
      <c r="H27" s="116">
        <v>30.4</v>
      </c>
      <c r="I27" s="116">
        <v>27</v>
      </c>
      <c r="J27" s="116">
        <v>24.5</v>
      </c>
      <c r="K27" s="116">
        <v>22.4</v>
      </c>
      <c r="L27" s="116">
        <v>20.7</v>
      </c>
      <c r="M27" s="116">
        <v>19.3</v>
      </c>
      <c r="N27" s="116">
        <v>18.100000000000001</v>
      </c>
      <c r="O27" s="116">
        <v>17.100000000000001</v>
      </c>
      <c r="P27" s="116">
        <v>16.3</v>
      </c>
      <c r="Q27" s="116">
        <v>15.5</v>
      </c>
      <c r="R27" s="116">
        <v>14.8</v>
      </c>
      <c r="S27" s="116">
        <v>14.2</v>
      </c>
      <c r="T27" s="116">
        <v>13.7</v>
      </c>
      <c r="U27" s="116">
        <v>13.2</v>
      </c>
    </row>
    <row r="28" spans="1:21" x14ac:dyDescent="0.25">
      <c r="A28" s="80">
        <v>17</v>
      </c>
      <c r="B28" s="116">
        <v>193.8</v>
      </c>
      <c r="C28" s="116">
        <v>98.7</v>
      </c>
      <c r="D28" s="116">
        <v>67</v>
      </c>
      <c r="E28" s="116">
        <v>51.2</v>
      </c>
      <c r="F28" s="116">
        <v>41.7</v>
      </c>
      <c r="G28" s="116">
        <v>35.4</v>
      </c>
      <c r="H28" s="116">
        <v>30.8</v>
      </c>
      <c r="I28" s="116">
        <v>27.5</v>
      </c>
      <c r="J28" s="116">
        <v>24.8</v>
      </c>
      <c r="K28" s="116">
        <v>22.8</v>
      </c>
      <c r="L28" s="116">
        <v>21.1</v>
      </c>
      <c r="M28" s="116">
        <v>19.600000000000001</v>
      </c>
      <c r="N28" s="116">
        <v>18.399999999999999</v>
      </c>
      <c r="O28" s="116">
        <v>17.399999999999999</v>
      </c>
      <c r="P28" s="116">
        <v>16.5</v>
      </c>
      <c r="Q28" s="116">
        <v>15.8</v>
      </c>
      <c r="R28" s="116">
        <v>15.1</v>
      </c>
      <c r="S28" s="116">
        <v>14.5</v>
      </c>
      <c r="T28" s="116">
        <v>13.9</v>
      </c>
      <c r="U28" s="116">
        <v>13.5</v>
      </c>
    </row>
    <row r="29" spans="1:21" x14ac:dyDescent="0.25">
      <c r="A29" s="80">
        <v>18</v>
      </c>
      <c r="B29" s="116">
        <v>197</v>
      </c>
      <c r="C29" s="116">
        <v>100.3</v>
      </c>
      <c r="D29" s="116">
        <v>68.099999999999994</v>
      </c>
      <c r="E29" s="116">
        <v>52</v>
      </c>
      <c r="F29" s="116">
        <v>42.4</v>
      </c>
      <c r="G29" s="116">
        <v>35.9</v>
      </c>
      <c r="H29" s="116">
        <v>31.4</v>
      </c>
      <c r="I29" s="116">
        <v>27.9</v>
      </c>
      <c r="J29" s="116">
        <v>25.3</v>
      </c>
      <c r="K29" s="116">
        <v>23.1</v>
      </c>
      <c r="L29" s="116">
        <v>21.4</v>
      </c>
      <c r="M29" s="116">
        <v>20</v>
      </c>
      <c r="N29" s="116">
        <v>18.7</v>
      </c>
      <c r="O29" s="116">
        <v>17.7</v>
      </c>
      <c r="P29" s="116">
        <v>16.8</v>
      </c>
      <c r="Q29" s="116">
        <v>16</v>
      </c>
      <c r="R29" s="116">
        <v>15.3</v>
      </c>
      <c r="S29" s="116">
        <v>14.7</v>
      </c>
      <c r="T29" s="116">
        <v>14.2</v>
      </c>
      <c r="U29" s="116">
        <v>13.7</v>
      </c>
    </row>
    <row r="30" spans="1:21" x14ac:dyDescent="0.25">
      <c r="A30" s="80">
        <v>19</v>
      </c>
      <c r="B30" s="116">
        <v>200.2</v>
      </c>
      <c r="C30" s="116">
        <v>101.9</v>
      </c>
      <c r="D30" s="116">
        <v>69.2</v>
      </c>
      <c r="E30" s="116">
        <v>52.9</v>
      </c>
      <c r="F30" s="116">
        <v>43</v>
      </c>
      <c r="G30" s="116">
        <v>36.5</v>
      </c>
      <c r="H30" s="116">
        <v>31.9</v>
      </c>
      <c r="I30" s="116">
        <v>28.4</v>
      </c>
      <c r="J30" s="116">
        <v>25.7</v>
      </c>
      <c r="K30" s="116">
        <v>23.5</v>
      </c>
      <c r="L30" s="116">
        <v>21.7</v>
      </c>
      <c r="M30" s="116">
        <v>20.3</v>
      </c>
      <c r="N30" s="116">
        <v>19</v>
      </c>
      <c r="O30" s="116">
        <v>18</v>
      </c>
      <c r="P30" s="116">
        <v>17.100000000000001</v>
      </c>
      <c r="Q30" s="116">
        <v>16.3</v>
      </c>
      <c r="R30" s="116">
        <v>15.6</v>
      </c>
      <c r="S30" s="116">
        <v>15</v>
      </c>
      <c r="T30" s="116">
        <v>14.4</v>
      </c>
      <c r="U30" s="116">
        <v>13.9</v>
      </c>
    </row>
    <row r="31" spans="1:21" x14ac:dyDescent="0.25">
      <c r="A31" s="80">
        <v>20</v>
      </c>
      <c r="B31" s="116">
        <v>203</v>
      </c>
      <c r="C31" s="116">
        <v>103.4</v>
      </c>
      <c r="D31" s="116">
        <v>70.2</v>
      </c>
      <c r="E31" s="116">
        <v>53.6</v>
      </c>
      <c r="F31" s="116">
        <v>43.7</v>
      </c>
      <c r="G31" s="116">
        <v>37</v>
      </c>
      <c r="H31" s="116">
        <v>32.299999999999997</v>
      </c>
      <c r="I31" s="116">
        <v>28.8</v>
      </c>
      <c r="J31" s="116">
        <v>26</v>
      </c>
      <c r="K31" s="116">
        <v>23.8</v>
      </c>
      <c r="L31" s="116">
        <v>22.1</v>
      </c>
      <c r="M31" s="116">
        <v>20.6</v>
      </c>
      <c r="N31" s="116">
        <v>19.3</v>
      </c>
      <c r="O31" s="116">
        <v>18.2</v>
      </c>
      <c r="P31" s="116">
        <v>17.3</v>
      </c>
      <c r="Q31" s="116">
        <v>16.5</v>
      </c>
      <c r="R31" s="116">
        <v>15.8</v>
      </c>
      <c r="S31" s="116">
        <v>15.2</v>
      </c>
      <c r="T31" s="116">
        <v>14.6</v>
      </c>
      <c r="U31" s="116">
        <v>14.1</v>
      </c>
    </row>
    <row r="32" spans="1:21" x14ac:dyDescent="0.25">
      <c r="A32" s="80">
        <v>21</v>
      </c>
      <c r="B32" s="116">
        <v>205.9</v>
      </c>
      <c r="C32" s="116">
        <v>104.9</v>
      </c>
      <c r="D32" s="116">
        <v>71.2</v>
      </c>
      <c r="E32" s="116">
        <v>54.4</v>
      </c>
      <c r="F32" s="116">
        <v>44.3</v>
      </c>
      <c r="G32" s="116">
        <v>37.6</v>
      </c>
      <c r="H32" s="116">
        <v>32.799999999999997</v>
      </c>
      <c r="I32" s="116">
        <v>29.2</v>
      </c>
      <c r="J32" s="116">
        <v>26.4</v>
      </c>
      <c r="K32" s="116">
        <v>24.2</v>
      </c>
      <c r="L32" s="116">
        <v>22.4</v>
      </c>
      <c r="M32" s="116">
        <v>20.9</v>
      </c>
      <c r="N32" s="116">
        <v>19.600000000000001</v>
      </c>
      <c r="O32" s="116">
        <v>18.5</v>
      </c>
      <c r="P32" s="116">
        <v>17.600000000000001</v>
      </c>
      <c r="Q32" s="116">
        <v>16.7</v>
      </c>
      <c r="R32" s="116">
        <v>16</v>
      </c>
      <c r="S32" s="116">
        <v>15.4</v>
      </c>
      <c r="T32" s="116">
        <v>14.8</v>
      </c>
      <c r="U32" s="116">
        <v>14.3</v>
      </c>
    </row>
    <row r="33" spans="1:21" x14ac:dyDescent="0.25">
      <c r="A33" s="80">
        <v>22</v>
      </c>
      <c r="B33" s="116">
        <v>208.8</v>
      </c>
      <c r="C33" s="116">
        <v>106.4</v>
      </c>
      <c r="D33" s="116">
        <v>72.2</v>
      </c>
      <c r="E33" s="116">
        <v>55.1</v>
      </c>
      <c r="F33" s="116">
        <v>44.9</v>
      </c>
      <c r="G33" s="116">
        <v>38.1</v>
      </c>
      <c r="H33" s="116">
        <v>33.200000000000003</v>
      </c>
      <c r="I33" s="116">
        <v>29.6</v>
      </c>
      <c r="J33" s="116">
        <v>26.8</v>
      </c>
      <c r="K33" s="116">
        <v>24.5</v>
      </c>
      <c r="L33" s="116">
        <v>22.7</v>
      </c>
      <c r="M33" s="116">
        <v>21.2</v>
      </c>
      <c r="N33" s="116">
        <v>19.899999999999999</v>
      </c>
      <c r="O33" s="116">
        <v>18.8</v>
      </c>
      <c r="P33" s="116">
        <v>17.8</v>
      </c>
      <c r="Q33" s="116">
        <v>17</v>
      </c>
      <c r="R33" s="116">
        <v>16.3</v>
      </c>
      <c r="S33" s="116">
        <v>15.6</v>
      </c>
      <c r="T33" s="116">
        <v>15</v>
      </c>
      <c r="U33" s="116">
        <v>14.5</v>
      </c>
    </row>
    <row r="34" spans="1:21" x14ac:dyDescent="0.25">
      <c r="A34" s="80">
        <v>23</v>
      </c>
      <c r="B34" s="116">
        <v>211.8</v>
      </c>
      <c r="C34" s="116">
        <v>107.9</v>
      </c>
      <c r="D34" s="116">
        <v>73.2</v>
      </c>
      <c r="E34" s="116">
        <v>55.9</v>
      </c>
      <c r="F34" s="116">
        <v>45.6</v>
      </c>
      <c r="G34" s="116">
        <v>38.6</v>
      </c>
      <c r="H34" s="116">
        <v>33.700000000000003</v>
      </c>
      <c r="I34" s="116">
        <v>30</v>
      </c>
      <c r="J34" s="116">
        <v>27.2</v>
      </c>
      <c r="K34" s="116">
        <v>24.9</v>
      </c>
      <c r="L34" s="116">
        <v>23</v>
      </c>
      <c r="M34" s="116">
        <v>21.5</v>
      </c>
      <c r="N34" s="116">
        <v>20.2</v>
      </c>
      <c r="O34" s="116">
        <v>19</v>
      </c>
      <c r="P34" s="116">
        <v>18.100000000000001</v>
      </c>
      <c r="Q34" s="116">
        <v>17.2</v>
      </c>
      <c r="R34" s="116">
        <v>16.5</v>
      </c>
      <c r="S34" s="116">
        <v>15.8</v>
      </c>
      <c r="T34" s="116">
        <v>15.3</v>
      </c>
      <c r="U34" s="116">
        <v>14.7</v>
      </c>
    </row>
    <row r="35" spans="1:21" x14ac:dyDescent="0.25">
      <c r="A35" s="80">
        <v>24</v>
      </c>
      <c r="B35" s="116">
        <v>214.8</v>
      </c>
      <c r="C35" s="116">
        <v>109.4</v>
      </c>
      <c r="D35" s="116">
        <v>74.3</v>
      </c>
      <c r="E35" s="116">
        <v>56.7</v>
      </c>
      <c r="F35" s="116">
        <v>46.2</v>
      </c>
      <c r="G35" s="116">
        <v>39.200000000000003</v>
      </c>
      <c r="H35" s="116">
        <v>34.200000000000003</v>
      </c>
      <c r="I35" s="116">
        <v>30.5</v>
      </c>
      <c r="J35" s="116">
        <v>27.6</v>
      </c>
      <c r="K35" s="116">
        <v>25.2</v>
      </c>
      <c r="L35" s="116">
        <v>23.3</v>
      </c>
      <c r="M35" s="116">
        <v>21.8</v>
      </c>
      <c r="N35" s="116">
        <v>20.399999999999999</v>
      </c>
      <c r="O35" s="116">
        <v>19.3</v>
      </c>
      <c r="P35" s="116">
        <v>18.3</v>
      </c>
      <c r="Q35" s="116">
        <v>17.5</v>
      </c>
      <c r="R35" s="116">
        <v>16.7</v>
      </c>
      <c r="S35" s="116">
        <v>16.100000000000001</v>
      </c>
      <c r="T35" s="116">
        <v>15.5</v>
      </c>
      <c r="U35" s="116">
        <v>14.9</v>
      </c>
    </row>
    <row r="36" spans="1:21" x14ac:dyDescent="0.25">
      <c r="A36" s="80">
        <v>25</v>
      </c>
      <c r="B36" s="116">
        <v>217.8</v>
      </c>
      <c r="C36" s="116">
        <v>110.9</v>
      </c>
      <c r="D36" s="116">
        <v>75.3</v>
      </c>
      <c r="E36" s="116">
        <v>57.5</v>
      </c>
      <c r="F36" s="116">
        <v>46.9</v>
      </c>
      <c r="G36" s="116">
        <v>39.799999999999997</v>
      </c>
      <c r="H36" s="116">
        <v>34.700000000000003</v>
      </c>
      <c r="I36" s="116">
        <v>30.9</v>
      </c>
      <c r="J36" s="116">
        <v>27.9</v>
      </c>
      <c r="K36" s="116">
        <v>25.6</v>
      </c>
      <c r="L36" s="116">
        <v>23.7</v>
      </c>
      <c r="M36" s="116">
        <v>22.1</v>
      </c>
      <c r="N36" s="116">
        <v>20.7</v>
      </c>
      <c r="O36" s="116">
        <v>19.600000000000001</v>
      </c>
      <c r="P36" s="116">
        <v>18.600000000000001</v>
      </c>
      <c r="Q36" s="116">
        <v>17.7</v>
      </c>
      <c r="R36" s="116">
        <v>17</v>
      </c>
      <c r="S36" s="116">
        <v>16.3</v>
      </c>
      <c r="T36" s="116">
        <v>15.7</v>
      </c>
      <c r="U36" s="116">
        <v>15.2</v>
      </c>
    </row>
    <row r="37" spans="1:21" x14ac:dyDescent="0.25">
      <c r="A37" s="80">
        <v>26</v>
      </c>
      <c r="B37" s="116">
        <v>220.9</v>
      </c>
      <c r="C37" s="116">
        <v>112.5</v>
      </c>
      <c r="D37" s="116">
        <v>76.400000000000006</v>
      </c>
      <c r="E37" s="116">
        <v>58.3</v>
      </c>
      <c r="F37" s="116">
        <v>47.5</v>
      </c>
      <c r="G37" s="116">
        <v>40.299999999999997</v>
      </c>
      <c r="H37" s="116">
        <v>35.200000000000003</v>
      </c>
      <c r="I37" s="116">
        <v>31.3</v>
      </c>
      <c r="J37" s="116">
        <v>28.3</v>
      </c>
      <c r="K37" s="116">
        <v>26</v>
      </c>
      <c r="L37" s="116">
        <v>24</v>
      </c>
      <c r="M37" s="116">
        <v>22.4</v>
      </c>
      <c r="N37" s="116">
        <v>21</v>
      </c>
      <c r="O37" s="116">
        <v>19.899999999999999</v>
      </c>
      <c r="P37" s="116">
        <v>18.899999999999999</v>
      </c>
      <c r="Q37" s="116">
        <v>18</v>
      </c>
      <c r="R37" s="116">
        <v>17.2</v>
      </c>
      <c r="S37" s="116">
        <v>16.5</v>
      </c>
      <c r="T37" s="116">
        <v>15.9</v>
      </c>
      <c r="U37" s="116">
        <v>15.4</v>
      </c>
    </row>
    <row r="38" spans="1:21" x14ac:dyDescent="0.25">
      <c r="A38" s="80">
        <v>27</v>
      </c>
      <c r="B38" s="116">
        <v>224</v>
      </c>
      <c r="C38" s="116">
        <v>114.1</v>
      </c>
      <c r="D38" s="116">
        <v>77.5</v>
      </c>
      <c r="E38" s="116">
        <v>59.2</v>
      </c>
      <c r="F38" s="116">
        <v>48.2</v>
      </c>
      <c r="G38" s="116">
        <v>40.9</v>
      </c>
      <c r="H38" s="116">
        <v>35.700000000000003</v>
      </c>
      <c r="I38" s="116">
        <v>31.8</v>
      </c>
      <c r="J38" s="116">
        <v>28.7</v>
      </c>
      <c r="K38" s="116">
        <v>26.3</v>
      </c>
      <c r="L38" s="116">
        <v>24.4</v>
      </c>
      <c r="M38" s="116">
        <v>22.7</v>
      </c>
      <c r="N38" s="116">
        <v>21.3</v>
      </c>
      <c r="O38" s="116">
        <v>20.2</v>
      </c>
      <c r="P38" s="116">
        <v>19.100000000000001</v>
      </c>
      <c r="Q38" s="116">
        <v>18.2</v>
      </c>
      <c r="R38" s="116">
        <v>17.5</v>
      </c>
      <c r="S38" s="116">
        <v>16.8</v>
      </c>
      <c r="T38" s="116">
        <v>16.2</v>
      </c>
      <c r="U38" s="116">
        <v>15.6</v>
      </c>
    </row>
    <row r="39" spans="1:21" x14ac:dyDescent="0.25">
      <c r="A39" s="80">
        <v>28</v>
      </c>
      <c r="B39" s="116">
        <v>227.2</v>
      </c>
      <c r="C39" s="116">
        <v>115.7</v>
      </c>
      <c r="D39" s="116">
        <v>78.599999999999994</v>
      </c>
      <c r="E39" s="116">
        <v>60</v>
      </c>
      <c r="F39" s="116">
        <v>48.9</v>
      </c>
      <c r="G39" s="116">
        <v>41.5</v>
      </c>
      <c r="H39" s="116">
        <v>36.200000000000003</v>
      </c>
      <c r="I39" s="116">
        <v>32.200000000000003</v>
      </c>
      <c r="J39" s="116">
        <v>29.2</v>
      </c>
      <c r="K39" s="116">
        <v>26.7</v>
      </c>
      <c r="L39" s="116">
        <v>24.7</v>
      </c>
      <c r="M39" s="116">
        <v>23</v>
      </c>
      <c r="N39" s="116">
        <v>21.6</v>
      </c>
      <c r="O39" s="116">
        <v>20.399999999999999</v>
      </c>
      <c r="P39" s="116">
        <v>19.399999999999999</v>
      </c>
      <c r="Q39" s="116">
        <v>18.5</v>
      </c>
      <c r="R39" s="116">
        <v>17.7</v>
      </c>
      <c r="S39" s="116">
        <v>17</v>
      </c>
      <c r="T39" s="116">
        <v>16.399999999999999</v>
      </c>
      <c r="U39" s="116">
        <v>15.8</v>
      </c>
    </row>
    <row r="40" spans="1:21" x14ac:dyDescent="0.25">
      <c r="A40" s="80">
        <v>29</v>
      </c>
      <c r="B40" s="116">
        <v>230.4</v>
      </c>
      <c r="C40" s="116">
        <v>117.3</v>
      </c>
      <c r="D40" s="116">
        <v>79.7</v>
      </c>
      <c r="E40" s="116">
        <v>60.8</v>
      </c>
      <c r="F40" s="116">
        <v>49.6</v>
      </c>
      <c r="G40" s="116">
        <v>42.1</v>
      </c>
      <c r="H40" s="116">
        <v>36.700000000000003</v>
      </c>
      <c r="I40" s="116">
        <v>32.700000000000003</v>
      </c>
      <c r="J40" s="116">
        <v>29.6</v>
      </c>
      <c r="K40" s="116">
        <v>27.1</v>
      </c>
      <c r="L40" s="116">
        <v>25.1</v>
      </c>
      <c r="M40" s="116">
        <v>23.4</v>
      </c>
      <c r="N40" s="116">
        <v>22</v>
      </c>
      <c r="O40" s="116">
        <v>20.7</v>
      </c>
      <c r="P40" s="116">
        <v>19.7</v>
      </c>
      <c r="Q40" s="116">
        <v>18.8</v>
      </c>
      <c r="R40" s="116">
        <v>18</v>
      </c>
      <c r="S40" s="116">
        <v>17.3</v>
      </c>
      <c r="T40" s="116">
        <v>16.600000000000001</v>
      </c>
      <c r="U40" s="116">
        <v>16.100000000000001</v>
      </c>
    </row>
    <row r="41" spans="1:21" x14ac:dyDescent="0.25">
      <c r="A41" s="80">
        <v>30</v>
      </c>
      <c r="B41" s="116">
        <v>233.6</v>
      </c>
      <c r="C41" s="116">
        <v>119</v>
      </c>
      <c r="D41" s="116">
        <v>80.8</v>
      </c>
      <c r="E41" s="116">
        <v>61.7</v>
      </c>
      <c r="F41" s="116">
        <v>50.3</v>
      </c>
      <c r="G41" s="116">
        <v>42.7</v>
      </c>
      <c r="H41" s="116">
        <v>37.200000000000003</v>
      </c>
      <c r="I41" s="116">
        <v>33.200000000000003</v>
      </c>
      <c r="J41" s="116">
        <v>30</v>
      </c>
      <c r="K41" s="116">
        <v>27.5</v>
      </c>
      <c r="L41" s="116">
        <v>25.4</v>
      </c>
      <c r="M41" s="116">
        <v>23.7</v>
      </c>
      <c r="N41" s="116">
        <v>22.3</v>
      </c>
      <c r="O41" s="116">
        <v>21</v>
      </c>
      <c r="P41" s="116">
        <v>20</v>
      </c>
      <c r="Q41" s="116">
        <v>19</v>
      </c>
      <c r="R41" s="116">
        <v>18.2</v>
      </c>
      <c r="S41" s="116">
        <v>17.5</v>
      </c>
      <c r="T41" s="116">
        <v>16.899999999999999</v>
      </c>
      <c r="U41" s="116">
        <v>16.3</v>
      </c>
    </row>
    <row r="42" spans="1:21" x14ac:dyDescent="0.25">
      <c r="A42" s="80">
        <v>31</v>
      </c>
      <c r="B42" s="116">
        <v>236.9</v>
      </c>
      <c r="C42" s="116">
        <v>120.7</v>
      </c>
      <c r="D42" s="116">
        <v>81.900000000000006</v>
      </c>
      <c r="E42" s="116">
        <v>62.6</v>
      </c>
      <c r="F42" s="116">
        <v>51</v>
      </c>
      <c r="G42" s="116">
        <v>43.3</v>
      </c>
      <c r="H42" s="116">
        <v>37.700000000000003</v>
      </c>
      <c r="I42" s="116">
        <v>33.6</v>
      </c>
      <c r="J42" s="116">
        <v>30.4</v>
      </c>
      <c r="K42" s="116">
        <v>27.9</v>
      </c>
      <c r="L42" s="116">
        <v>25.8</v>
      </c>
      <c r="M42" s="116">
        <v>24.1</v>
      </c>
      <c r="N42" s="116">
        <v>22.6</v>
      </c>
      <c r="O42" s="116">
        <v>21.3</v>
      </c>
      <c r="P42" s="116">
        <v>20.3</v>
      </c>
      <c r="Q42" s="116">
        <v>19.3</v>
      </c>
      <c r="R42" s="116">
        <v>18.5</v>
      </c>
      <c r="S42" s="116">
        <v>17.8</v>
      </c>
      <c r="T42" s="116">
        <v>17.100000000000001</v>
      </c>
      <c r="U42" s="116">
        <v>16.5</v>
      </c>
    </row>
    <row r="43" spans="1:21" x14ac:dyDescent="0.25">
      <c r="A43" s="80">
        <v>32</v>
      </c>
      <c r="B43" s="116">
        <v>240.2</v>
      </c>
      <c r="C43" s="116">
        <v>122.4</v>
      </c>
      <c r="D43" s="116">
        <v>83.1</v>
      </c>
      <c r="E43" s="116">
        <v>63.5</v>
      </c>
      <c r="F43" s="116">
        <v>51.7</v>
      </c>
      <c r="G43" s="116">
        <v>43.9</v>
      </c>
      <c r="H43" s="116">
        <v>38.299999999999997</v>
      </c>
      <c r="I43" s="116">
        <v>34.1</v>
      </c>
      <c r="J43" s="116">
        <v>30.9</v>
      </c>
      <c r="K43" s="116">
        <v>28.3</v>
      </c>
      <c r="L43" s="116">
        <v>26.2</v>
      </c>
      <c r="M43" s="116">
        <v>24.4</v>
      </c>
      <c r="N43" s="116">
        <v>22.9</v>
      </c>
      <c r="O43" s="116">
        <v>21.6</v>
      </c>
      <c r="P43" s="116">
        <v>20.6</v>
      </c>
      <c r="Q43" s="116">
        <v>19.600000000000001</v>
      </c>
      <c r="R43" s="116">
        <v>18.8</v>
      </c>
      <c r="S43" s="116">
        <v>18</v>
      </c>
      <c r="T43" s="116">
        <v>17.399999999999999</v>
      </c>
      <c r="U43" s="116">
        <v>16.8</v>
      </c>
    </row>
    <row r="44" spans="1:21" x14ac:dyDescent="0.25">
      <c r="A44" s="80">
        <v>33</v>
      </c>
      <c r="B44" s="116">
        <v>243.6</v>
      </c>
      <c r="C44" s="116">
        <v>124.1</v>
      </c>
      <c r="D44" s="116">
        <v>84.2</v>
      </c>
      <c r="E44" s="116">
        <v>64.400000000000006</v>
      </c>
      <c r="F44" s="116">
        <v>52.4</v>
      </c>
      <c r="G44" s="116">
        <v>44.5</v>
      </c>
      <c r="H44" s="116">
        <v>38.799999999999997</v>
      </c>
      <c r="I44" s="116">
        <v>34.6</v>
      </c>
      <c r="J44" s="116">
        <v>31.3</v>
      </c>
      <c r="K44" s="116">
        <v>28.7</v>
      </c>
      <c r="L44" s="116">
        <v>26.5</v>
      </c>
      <c r="M44" s="116">
        <v>24.7</v>
      </c>
      <c r="N44" s="116">
        <v>23.2</v>
      </c>
      <c r="O44" s="116">
        <v>22</v>
      </c>
      <c r="P44" s="116">
        <v>20.9</v>
      </c>
      <c r="Q44" s="116">
        <v>19.899999999999999</v>
      </c>
      <c r="R44" s="116">
        <v>19</v>
      </c>
      <c r="S44" s="116">
        <v>18.3</v>
      </c>
      <c r="T44" s="116">
        <v>17.600000000000001</v>
      </c>
      <c r="U44" s="116">
        <v>17</v>
      </c>
    </row>
    <row r="45" spans="1:21" x14ac:dyDescent="0.25">
      <c r="A45" s="80">
        <v>34</v>
      </c>
      <c r="B45" s="116">
        <v>247</v>
      </c>
      <c r="C45" s="116">
        <v>125.8</v>
      </c>
      <c r="D45" s="116">
        <v>85.4</v>
      </c>
      <c r="E45" s="116">
        <v>65.2</v>
      </c>
      <c r="F45" s="116">
        <v>53.2</v>
      </c>
      <c r="G45" s="116">
        <v>45.1</v>
      </c>
      <c r="H45" s="116">
        <v>39.4</v>
      </c>
      <c r="I45" s="116">
        <v>35.1</v>
      </c>
      <c r="J45" s="116">
        <v>31.7</v>
      </c>
      <c r="K45" s="116">
        <v>29.1</v>
      </c>
      <c r="L45" s="116">
        <v>26.9</v>
      </c>
      <c r="M45" s="116">
        <v>25.1</v>
      </c>
      <c r="N45" s="116">
        <v>23.6</v>
      </c>
      <c r="O45" s="116">
        <v>22.3</v>
      </c>
      <c r="P45" s="116">
        <v>21.2</v>
      </c>
      <c r="Q45" s="116">
        <v>20.2</v>
      </c>
      <c r="R45" s="116">
        <v>19.3</v>
      </c>
      <c r="S45" s="116">
        <v>18.600000000000001</v>
      </c>
      <c r="T45" s="116">
        <v>17.899999999999999</v>
      </c>
      <c r="U45" s="116">
        <v>17.3</v>
      </c>
    </row>
    <row r="46" spans="1:21" x14ac:dyDescent="0.25">
      <c r="A46" s="80">
        <v>35</v>
      </c>
      <c r="B46" s="116">
        <v>250.4</v>
      </c>
      <c r="C46" s="116">
        <v>127.5</v>
      </c>
      <c r="D46" s="116">
        <v>86.6</v>
      </c>
      <c r="E46" s="116">
        <v>66.2</v>
      </c>
      <c r="F46" s="116">
        <v>53.9</v>
      </c>
      <c r="G46" s="116">
        <v>45.7</v>
      </c>
      <c r="H46" s="116">
        <v>39.9</v>
      </c>
      <c r="I46" s="116">
        <v>35.6</v>
      </c>
      <c r="J46" s="116">
        <v>32.200000000000003</v>
      </c>
      <c r="K46" s="116">
        <v>29.5</v>
      </c>
      <c r="L46" s="116">
        <v>27.3</v>
      </c>
      <c r="M46" s="116">
        <v>25.5</v>
      </c>
      <c r="N46" s="116">
        <v>23.9</v>
      </c>
      <c r="O46" s="116">
        <v>22.6</v>
      </c>
      <c r="P46" s="116">
        <v>21.5</v>
      </c>
      <c r="Q46" s="116">
        <v>20.5</v>
      </c>
      <c r="R46" s="116">
        <v>19.600000000000001</v>
      </c>
      <c r="S46" s="116">
        <v>18.8</v>
      </c>
      <c r="T46" s="116">
        <v>18.100000000000001</v>
      </c>
      <c r="U46" s="116">
        <v>17.5</v>
      </c>
    </row>
    <row r="47" spans="1:21" x14ac:dyDescent="0.25">
      <c r="A47" s="80">
        <v>36</v>
      </c>
      <c r="B47" s="116">
        <v>253.9</v>
      </c>
      <c r="C47" s="116">
        <v>129.30000000000001</v>
      </c>
      <c r="D47" s="116">
        <v>87.8</v>
      </c>
      <c r="E47" s="116">
        <v>67.099999999999994</v>
      </c>
      <c r="F47" s="116">
        <v>54.7</v>
      </c>
      <c r="G47" s="116">
        <v>46.4</v>
      </c>
      <c r="H47" s="116">
        <v>40.5</v>
      </c>
      <c r="I47" s="116">
        <v>36.1</v>
      </c>
      <c r="J47" s="116">
        <v>32.6</v>
      </c>
      <c r="K47" s="116">
        <v>29.9</v>
      </c>
      <c r="L47" s="116">
        <v>27.7</v>
      </c>
      <c r="M47" s="116">
        <v>25.8</v>
      </c>
      <c r="N47" s="116">
        <v>24.3</v>
      </c>
      <c r="O47" s="116">
        <v>22.9</v>
      </c>
      <c r="P47" s="116">
        <v>21.8</v>
      </c>
      <c r="Q47" s="116">
        <v>20.8</v>
      </c>
      <c r="R47" s="116">
        <v>19.899999999999999</v>
      </c>
      <c r="S47" s="116">
        <v>19.100000000000001</v>
      </c>
      <c r="T47" s="116">
        <v>18.399999999999999</v>
      </c>
      <c r="U47" s="116">
        <v>17.8</v>
      </c>
    </row>
    <row r="48" spans="1:21" x14ac:dyDescent="0.25">
      <c r="A48" s="80">
        <v>37</v>
      </c>
      <c r="B48" s="116">
        <v>257.39999999999998</v>
      </c>
      <c r="C48" s="116">
        <v>131.1</v>
      </c>
      <c r="D48" s="116">
        <v>89</v>
      </c>
      <c r="E48" s="116">
        <v>68</v>
      </c>
      <c r="F48" s="116">
        <v>55.4</v>
      </c>
      <c r="G48" s="116">
        <v>47</v>
      </c>
      <c r="H48" s="116">
        <v>41</v>
      </c>
      <c r="I48" s="116">
        <v>36.6</v>
      </c>
      <c r="J48" s="116">
        <v>33.1</v>
      </c>
      <c r="K48" s="116">
        <v>30.3</v>
      </c>
      <c r="L48" s="116">
        <v>28.1</v>
      </c>
      <c r="M48" s="116">
        <v>26.2</v>
      </c>
      <c r="N48" s="116">
        <v>24.6</v>
      </c>
      <c r="O48" s="116">
        <v>23.2</v>
      </c>
      <c r="P48" s="116">
        <v>22.1</v>
      </c>
      <c r="Q48" s="116">
        <v>21.1</v>
      </c>
      <c r="R48" s="116">
        <v>20.2</v>
      </c>
      <c r="S48" s="116">
        <v>19.399999999999999</v>
      </c>
      <c r="T48" s="116">
        <v>18.7</v>
      </c>
      <c r="U48" s="116">
        <v>18.100000000000001</v>
      </c>
    </row>
    <row r="49" spans="1:21" x14ac:dyDescent="0.25">
      <c r="A49" s="80">
        <v>38</v>
      </c>
      <c r="B49" s="116">
        <v>260.89999999999998</v>
      </c>
      <c r="C49" s="116">
        <v>132.9</v>
      </c>
      <c r="D49" s="116">
        <v>90.3</v>
      </c>
      <c r="E49" s="116">
        <v>69</v>
      </c>
      <c r="F49" s="116">
        <v>56.2</v>
      </c>
      <c r="G49" s="116">
        <v>47.7</v>
      </c>
      <c r="H49" s="116">
        <v>41.6</v>
      </c>
      <c r="I49" s="116">
        <v>37.1</v>
      </c>
      <c r="J49" s="116">
        <v>33.6</v>
      </c>
      <c r="K49" s="116">
        <v>30.8</v>
      </c>
      <c r="L49" s="116">
        <v>28.5</v>
      </c>
      <c r="M49" s="116">
        <v>26.6</v>
      </c>
      <c r="N49" s="116">
        <v>25</v>
      </c>
      <c r="O49" s="116">
        <v>23.6</v>
      </c>
      <c r="P49" s="116">
        <v>22.4</v>
      </c>
      <c r="Q49" s="116">
        <v>21.4</v>
      </c>
      <c r="R49" s="116">
        <v>20.5</v>
      </c>
      <c r="S49" s="116">
        <v>19.7</v>
      </c>
      <c r="T49" s="116">
        <v>19</v>
      </c>
      <c r="U49" s="116">
        <v>18.3</v>
      </c>
    </row>
    <row r="50" spans="1:21" x14ac:dyDescent="0.25">
      <c r="A50" s="80">
        <v>39</v>
      </c>
      <c r="B50" s="116">
        <v>264.5</v>
      </c>
      <c r="C50" s="116">
        <v>134.69999999999999</v>
      </c>
      <c r="D50" s="116">
        <v>91.5</v>
      </c>
      <c r="E50" s="116">
        <v>69.900000000000006</v>
      </c>
      <c r="F50" s="116">
        <v>57</v>
      </c>
      <c r="G50" s="116">
        <v>48.4</v>
      </c>
      <c r="H50" s="116">
        <v>42.2</v>
      </c>
      <c r="I50" s="116">
        <v>37.6</v>
      </c>
      <c r="J50" s="116">
        <v>34</v>
      </c>
      <c r="K50" s="116">
        <v>31.2</v>
      </c>
      <c r="L50" s="116">
        <v>28.9</v>
      </c>
      <c r="M50" s="116">
        <v>26.9</v>
      </c>
      <c r="N50" s="116">
        <v>25.3</v>
      </c>
      <c r="O50" s="116">
        <v>23.9</v>
      </c>
      <c r="P50" s="116">
        <v>22.7</v>
      </c>
      <c r="Q50" s="116">
        <v>21.7</v>
      </c>
      <c r="R50" s="116">
        <v>20.8</v>
      </c>
      <c r="S50" s="116">
        <v>20</v>
      </c>
      <c r="T50" s="116">
        <v>19.3</v>
      </c>
      <c r="U50" s="116">
        <v>18.600000000000001</v>
      </c>
    </row>
    <row r="51" spans="1:21" x14ac:dyDescent="0.25">
      <c r="A51" s="80">
        <v>40</v>
      </c>
      <c r="B51" s="116">
        <v>268.10000000000002</v>
      </c>
      <c r="C51" s="116">
        <v>136.6</v>
      </c>
      <c r="D51" s="116">
        <v>92.8</v>
      </c>
      <c r="E51" s="116">
        <v>70.900000000000006</v>
      </c>
      <c r="F51" s="116">
        <v>57.8</v>
      </c>
      <c r="G51" s="116">
        <v>49</v>
      </c>
      <c r="H51" s="116">
        <v>42.8</v>
      </c>
      <c r="I51" s="116">
        <v>38.1</v>
      </c>
      <c r="J51" s="116">
        <v>34.5</v>
      </c>
      <c r="K51" s="116">
        <v>31.6</v>
      </c>
      <c r="L51" s="116">
        <v>29.3</v>
      </c>
      <c r="M51" s="116">
        <v>27.3</v>
      </c>
      <c r="N51" s="116">
        <v>25.7</v>
      </c>
      <c r="O51" s="116">
        <v>24.3</v>
      </c>
      <c r="P51" s="116">
        <v>23.1</v>
      </c>
      <c r="Q51" s="116">
        <v>22</v>
      </c>
      <c r="R51" s="116">
        <v>21.1</v>
      </c>
      <c r="S51" s="116">
        <v>20.3</v>
      </c>
      <c r="T51" s="116">
        <v>19.600000000000001</v>
      </c>
      <c r="U51" s="116">
        <v>18.899999999999999</v>
      </c>
    </row>
    <row r="52" spans="1:21" x14ac:dyDescent="0.25">
      <c r="A52" s="80">
        <v>41</v>
      </c>
      <c r="B52" s="116">
        <v>271.8</v>
      </c>
      <c r="C52" s="116">
        <v>138.5</v>
      </c>
      <c r="D52" s="116">
        <v>94.1</v>
      </c>
      <c r="E52" s="116">
        <v>71.900000000000006</v>
      </c>
      <c r="F52" s="116">
        <v>58.6</v>
      </c>
      <c r="G52" s="116">
        <v>49.7</v>
      </c>
      <c r="H52" s="116">
        <v>43.4</v>
      </c>
      <c r="I52" s="116">
        <v>38.700000000000003</v>
      </c>
      <c r="J52" s="116">
        <v>35</v>
      </c>
      <c r="K52" s="116">
        <v>32.1</v>
      </c>
      <c r="L52" s="116">
        <v>29.7</v>
      </c>
      <c r="M52" s="116">
        <v>27.7</v>
      </c>
      <c r="N52" s="116">
        <v>26.1</v>
      </c>
      <c r="O52" s="116">
        <v>24.6</v>
      </c>
      <c r="P52" s="116">
        <v>23.4</v>
      </c>
      <c r="Q52" s="116">
        <v>22.3</v>
      </c>
      <c r="R52" s="116">
        <v>21.4</v>
      </c>
      <c r="S52" s="116">
        <v>20.6</v>
      </c>
      <c r="T52" s="116">
        <v>19.899999999999999</v>
      </c>
      <c r="U52" s="116">
        <v>19.2</v>
      </c>
    </row>
    <row r="53" spans="1:21" x14ac:dyDescent="0.25">
      <c r="A53" s="80">
        <v>42</v>
      </c>
      <c r="B53" s="116">
        <v>275.5</v>
      </c>
      <c r="C53" s="116">
        <v>140.4</v>
      </c>
      <c r="D53" s="116">
        <v>95.4</v>
      </c>
      <c r="E53" s="116">
        <v>72.900000000000006</v>
      </c>
      <c r="F53" s="116">
        <v>59.4</v>
      </c>
      <c r="G53" s="116">
        <v>50.4</v>
      </c>
      <c r="H53" s="116">
        <v>44</v>
      </c>
      <c r="I53" s="116">
        <v>39.200000000000003</v>
      </c>
      <c r="J53" s="116">
        <v>35.5</v>
      </c>
      <c r="K53" s="116">
        <v>32.5</v>
      </c>
      <c r="L53" s="116">
        <v>30.1</v>
      </c>
      <c r="M53" s="116">
        <v>28.1</v>
      </c>
      <c r="N53" s="116">
        <v>26.4</v>
      </c>
      <c r="O53" s="116">
        <v>25</v>
      </c>
      <c r="P53" s="116">
        <v>23.8</v>
      </c>
      <c r="Q53" s="116">
        <v>22.7</v>
      </c>
      <c r="R53" s="116">
        <v>21.7</v>
      </c>
      <c r="S53" s="116">
        <v>20.9</v>
      </c>
      <c r="T53" s="116">
        <v>20.2</v>
      </c>
      <c r="U53" s="116">
        <v>19.5</v>
      </c>
    </row>
    <row r="54" spans="1:21" x14ac:dyDescent="0.25">
      <c r="A54" s="80">
        <v>43</v>
      </c>
      <c r="B54" s="116">
        <v>279.3</v>
      </c>
      <c r="C54" s="116">
        <v>142.30000000000001</v>
      </c>
      <c r="D54" s="116">
        <v>96.7</v>
      </c>
      <c r="E54" s="116">
        <v>73.900000000000006</v>
      </c>
      <c r="F54" s="116">
        <v>60.2</v>
      </c>
      <c r="G54" s="116">
        <v>51.1</v>
      </c>
      <c r="H54" s="116">
        <v>44.6</v>
      </c>
      <c r="I54" s="116">
        <v>39.799999999999997</v>
      </c>
      <c r="J54" s="116">
        <v>36</v>
      </c>
      <c r="K54" s="116">
        <v>33</v>
      </c>
      <c r="L54" s="116">
        <v>30.6</v>
      </c>
      <c r="M54" s="116">
        <v>28.5</v>
      </c>
      <c r="N54" s="116">
        <v>26.8</v>
      </c>
      <c r="O54" s="116">
        <v>25.4</v>
      </c>
      <c r="P54" s="116">
        <v>24.1</v>
      </c>
      <c r="Q54" s="116">
        <v>23</v>
      </c>
      <c r="R54" s="116">
        <v>22.1</v>
      </c>
      <c r="S54" s="116">
        <v>21.2</v>
      </c>
      <c r="T54" s="116">
        <v>20.5</v>
      </c>
      <c r="U54" s="116">
        <v>19.8</v>
      </c>
    </row>
    <row r="55" spans="1:21" x14ac:dyDescent="0.25">
      <c r="A55" s="80">
        <v>44</v>
      </c>
      <c r="B55" s="116">
        <v>283.10000000000002</v>
      </c>
      <c r="C55" s="116">
        <v>144.30000000000001</v>
      </c>
      <c r="D55" s="116">
        <v>98</v>
      </c>
      <c r="E55" s="116">
        <v>74.900000000000006</v>
      </c>
      <c r="F55" s="116">
        <v>61</v>
      </c>
      <c r="G55" s="116">
        <v>51.8</v>
      </c>
      <c r="H55" s="116">
        <v>45.3</v>
      </c>
      <c r="I55" s="116">
        <v>40.299999999999997</v>
      </c>
      <c r="J55" s="116">
        <v>36.5</v>
      </c>
      <c r="K55" s="116">
        <v>33.5</v>
      </c>
      <c r="L55" s="116">
        <v>31</v>
      </c>
      <c r="M55" s="116">
        <v>29</v>
      </c>
      <c r="N55" s="116">
        <v>27.2</v>
      </c>
      <c r="O55" s="116">
        <v>25.8</v>
      </c>
      <c r="P55" s="116">
        <v>24.5</v>
      </c>
      <c r="Q55" s="116">
        <v>23.4</v>
      </c>
      <c r="R55" s="116">
        <v>22.4</v>
      </c>
      <c r="S55" s="116">
        <v>21.6</v>
      </c>
      <c r="T55" s="116">
        <v>20.8</v>
      </c>
      <c r="U55" s="116">
        <v>20.2</v>
      </c>
    </row>
    <row r="56" spans="1:21" x14ac:dyDescent="0.25">
      <c r="A56" s="80">
        <v>45</v>
      </c>
      <c r="B56" s="116">
        <v>287</v>
      </c>
      <c r="C56" s="116">
        <v>146.19999999999999</v>
      </c>
      <c r="D56" s="116">
        <v>99.3</v>
      </c>
      <c r="E56" s="116">
        <v>75.900000000000006</v>
      </c>
      <c r="F56" s="116">
        <v>61.9</v>
      </c>
      <c r="G56" s="116">
        <v>52.6</v>
      </c>
      <c r="H56" s="116">
        <v>45.9</v>
      </c>
      <c r="I56" s="116">
        <v>40.9</v>
      </c>
      <c r="J56" s="116">
        <v>37.1</v>
      </c>
      <c r="K56" s="116">
        <v>34</v>
      </c>
      <c r="L56" s="116">
        <v>31.5</v>
      </c>
      <c r="M56" s="116">
        <v>29.4</v>
      </c>
      <c r="N56" s="116">
        <v>27.6</v>
      </c>
      <c r="O56" s="116">
        <v>26.2</v>
      </c>
      <c r="P56" s="116">
        <v>24.9</v>
      </c>
      <c r="Q56" s="116">
        <v>23.8</v>
      </c>
      <c r="R56" s="116">
        <v>22.8</v>
      </c>
      <c r="S56" s="116">
        <v>21.9</v>
      </c>
      <c r="T56" s="116">
        <v>21.2</v>
      </c>
      <c r="U56" s="116">
        <v>20.5</v>
      </c>
    </row>
    <row r="57" spans="1:21" x14ac:dyDescent="0.25">
      <c r="A57" s="80">
        <v>46</v>
      </c>
      <c r="B57" s="116">
        <v>290.8</v>
      </c>
      <c r="C57" s="116">
        <v>148.19999999999999</v>
      </c>
      <c r="D57" s="116">
        <v>100.7</v>
      </c>
      <c r="E57" s="116">
        <v>77</v>
      </c>
      <c r="F57" s="116">
        <v>62.8</v>
      </c>
      <c r="G57" s="116">
        <v>53.3</v>
      </c>
      <c r="H57" s="116">
        <v>46.5</v>
      </c>
      <c r="I57" s="116">
        <v>41.5</v>
      </c>
      <c r="J57" s="116">
        <v>37.6</v>
      </c>
      <c r="K57" s="116">
        <v>34.5</v>
      </c>
      <c r="L57" s="116">
        <v>31.9</v>
      </c>
      <c r="M57" s="116">
        <v>29.8</v>
      </c>
      <c r="N57" s="116">
        <v>28.1</v>
      </c>
      <c r="O57" s="116">
        <v>26.6</v>
      </c>
      <c r="P57" s="116">
        <v>25.3</v>
      </c>
      <c r="Q57" s="116">
        <v>24.1</v>
      </c>
      <c r="R57" s="116">
        <v>23.2</v>
      </c>
      <c r="S57" s="116">
        <v>22.3</v>
      </c>
      <c r="T57" s="116">
        <v>21.5</v>
      </c>
      <c r="U57" s="116">
        <v>20.8</v>
      </c>
    </row>
    <row r="58" spans="1:21" x14ac:dyDescent="0.25">
      <c r="A58" s="80">
        <v>47</v>
      </c>
      <c r="B58" s="116">
        <v>294.8</v>
      </c>
      <c r="C58" s="116">
        <v>150.30000000000001</v>
      </c>
      <c r="D58" s="116">
        <v>102.1</v>
      </c>
      <c r="E58" s="116">
        <v>78</v>
      </c>
      <c r="F58" s="116">
        <v>63.6</v>
      </c>
      <c r="G58" s="116">
        <v>54</v>
      </c>
      <c r="H58" s="116">
        <v>47.2</v>
      </c>
      <c r="I58" s="116">
        <v>42.1</v>
      </c>
      <c r="J58" s="116">
        <v>38.200000000000003</v>
      </c>
      <c r="K58" s="116">
        <v>35</v>
      </c>
      <c r="L58" s="116">
        <v>32.4</v>
      </c>
      <c r="M58" s="116">
        <v>30.3</v>
      </c>
      <c r="N58" s="116">
        <v>28.5</v>
      </c>
      <c r="O58" s="116">
        <v>27</v>
      </c>
      <c r="P58" s="116">
        <v>25.7</v>
      </c>
      <c r="Q58" s="116">
        <v>24.5</v>
      </c>
      <c r="R58" s="116">
        <v>23.5</v>
      </c>
      <c r="S58" s="116">
        <v>22.7</v>
      </c>
      <c r="T58" s="116">
        <v>21.9</v>
      </c>
      <c r="U58" s="116">
        <v>21.2</v>
      </c>
    </row>
    <row r="59" spans="1:21" x14ac:dyDescent="0.25">
      <c r="A59" s="80">
        <v>48</v>
      </c>
      <c r="B59" s="116">
        <v>298.8</v>
      </c>
      <c r="C59" s="116">
        <v>152.30000000000001</v>
      </c>
      <c r="D59" s="116">
        <v>103.5</v>
      </c>
      <c r="E59" s="116">
        <v>79.099999999999994</v>
      </c>
      <c r="F59" s="116">
        <v>64.5</v>
      </c>
      <c r="G59" s="116">
        <v>54.8</v>
      </c>
      <c r="H59" s="116">
        <v>47.9</v>
      </c>
      <c r="I59" s="116">
        <v>42.7</v>
      </c>
      <c r="J59" s="116">
        <v>38.700000000000003</v>
      </c>
      <c r="K59" s="116">
        <v>35.5</v>
      </c>
      <c r="L59" s="116">
        <v>32.9</v>
      </c>
      <c r="M59" s="116">
        <v>30.8</v>
      </c>
      <c r="N59" s="116">
        <v>29</v>
      </c>
      <c r="O59" s="116">
        <v>27.4</v>
      </c>
      <c r="P59" s="116">
        <v>26.1</v>
      </c>
      <c r="Q59" s="116">
        <v>25</v>
      </c>
      <c r="R59" s="116">
        <v>23.9</v>
      </c>
      <c r="S59" s="116">
        <v>23.1</v>
      </c>
      <c r="T59" s="116">
        <v>22.3</v>
      </c>
      <c r="U59" s="116"/>
    </row>
    <row r="60" spans="1:21" x14ac:dyDescent="0.25">
      <c r="A60" s="80">
        <v>49</v>
      </c>
      <c r="B60" s="116">
        <v>302.89999999999998</v>
      </c>
      <c r="C60" s="116">
        <v>154.4</v>
      </c>
      <c r="D60" s="116">
        <v>105</v>
      </c>
      <c r="E60" s="116">
        <v>80.3</v>
      </c>
      <c r="F60" s="116">
        <v>65.5</v>
      </c>
      <c r="G60" s="116">
        <v>55.6</v>
      </c>
      <c r="H60" s="116">
        <v>48.6</v>
      </c>
      <c r="I60" s="116">
        <v>43.4</v>
      </c>
      <c r="J60" s="116">
        <v>39.299999999999997</v>
      </c>
      <c r="K60" s="116">
        <v>36.1</v>
      </c>
      <c r="L60" s="116">
        <v>33.5</v>
      </c>
      <c r="M60" s="116">
        <v>31.3</v>
      </c>
      <c r="N60" s="116">
        <v>29.5</v>
      </c>
      <c r="O60" s="116">
        <v>27.9</v>
      </c>
      <c r="P60" s="116">
        <v>26.5</v>
      </c>
      <c r="Q60" s="116">
        <v>25.4</v>
      </c>
      <c r="R60" s="116">
        <v>24.4</v>
      </c>
      <c r="S60" s="116">
        <v>23.5</v>
      </c>
      <c r="T60" s="116"/>
      <c r="U60" s="116"/>
    </row>
    <row r="61" spans="1:21" x14ac:dyDescent="0.25">
      <c r="A61" s="80">
        <v>50</v>
      </c>
      <c r="B61" s="116">
        <v>307.10000000000002</v>
      </c>
      <c r="C61" s="116">
        <v>156.6</v>
      </c>
      <c r="D61" s="116">
        <v>106.5</v>
      </c>
      <c r="E61" s="116">
        <v>81.400000000000006</v>
      </c>
      <c r="F61" s="116">
        <v>66.400000000000006</v>
      </c>
      <c r="G61" s="116">
        <v>56.5</v>
      </c>
      <c r="H61" s="116">
        <v>49.4</v>
      </c>
      <c r="I61" s="116">
        <v>44.1</v>
      </c>
      <c r="J61" s="116">
        <v>39.9</v>
      </c>
      <c r="K61" s="116">
        <v>36.700000000000003</v>
      </c>
      <c r="L61" s="116">
        <v>34</v>
      </c>
      <c r="M61" s="116">
        <v>31.8</v>
      </c>
      <c r="N61" s="116">
        <v>29.9</v>
      </c>
      <c r="O61" s="116">
        <v>28.4</v>
      </c>
      <c r="P61" s="116">
        <v>27</v>
      </c>
      <c r="Q61" s="116">
        <v>25.8</v>
      </c>
      <c r="R61" s="116">
        <v>24.8</v>
      </c>
      <c r="S61" s="116"/>
      <c r="T61" s="116"/>
      <c r="U61" s="116"/>
    </row>
    <row r="62" spans="1:21" x14ac:dyDescent="0.25">
      <c r="A62" s="80">
        <v>51</v>
      </c>
      <c r="B62" s="116">
        <v>311.3</v>
      </c>
      <c r="C62" s="116">
        <v>158.80000000000001</v>
      </c>
      <c r="D62" s="116">
        <v>108</v>
      </c>
      <c r="E62" s="116">
        <v>82.6</v>
      </c>
      <c r="F62" s="116">
        <v>67.400000000000006</v>
      </c>
      <c r="G62" s="116">
        <v>57.3</v>
      </c>
      <c r="H62" s="116">
        <v>50.1</v>
      </c>
      <c r="I62" s="116">
        <v>44.7</v>
      </c>
      <c r="J62" s="116">
        <v>40.6</v>
      </c>
      <c r="K62" s="116">
        <v>37.299999999999997</v>
      </c>
      <c r="L62" s="116">
        <v>34.6</v>
      </c>
      <c r="M62" s="116">
        <v>32.299999999999997</v>
      </c>
      <c r="N62" s="116">
        <v>30.5</v>
      </c>
      <c r="O62" s="116">
        <v>28.9</v>
      </c>
      <c r="P62" s="116">
        <v>27.5</v>
      </c>
      <c r="Q62" s="116">
        <v>26.3</v>
      </c>
      <c r="R62" s="116"/>
      <c r="S62" s="116"/>
      <c r="T62" s="116"/>
      <c r="U62" s="116"/>
    </row>
    <row r="63" spans="1:21" x14ac:dyDescent="0.25">
      <c r="A63" s="80">
        <v>52</v>
      </c>
      <c r="B63" s="116">
        <v>315.60000000000002</v>
      </c>
      <c r="C63" s="116">
        <v>161</v>
      </c>
      <c r="D63" s="116">
        <v>109.5</v>
      </c>
      <c r="E63" s="116">
        <v>83.8</v>
      </c>
      <c r="F63" s="116">
        <v>68.400000000000006</v>
      </c>
      <c r="G63" s="116">
        <v>58.2</v>
      </c>
      <c r="H63" s="116">
        <v>50.9</v>
      </c>
      <c r="I63" s="116">
        <v>45.4</v>
      </c>
      <c r="J63" s="116">
        <v>41.2</v>
      </c>
      <c r="K63" s="116">
        <v>37.9</v>
      </c>
      <c r="L63" s="116">
        <v>35.1</v>
      </c>
      <c r="M63" s="116">
        <v>32.9</v>
      </c>
      <c r="N63" s="116">
        <v>31</v>
      </c>
      <c r="O63" s="116">
        <v>29.4</v>
      </c>
      <c r="P63" s="116">
        <v>28</v>
      </c>
      <c r="Q63" s="116"/>
      <c r="R63" s="116"/>
      <c r="S63" s="116"/>
      <c r="T63" s="116"/>
      <c r="U63" s="116"/>
    </row>
    <row r="64" spans="1:21" x14ac:dyDescent="0.25">
      <c r="A64" s="80">
        <v>53</v>
      </c>
      <c r="B64" s="116">
        <v>319.89999999999998</v>
      </c>
      <c r="C64" s="116">
        <v>163.19999999999999</v>
      </c>
      <c r="D64" s="116">
        <v>111.1</v>
      </c>
      <c r="E64" s="116">
        <v>85</v>
      </c>
      <c r="F64" s="116">
        <v>69.400000000000006</v>
      </c>
      <c r="G64" s="116">
        <v>59.1</v>
      </c>
      <c r="H64" s="116">
        <v>51.7</v>
      </c>
      <c r="I64" s="116">
        <v>46.2</v>
      </c>
      <c r="J64" s="116">
        <v>41.9</v>
      </c>
      <c r="K64" s="116">
        <v>38.5</v>
      </c>
      <c r="L64" s="116">
        <v>35.700000000000003</v>
      </c>
      <c r="M64" s="116">
        <v>33.4</v>
      </c>
      <c r="N64" s="116">
        <v>31.5</v>
      </c>
      <c r="O64" s="116">
        <v>29.9</v>
      </c>
      <c r="P64" s="116"/>
      <c r="Q64" s="116"/>
      <c r="R64" s="116"/>
      <c r="S64" s="116"/>
      <c r="T64" s="116"/>
      <c r="U64" s="116"/>
    </row>
    <row r="65" spans="1:21" x14ac:dyDescent="0.25">
      <c r="A65" s="80">
        <v>54</v>
      </c>
      <c r="B65" s="116">
        <v>324.2</v>
      </c>
      <c r="C65" s="116">
        <v>165.5</v>
      </c>
      <c r="D65" s="116">
        <v>112.6</v>
      </c>
      <c r="E65" s="116">
        <v>86.2</v>
      </c>
      <c r="F65" s="116">
        <v>70.400000000000006</v>
      </c>
      <c r="G65" s="116">
        <v>59.9</v>
      </c>
      <c r="H65" s="116">
        <v>52.5</v>
      </c>
      <c r="I65" s="116">
        <v>46.9</v>
      </c>
      <c r="J65" s="116">
        <v>42.6</v>
      </c>
      <c r="K65" s="116">
        <v>39.1</v>
      </c>
      <c r="L65" s="116">
        <v>36.299999999999997</v>
      </c>
      <c r="M65" s="116">
        <v>34</v>
      </c>
      <c r="N65" s="116">
        <v>32.1</v>
      </c>
      <c r="O65" s="116"/>
      <c r="P65" s="116"/>
      <c r="Q65" s="116"/>
      <c r="R65" s="116"/>
      <c r="S65" s="116"/>
      <c r="T65" s="116"/>
      <c r="U65" s="116"/>
    </row>
    <row r="66" spans="1:21" x14ac:dyDescent="0.25">
      <c r="A66" s="80">
        <v>55</v>
      </c>
      <c r="B66" s="116">
        <v>328.6</v>
      </c>
      <c r="C66" s="116">
        <v>167.8</v>
      </c>
      <c r="D66" s="116">
        <v>114.2</v>
      </c>
      <c r="E66" s="116">
        <v>87.5</v>
      </c>
      <c r="F66" s="116">
        <v>71.5</v>
      </c>
      <c r="G66" s="116">
        <v>60.9</v>
      </c>
      <c r="H66" s="116">
        <v>53.3</v>
      </c>
      <c r="I66" s="116">
        <v>47.6</v>
      </c>
      <c r="J66" s="116">
        <v>43.2</v>
      </c>
      <c r="K66" s="116">
        <v>39.799999999999997</v>
      </c>
      <c r="L66" s="116">
        <v>36.9</v>
      </c>
      <c r="M66" s="116">
        <v>34.6</v>
      </c>
      <c r="N66" s="116"/>
      <c r="O66" s="116"/>
      <c r="P66" s="116"/>
      <c r="Q66" s="116"/>
      <c r="R66" s="116"/>
      <c r="S66" s="116"/>
      <c r="T66" s="116"/>
      <c r="U66" s="116"/>
    </row>
    <row r="67" spans="1:21" x14ac:dyDescent="0.25">
      <c r="A67" s="80">
        <v>56</v>
      </c>
      <c r="B67" s="116">
        <v>333.1</v>
      </c>
      <c r="C67" s="116">
        <v>170.2</v>
      </c>
      <c r="D67" s="116">
        <v>115.9</v>
      </c>
      <c r="E67" s="116">
        <v>88.8</v>
      </c>
      <c r="F67" s="116">
        <v>72.599999999999994</v>
      </c>
      <c r="G67" s="116">
        <v>61.8</v>
      </c>
      <c r="H67" s="116">
        <v>54.1</v>
      </c>
      <c r="I67" s="116">
        <v>48.4</v>
      </c>
      <c r="J67" s="116">
        <v>43.9</v>
      </c>
      <c r="K67" s="116">
        <v>40.4</v>
      </c>
      <c r="L67" s="116">
        <v>37.6</v>
      </c>
      <c r="M67" s="116"/>
      <c r="N67" s="116"/>
      <c r="O67" s="116"/>
      <c r="P67" s="116"/>
      <c r="Q67" s="116"/>
      <c r="R67" s="116"/>
      <c r="S67" s="116"/>
      <c r="T67" s="116"/>
      <c r="U67" s="116"/>
    </row>
    <row r="68" spans="1:21" x14ac:dyDescent="0.25">
      <c r="A68" s="80">
        <v>57</v>
      </c>
      <c r="B68" s="116">
        <v>337.7</v>
      </c>
      <c r="C68" s="116">
        <v>172.6</v>
      </c>
      <c r="D68" s="116">
        <v>117.6</v>
      </c>
      <c r="E68" s="116">
        <v>90.1</v>
      </c>
      <c r="F68" s="116">
        <v>73.7</v>
      </c>
      <c r="G68" s="116">
        <v>62.7</v>
      </c>
      <c r="H68" s="116">
        <v>55</v>
      </c>
      <c r="I68" s="116">
        <v>49.2</v>
      </c>
      <c r="J68" s="116">
        <v>44.7</v>
      </c>
      <c r="K68" s="116">
        <v>41.1</v>
      </c>
      <c r="L68" s="116"/>
      <c r="M68" s="116"/>
      <c r="N68" s="116"/>
      <c r="O68" s="116"/>
      <c r="P68" s="116"/>
      <c r="Q68" s="116"/>
      <c r="R68" s="116"/>
      <c r="S68" s="116"/>
      <c r="T68" s="116"/>
      <c r="U68" s="116"/>
    </row>
    <row r="69" spans="1:21" x14ac:dyDescent="0.25">
      <c r="A69" s="80">
        <v>58</v>
      </c>
      <c r="B69" s="116">
        <v>342.5</v>
      </c>
      <c r="C69" s="116">
        <v>175</v>
      </c>
      <c r="D69" s="116">
        <v>119.3</v>
      </c>
      <c r="E69" s="116">
        <v>91.5</v>
      </c>
      <c r="F69" s="116">
        <v>74.8</v>
      </c>
      <c r="G69" s="116">
        <v>63.7</v>
      </c>
      <c r="H69" s="116">
        <v>55.8</v>
      </c>
      <c r="I69" s="116">
        <v>50</v>
      </c>
      <c r="J69" s="116">
        <v>45.4</v>
      </c>
      <c r="K69" s="116"/>
      <c r="L69" s="116"/>
      <c r="M69" s="116"/>
      <c r="N69" s="116"/>
      <c r="O69" s="116"/>
      <c r="P69" s="116"/>
      <c r="Q69" s="116"/>
      <c r="R69" s="116"/>
      <c r="S69" s="116"/>
      <c r="T69" s="116"/>
      <c r="U69" s="116"/>
    </row>
    <row r="70" spans="1:21" x14ac:dyDescent="0.25">
      <c r="A70" s="80">
        <v>59</v>
      </c>
      <c r="B70" s="116">
        <v>347.3</v>
      </c>
      <c r="C70" s="116">
        <v>177.6</v>
      </c>
      <c r="D70" s="116">
        <v>121.1</v>
      </c>
      <c r="E70" s="116">
        <v>92.8</v>
      </c>
      <c r="F70" s="116">
        <v>76</v>
      </c>
      <c r="G70" s="116">
        <v>64.7</v>
      </c>
      <c r="H70" s="116">
        <v>56.7</v>
      </c>
      <c r="I70" s="116">
        <v>50.8</v>
      </c>
      <c r="J70" s="116"/>
      <c r="K70" s="116"/>
      <c r="L70" s="116"/>
      <c r="M70" s="116"/>
      <c r="N70" s="116"/>
      <c r="O70" s="116"/>
      <c r="P70" s="116"/>
      <c r="Q70" s="116"/>
      <c r="R70" s="116"/>
      <c r="S70" s="116"/>
      <c r="T70" s="116"/>
      <c r="U70" s="116"/>
    </row>
    <row r="71" spans="1:21" x14ac:dyDescent="0.25">
      <c r="A71" s="80">
        <v>60</v>
      </c>
      <c r="B71" s="116">
        <v>352.4</v>
      </c>
      <c r="C71" s="116">
        <v>180.2</v>
      </c>
      <c r="D71" s="116">
        <v>122.9</v>
      </c>
      <c r="E71" s="116">
        <v>94.3</v>
      </c>
      <c r="F71" s="116">
        <v>77.2</v>
      </c>
      <c r="G71" s="116">
        <v>65.8</v>
      </c>
      <c r="H71" s="116">
        <v>57.7</v>
      </c>
      <c r="I71" s="116"/>
      <c r="J71" s="116"/>
      <c r="K71" s="116"/>
      <c r="L71" s="116"/>
      <c r="M71" s="116"/>
      <c r="N71" s="116"/>
      <c r="O71" s="116"/>
      <c r="P71" s="116"/>
      <c r="Q71" s="116"/>
      <c r="R71" s="116"/>
      <c r="S71" s="116"/>
      <c r="T71" s="116"/>
      <c r="U71" s="116"/>
    </row>
    <row r="72" spans="1:21" x14ac:dyDescent="0.25">
      <c r="A72" s="80">
        <v>61</v>
      </c>
      <c r="B72" s="116">
        <v>357.6</v>
      </c>
      <c r="C72" s="116">
        <v>183</v>
      </c>
      <c r="D72" s="116">
        <v>124.8</v>
      </c>
      <c r="E72" s="116">
        <v>95.8</v>
      </c>
      <c r="F72" s="116">
        <v>78.400000000000006</v>
      </c>
      <c r="G72" s="116">
        <v>66.900000000000006</v>
      </c>
      <c r="H72" s="116"/>
      <c r="I72" s="116"/>
      <c r="J72" s="116"/>
      <c r="K72" s="116"/>
      <c r="L72" s="116"/>
      <c r="M72" s="116"/>
      <c r="N72" s="116"/>
      <c r="O72" s="116"/>
      <c r="P72" s="116"/>
      <c r="Q72" s="116"/>
      <c r="R72" s="116"/>
      <c r="S72" s="116"/>
      <c r="T72" s="116"/>
      <c r="U72" s="116"/>
    </row>
    <row r="73" spans="1:21" x14ac:dyDescent="0.25">
      <c r="A73" s="80">
        <v>62</v>
      </c>
      <c r="B73" s="116">
        <v>363.1</v>
      </c>
      <c r="C73" s="116">
        <v>185.8</v>
      </c>
      <c r="D73" s="116">
        <v>126.8</v>
      </c>
      <c r="E73" s="116">
        <v>97.3</v>
      </c>
      <c r="F73" s="116">
        <v>79.8</v>
      </c>
      <c r="G73" s="116"/>
      <c r="H73" s="116"/>
      <c r="I73" s="116"/>
      <c r="J73" s="116"/>
      <c r="K73" s="116"/>
      <c r="L73" s="116"/>
      <c r="M73" s="116"/>
      <c r="N73" s="116"/>
      <c r="O73" s="116"/>
      <c r="P73" s="116"/>
      <c r="Q73" s="116"/>
      <c r="R73" s="116"/>
      <c r="S73" s="116"/>
      <c r="T73" s="116"/>
      <c r="U73" s="116"/>
    </row>
    <row r="74" spans="1:21" x14ac:dyDescent="0.25">
      <c r="A74" s="80">
        <v>63</v>
      </c>
      <c r="B74" s="116">
        <v>368.8</v>
      </c>
      <c r="C74" s="116">
        <v>188.8</v>
      </c>
      <c r="D74" s="116">
        <v>128.9</v>
      </c>
      <c r="E74" s="116">
        <v>99</v>
      </c>
      <c r="F74" s="116"/>
      <c r="G74" s="116"/>
      <c r="H74" s="116"/>
      <c r="I74" s="116"/>
      <c r="J74" s="116"/>
      <c r="K74" s="116"/>
      <c r="L74" s="116"/>
      <c r="M74" s="116"/>
      <c r="N74" s="116"/>
      <c r="O74" s="116"/>
      <c r="P74" s="116"/>
      <c r="Q74" s="116"/>
      <c r="R74" s="116"/>
      <c r="S74" s="116"/>
      <c r="T74" s="116"/>
      <c r="U74" s="116"/>
    </row>
    <row r="75" spans="1:21" x14ac:dyDescent="0.25">
      <c r="A75" s="80">
        <v>64</v>
      </c>
      <c r="B75" s="116">
        <v>374.9</v>
      </c>
      <c r="C75" s="116">
        <v>192</v>
      </c>
      <c r="D75" s="116">
        <v>131.1</v>
      </c>
      <c r="E75" s="116"/>
      <c r="F75" s="116"/>
      <c r="G75" s="116"/>
      <c r="H75" s="116"/>
      <c r="I75" s="116"/>
      <c r="J75" s="116"/>
      <c r="K75" s="116"/>
      <c r="L75" s="116"/>
      <c r="M75" s="116"/>
      <c r="N75" s="116"/>
      <c r="O75" s="116"/>
      <c r="P75" s="116"/>
      <c r="Q75" s="116"/>
      <c r="R75" s="116"/>
      <c r="S75" s="116"/>
      <c r="T75" s="116"/>
      <c r="U75" s="116"/>
    </row>
    <row r="76" spans="1:21" x14ac:dyDescent="0.25">
      <c r="A76" s="80">
        <v>65</v>
      </c>
      <c r="B76" s="116">
        <v>381.2</v>
      </c>
      <c r="C76" s="116">
        <v>195.3</v>
      </c>
      <c r="D76" s="116"/>
      <c r="E76" s="116"/>
      <c r="F76" s="116"/>
      <c r="G76" s="116"/>
      <c r="H76" s="116"/>
      <c r="I76" s="116"/>
      <c r="J76" s="116"/>
      <c r="K76" s="116"/>
      <c r="L76" s="116"/>
      <c r="M76" s="116"/>
      <c r="N76" s="116"/>
      <c r="O76" s="116"/>
      <c r="P76" s="116"/>
      <c r="Q76" s="116"/>
      <c r="R76" s="116"/>
      <c r="S76" s="116"/>
      <c r="T76" s="116"/>
      <c r="U76" s="116"/>
    </row>
    <row r="77" spans="1:21" x14ac:dyDescent="0.25">
      <c r="A77" s="80">
        <v>66</v>
      </c>
      <c r="B77" s="116">
        <v>387.9</v>
      </c>
      <c r="C77" s="116"/>
      <c r="D77" s="116"/>
      <c r="E77" s="116"/>
      <c r="F77" s="116"/>
      <c r="G77" s="116"/>
      <c r="H77" s="116"/>
      <c r="I77" s="116"/>
      <c r="J77" s="116"/>
      <c r="K77" s="116"/>
      <c r="L77" s="116"/>
      <c r="M77" s="116"/>
      <c r="N77" s="116"/>
      <c r="O77" s="116"/>
      <c r="P77" s="116"/>
      <c r="Q77" s="116"/>
      <c r="R77" s="116"/>
      <c r="S77" s="116"/>
      <c r="T77" s="116"/>
      <c r="U77" s="116"/>
    </row>
  </sheetData>
  <sheetProtection algorithmName="SHA-512" hashValue="W39HYFWLD/Qv7ksVBSMC0uwxvqvnvQKkWiwk+b+Jp//t/hH1HcAEXhe8iYaazMZQKVKM/q+7OE3Xo1c2MgvK/w==" saltValue="mDmrtyD8mAv9P9UWnFVv4A==" spinCount="100000" sheet="1" objects="1" scenarios="1"/>
  <conditionalFormatting sqref="A6:A21">
    <cfRule type="expression" dxfId="309" priority="9" stopIfTrue="1">
      <formula>MOD(ROW(),2)=0</formula>
    </cfRule>
    <cfRule type="expression" dxfId="308" priority="10" stopIfTrue="1">
      <formula>MOD(ROW(),2)&lt;&gt;0</formula>
    </cfRule>
  </conditionalFormatting>
  <conditionalFormatting sqref="A26:A77">
    <cfRule type="expression" dxfId="307" priority="11" stopIfTrue="1">
      <formula>MOD(ROW(),2)=0</formula>
    </cfRule>
    <cfRule type="expression" dxfId="306" priority="12" stopIfTrue="1">
      <formula>MOD(ROW(),2)&lt;&gt;0</formula>
    </cfRule>
  </conditionalFormatting>
  <conditionalFormatting sqref="B17:B21">
    <cfRule type="expression" dxfId="305" priority="1" stopIfTrue="1">
      <formula>MOD(ROW(),2)=0</formula>
    </cfRule>
    <cfRule type="expression" dxfId="304" priority="2" stopIfTrue="1">
      <formula>MOD(ROW(),2)&lt;&gt;0</formula>
    </cfRule>
  </conditionalFormatting>
  <conditionalFormatting sqref="B6:U21">
    <cfRule type="expression" dxfId="303" priority="17" stopIfTrue="1">
      <formula>MOD(ROW(),2)=0</formula>
    </cfRule>
    <cfRule type="expression" dxfId="302" priority="18" stopIfTrue="1">
      <formula>MOD(ROW(),2)&lt;&gt;0</formula>
    </cfRule>
  </conditionalFormatting>
  <conditionalFormatting sqref="B26:U77">
    <cfRule type="expression" dxfId="301" priority="13" stopIfTrue="1">
      <formula>MOD(ROW(),2)=0</formula>
    </cfRule>
    <cfRule type="expression" dxfId="300" priority="14" stopIfTrue="1">
      <formula>MOD(ROW(),2)&lt;&gt;0</formula>
    </cfRule>
  </conditionalFormatting>
  <hyperlinks>
    <hyperlink ref="B24" location="Assumptions!A1" display="Assumptions" xr:uid="{1E101FB0-803A-49AD-AFF6-E2D5147FE0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D8DC4-E339-4DB0-80B5-8BC60ECAEA22}">
  <sheetPr codeName="Sheet104"/>
  <dimension ref="A1:V184"/>
  <sheetViews>
    <sheetView showGridLines="0" zoomScale="85" zoomScaleNormal="85" workbookViewId="0">
      <selection activeCell="A4" sqref="A4"/>
    </sheetView>
  </sheetViews>
  <sheetFormatPr defaultColWidth="10" defaultRowHeight="12.5" x14ac:dyDescent="0.25"/>
  <cols>
    <col min="1" max="1" width="31.54296875" style="26" customWidth="1"/>
    <col min="2" max="21" width="22.54296875" style="26" customWidth="1"/>
    <col min="22" max="16384" width="10" style="26"/>
  </cols>
  <sheetData>
    <row r="1" spans="1:21" ht="20" x14ac:dyDescent="0.4">
      <c r="A1" s="37" t="s">
        <v>0</v>
      </c>
      <c r="B1" s="38"/>
      <c r="C1" s="38"/>
      <c r="D1" s="38"/>
      <c r="E1" s="38"/>
      <c r="F1" s="38"/>
      <c r="G1" s="38"/>
      <c r="H1" s="38"/>
      <c r="I1" s="38"/>
    </row>
    <row r="2" spans="1:21" ht="15.5" x14ac:dyDescent="0.35">
      <c r="A2" s="39" t="str">
        <f>IF(title="&gt; Enter workbook title here","Enter workbook title in Cover sheet",title)</f>
        <v>NHSPS_S - Consolidated Factor Spreadsheet</v>
      </c>
      <c r="B2" s="40"/>
      <c r="C2" s="40"/>
      <c r="D2" s="40"/>
      <c r="E2" s="40"/>
      <c r="F2" s="40"/>
      <c r="G2" s="40"/>
      <c r="H2" s="40"/>
      <c r="I2" s="40"/>
    </row>
    <row r="3" spans="1:21" ht="15.5" x14ac:dyDescent="0.35">
      <c r="A3" s="41" t="str">
        <f>TABLE_FACTOR_TYPE_1&amp;" - x-"&amp;TABLE_SERIES_NUMBER_1</f>
        <v>Added pension - x-719</v>
      </c>
      <c r="B3" s="40"/>
      <c r="C3" s="40"/>
      <c r="D3" s="40"/>
      <c r="E3" s="40"/>
      <c r="F3" s="40"/>
      <c r="G3" s="40"/>
      <c r="H3" s="40"/>
      <c r="I3" s="40"/>
    </row>
    <row r="4" spans="1:21" x14ac:dyDescent="0.25">
      <c r="A4" s="42"/>
    </row>
    <row r="6" spans="1:21" ht="13" x14ac:dyDescent="0.3">
      <c r="A6" s="75" t="s">
        <v>274</v>
      </c>
      <c r="B6" s="161" t="s">
        <v>275</v>
      </c>
      <c r="C6" s="161"/>
      <c r="D6" s="161"/>
      <c r="E6" s="161"/>
      <c r="F6" s="161"/>
      <c r="G6" s="161"/>
      <c r="H6" s="161"/>
      <c r="I6" s="161"/>
      <c r="J6" s="161"/>
      <c r="K6" s="161"/>
      <c r="L6" s="161"/>
      <c r="M6" s="161"/>
      <c r="N6" s="161"/>
      <c r="O6" s="161"/>
      <c r="P6" s="161"/>
      <c r="Q6" s="161"/>
      <c r="R6" s="161"/>
      <c r="S6" s="161"/>
      <c r="T6" s="161"/>
      <c r="U6" s="161"/>
    </row>
    <row r="7" spans="1:21" x14ac:dyDescent="0.25">
      <c r="A7" s="77" t="s">
        <v>276</v>
      </c>
      <c r="B7" s="161" t="s">
        <v>72</v>
      </c>
      <c r="C7" s="161"/>
      <c r="D7" s="161"/>
      <c r="E7" s="161"/>
      <c r="F7" s="161"/>
      <c r="G7" s="161"/>
      <c r="H7" s="161"/>
      <c r="I7" s="161"/>
      <c r="J7" s="161"/>
      <c r="K7" s="161"/>
      <c r="L7" s="161"/>
      <c r="M7" s="161"/>
      <c r="N7" s="161"/>
      <c r="O7" s="161"/>
      <c r="P7" s="161"/>
      <c r="Q7" s="161"/>
      <c r="R7" s="161"/>
      <c r="S7" s="161"/>
      <c r="T7" s="161"/>
      <c r="U7" s="161"/>
    </row>
    <row r="8" spans="1:21" x14ac:dyDescent="0.25">
      <c r="A8" s="77" t="s">
        <v>278</v>
      </c>
      <c r="B8" s="161" t="s">
        <v>73</v>
      </c>
      <c r="C8" s="161"/>
      <c r="D8" s="161"/>
      <c r="E8" s="161"/>
      <c r="F8" s="161"/>
      <c r="G8" s="161"/>
      <c r="H8" s="161"/>
      <c r="I8" s="161"/>
      <c r="J8" s="161"/>
      <c r="K8" s="161"/>
      <c r="L8" s="161"/>
      <c r="M8" s="161"/>
      <c r="N8" s="161"/>
      <c r="O8" s="161"/>
      <c r="P8" s="161"/>
      <c r="Q8" s="161"/>
      <c r="R8" s="161"/>
      <c r="S8" s="161"/>
      <c r="T8" s="161"/>
      <c r="U8" s="161"/>
    </row>
    <row r="9" spans="1:21" x14ac:dyDescent="0.25">
      <c r="A9" s="77" t="s">
        <v>280</v>
      </c>
      <c r="B9" s="161" t="s">
        <v>549</v>
      </c>
      <c r="C9" s="161"/>
      <c r="D9" s="161"/>
      <c r="E9" s="161"/>
      <c r="F9" s="161"/>
      <c r="G9" s="161"/>
      <c r="H9" s="161"/>
      <c r="I9" s="161"/>
      <c r="J9" s="161"/>
      <c r="K9" s="161"/>
      <c r="L9" s="161"/>
      <c r="M9" s="161"/>
      <c r="N9" s="161"/>
      <c r="O9" s="161"/>
      <c r="P9" s="161"/>
      <c r="Q9" s="161"/>
      <c r="R9" s="161"/>
      <c r="S9" s="161"/>
      <c r="T9" s="161"/>
      <c r="U9" s="161"/>
    </row>
    <row r="10" spans="1:21" x14ac:dyDescent="0.25">
      <c r="A10" s="77" t="s">
        <v>6</v>
      </c>
      <c r="B10" s="161" t="s">
        <v>600</v>
      </c>
      <c r="C10" s="161"/>
      <c r="D10" s="161"/>
      <c r="E10" s="161"/>
      <c r="F10" s="161"/>
      <c r="G10" s="161"/>
      <c r="H10" s="161"/>
      <c r="I10" s="161"/>
      <c r="J10" s="161"/>
      <c r="K10" s="161"/>
      <c r="L10" s="161"/>
      <c r="M10" s="161"/>
      <c r="N10" s="161"/>
      <c r="O10" s="161"/>
      <c r="P10" s="161"/>
      <c r="Q10" s="161"/>
      <c r="R10" s="161"/>
      <c r="S10" s="161"/>
      <c r="T10" s="161"/>
      <c r="U10" s="161"/>
    </row>
    <row r="11" spans="1:21" x14ac:dyDescent="0.25">
      <c r="A11" s="77" t="s">
        <v>283</v>
      </c>
      <c r="B11" s="161" t="s">
        <v>355</v>
      </c>
      <c r="C11" s="161"/>
      <c r="D11" s="161"/>
      <c r="E11" s="161"/>
      <c r="F11" s="161"/>
      <c r="G11" s="161"/>
      <c r="H11" s="161"/>
      <c r="I11" s="161"/>
      <c r="J11" s="161"/>
      <c r="K11" s="161"/>
      <c r="L11" s="161"/>
      <c r="M11" s="161"/>
      <c r="N11" s="161"/>
      <c r="O11" s="161"/>
      <c r="P11" s="161"/>
      <c r="Q11" s="161"/>
      <c r="R11" s="161"/>
      <c r="S11" s="161"/>
      <c r="T11" s="161"/>
      <c r="U11" s="161"/>
    </row>
    <row r="12" spans="1:21" x14ac:dyDescent="0.25">
      <c r="A12" s="77" t="s">
        <v>285</v>
      </c>
      <c r="B12" s="161" t="s">
        <v>555</v>
      </c>
      <c r="C12" s="161"/>
      <c r="D12" s="161"/>
      <c r="E12" s="161"/>
      <c r="F12" s="161"/>
      <c r="G12" s="161"/>
      <c r="H12" s="161"/>
      <c r="I12" s="161"/>
      <c r="J12" s="161"/>
      <c r="K12" s="161"/>
      <c r="L12" s="161"/>
      <c r="M12" s="161"/>
      <c r="N12" s="161"/>
      <c r="O12" s="161"/>
      <c r="P12" s="161"/>
      <c r="Q12" s="161"/>
      <c r="R12" s="161"/>
      <c r="S12" s="161"/>
      <c r="T12" s="161"/>
      <c r="U12" s="161"/>
    </row>
    <row r="13" spans="1:21" x14ac:dyDescent="0.25">
      <c r="A13" s="77" t="s">
        <v>287</v>
      </c>
      <c r="B13" s="161">
        <v>0</v>
      </c>
      <c r="C13" s="161"/>
      <c r="D13" s="161"/>
      <c r="E13" s="161"/>
      <c r="F13" s="161"/>
      <c r="G13" s="161"/>
      <c r="H13" s="161"/>
      <c r="I13" s="161"/>
      <c r="J13" s="161"/>
      <c r="K13" s="161"/>
      <c r="L13" s="161"/>
      <c r="M13" s="161"/>
      <c r="N13" s="161"/>
      <c r="O13" s="161"/>
      <c r="P13" s="161"/>
      <c r="Q13" s="161"/>
      <c r="R13" s="161"/>
      <c r="S13" s="161"/>
      <c r="T13" s="161"/>
      <c r="U13" s="161"/>
    </row>
    <row r="14" spans="1:21" x14ac:dyDescent="0.25">
      <c r="A14" s="77" t="s">
        <v>289</v>
      </c>
      <c r="B14" s="161">
        <v>719</v>
      </c>
      <c r="C14" s="161"/>
      <c r="D14" s="161"/>
      <c r="E14" s="161"/>
      <c r="F14" s="161"/>
      <c r="G14" s="161"/>
      <c r="H14" s="161"/>
      <c r="I14" s="161"/>
      <c r="J14" s="161"/>
      <c r="K14" s="161"/>
      <c r="L14" s="161"/>
      <c r="M14" s="161"/>
      <c r="N14" s="161"/>
      <c r="O14" s="161"/>
      <c r="P14" s="161"/>
      <c r="Q14" s="161"/>
      <c r="R14" s="161"/>
      <c r="S14" s="161"/>
      <c r="T14" s="161"/>
      <c r="U14" s="161"/>
    </row>
    <row r="15" spans="1:21" x14ac:dyDescent="0.25">
      <c r="A15" s="77" t="s">
        <v>291</v>
      </c>
      <c r="B15" s="161" t="s">
        <v>601</v>
      </c>
      <c r="C15" s="161"/>
      <c r="D15" s="161"/>
      <c r="E15" s="161"/>
      <c r="F15" s="161"/>
      <c r="G15" s="161"/>
      <c r="H15" s="161"/>
      <c r="I15" s="161"/>
      <c r="J15" s="161"/>
      <c r="K15" s="161"/>
      <c r="L15" s="161"/>
      <c r="M15" s="161"/>
      <c r="N15" s="161"/>
      <c r="O15" s="161"/>
      <c r="P15" s="161"/>
      <c r="Q15" s="161"/>
      <c r="R15" s="161"/>
      <c r="S15" s="161"/>
      <c r="T15" s="161"/>
      <c r="U15" s="161"/>
    </row>
    <row r="16" spans="1:21" x14ac:dyDescent="0.25">
      <c r="A16" s="77" t="s">
        <v>293</v>
      </c>
      <c r="B16" s="161" t="s">
        <v>602</v>
      </c>
      <c r="C16" s="161"/>
      <c r="D16" s="161"/>
      <c r="E16" s="161"/>
      <c r="F16" s="161"/>
      <c r="G16" s="161"/>
      <c r="H16" s="161"/>
      <c r="I16" s="161"/>
      <c r="J16" s="161"/>
      <c r="K16" s="161"/>
      <c r="L16" s="161"/>
      <c r="M16" s="161"/>
      <c r="N16" s="161"/>
      <c r="O16" s="161"/>
      <c r="P16" s="161"/>
      <c r="Q16" s="161"/>
      <c r="R16" s="161"/>
      <c r="S16" s="161"/>
      <c r="T16" s="161"/>
      <c r="U16" s="161"/>
    </row>
    <row r="17" spans="1:21" x14ac:dyDescent="0.25">
      <c r="A17" s="74" t="s">
        <v>760</v>
      </c>
      <c r="B17" s="161"/>
      <c r="C17" s="161"/>
      <c r="D17" s="161"/>
      <c r="E17" s="161"/>
      <c r="F17" s="161"/>
      <c r="G17" s="161"/>
      <c r="H17" s="161"/>
      <c r="I17" s="161"/>
      <c r="J17" s="161"/>
      <c r="K17" s="161"/>
      <c r="L17" s="161"/>
      <c r="M17" s="161"/>
      <c r="N17" s="161"/>
      <c r="O17" s="161"/>
      <c r="P17" s="161"/>
      <c r="Q17" s="161"/>
      <c r="R17" s="161"/>
      <c r="S17" s="161"/>
      <c r="T17" s="161"/>
      <c r="U17" s="161"/>
    </row>
    <row r="18" spans="1:21" x14ac:dyDescent="0.25">
      <c r="A18" s="77" t="s">
        <v>297</v>
      </c>
      <c r="B18" s="163">
        <v>45202</v>
      </c>
      <c r="C18" s="161"/>
      <c r="D18" s="161"/>
      <c r="E18" s="161"/>
      <c r="F18" s="161"/>
      <c r="G18" s="161"/>
      <c r="H18" s="161"/>
      <c r="I18" s="161"/>
      <c r="J18" s="161"/>
      <c r="K18" s="161"/>
      <c r="L18" s="161"/>
      <c r="M18" s="161"/>
      <c r="N18" s="161"/>
      <c r="O18" s="161"/>
      <c r="P18" s="161"/>
      <c r="Q18" s="161"/>
      <c r="R18" s="161"/>
      <c r="S18" s="161"/>
      <c r="T18" s="161"/>
      <c r="U18" s="161"/>
    </row>
    <row r="19" spans="1:21" x14ac:dyDescent="0.25">
      <c r="A19" s="77" t="s">
        <v>299</v>
      </c>
      <c r="B19" s="163">
        <v>45383</v>
      </c>
      <c r="C19" s="161"/>
      <c r="D19" s="161"/>
      <c r="E19" s="161"/>
      <c r="F19" s="161"/>
      <c r="G19" s="161"/>
      <c r="H19" s="161"/>
      <c r="I19" s="161"/>
      <c r="J19" s="161"/>
      <c r="K19" s="161"/>
      <c r="L19" s="161"/>
      <c r="M19" s="161"/>
      <c r="N19" s="161"/>
      <c r="O19" s="161"/>
      <c r="P19" s="161"/>
      <c r="Q19" s="161"/>
      <c r="R19" s="161"/>
      <c r="S19" s="161"/>
      <c r="T19" s="161"/>
      <c r="U19" s="161"/>
    </row>
    <row r="20" spans="1:21" x14ac:dyDescent="0.25">
      <c r="A20" s="77" t="s">
        <v>301</v>
      </c>
      <c r="B20" s="161" t="s">
        <v>314</v>
      </c>
      <c r="C20" s="161"/>
      <c r="D20" s="161"/>
      <c r="E20" s="161"/>
      <c r="F20" s="161"/>
      <c r="G20" s="161"/>
      <c r="H20" s="161"/>
      <c r="I20" s="161"/>
      <c r="J20" s="161"/>
      <c r="K20" s="161"/>
      <c r="L20" s="161"/>
      <c r="M20" s="161"/>
      <c r="N20" s="161"/>
      <c r="O20" s="161"/>
      <c r="P20" s="161"/>
      <c r="Q20" s="161"/>
      <c r="R20" s="161"/>
      <c r="S20" s="161"/>
      <c r="T20" s="161"/>
      <c r="U20" s="161"/>
    </row>
    <row r="21" spans="1:21" x14ac:dyDescent="0.25">
      <c r="A21" s="77" t="s">
        <v>307</v>
      </c>
      <c r="B21" s="161" t="s">
        <v>315</v>
      </c>
      <c r="C21" s="161"/>
      <c r="D21" s="161"/>
      <c r="E21" s="161"/>
      <c r="F21" s="161"/>
      <c r="G21" s="161"/>
      <c r="H21" s="161"/>
      <c r="I21" s="161"/>
      <c r="J21" s="161"/>
      <c r="K21" s="161"/>
      <c r="L21" s="161"/>
      <c r="M21" s="161"/>
      <c r="N21" s="161"/>
      <c r="O21" s="161"/>
      <c r="P21" s="161"/>
      <c r="Q21" s="161"/>
      <c r="R21" s="161"/>
      <c r="S21" s="161"/>
      <c r="T21" s="161"/>
      <c r="U21" s="161"/>
    </row>
    <row r="23" spans="1:21" x14ac:dyDescent="0.25">
      <c r="B23" s="100" t="str">
        <f>HYPERLINK("#'Factor List'!A1","Back to Factor List")</f>
        <v>Back to Factor List</v>
      </c>
    </row>
    <row r="24" spans="1:21" x14ac:dyDescent="0.25">
      <c r="B24" s="100" t="s">
        <v>13</v>
      </c>
    </row>
    <row r="26" spans="1:21" ht="13" x14ac:dyDescent="0.25">
      <c r="A26" s="79" t="s">
        <v>417</v>
      </c>
      <c r="B26" s="79" t="s">
        <v>816</v>
      </c>
      <c r="C26" s="79" t="s">
        <v>817</v>
      </c>
      <c r="D26" s="79" t="s">
        <v>818</v>
      </c>
      <c r="E26" s="79" t="s">
        <v>819</v>
      </c>
      <c r="F26" s="79" t="s">
        <v>820</v>
      </c>
      <c r="G26" s="79" t="s">
        <v>821</v>
      </c>
      <c r="H26" s="79" t="s">
        <v>822</v>
      </c>
      <c r="I26" s="79" t="s">
        <v>823</v>
      </c>
      <c r="J26" s="79" t="s">
        <v>824</v>
      </c>
      <c r="K26" s="79" t="s">
        <v>825</v>
      </c>
      <c r="L26" s="79" t="s">
        <v>826</v>
      </c>
      <c r="M26" s="79" t="s">
        <v>827</v>
      </c>
      <c r="N26" s="79" t="s">
        <v>828</v>
      </c>
      <c r="O26" s="79" t="s">
        <v>829</v>
      </c>
      <c r="P26" s="79" t="s">
        <v>830</v>
      </c>
      <c r="Q26" s="79" t="s">
        <v>831</v>
      </c>
      <c r="R26" s="79" t="s">
        <v>832</v>
      </c>
      <c r="S26" s="79" t="s">
        <v>833</v>
      </c>
      <c r="T26" s="79" t="s">
        <v>834</v>
      </c>
      <c r="U26" s="79" t="s">
        <v>835</v>
      </c>
    </row>
    <row r="27" spans="1:21" x14ac:dyDescent="0.25">
      <c r="A27" s="80">
        <v>16</v>
      </c>
      <c r="B27" s="116">
        <v>182.9</v>
      </c>
      <c r="C27" s="116">
        <v>93.2</v>
      </c>
      <c r="D27" s="116">
        <v>63.2</v>
      </c>
      <c r="E27" s="116">
        <v>48.3</v>
      </c>
      <c r="F27" s="116">
        <v>39.299999999999997</v>
      </c>
      <c r="G27" s="116">
        <v>33.4</v>
      </c>
      <c r="H27" s="116">
        <v>29.1</v>
      </c>
      <c r="I27" s="116">
        <v>25.9</v>
      </c>
      <c r="J27" s="116">
        <v>23.5</v>
      </c>
      <c r="K27" s="116">
        <v>21.5</v>
      </c>
      <c r="L27" s="116">
        <v>19.899999999999999</v>
      </c>
      <c r="M27" s="116">
        <v>18.5</v>
      </c>
      <c r="N27" s="116">
        <v>17.399999999999999</v>
      </c>
      <c r="O27" s="116">
        <v>16.399999999999999</v>
      </c>
      <c r="P27" s="116">
        <v>15.6</v>
      </c>
      <c r="Q27" s="116">
        <v>14.9</v>
      </c>
      <c r="R27" s="116">
        <v>14.2</v>
      </c>
      <c r="S27" s="116">
        <v>13.7</v>
      </c>
      <c r="T27" s="116">
        <v>13.2</v>
      </c>
      <c r="U27" s="116">
        <v>12.7</v>
      </c>
    </row>
    <row r="28" spans="1:21" x14ac:dyDescent="0.25">
      <c r="A28" s="80">
        <v>17</v>
      </c>
      <c r="B28" s="116">
        <v>185.9</v>
      </c>
      <c r="C28" s="116">
        <v>94.6</v>
      </c>
      <c r="D28" s="116">
        <v>64.3</v>
      </c>
      <c r="E28" s="116">
        <v>49.1</v>
      </c>
      <c r="F28" s="116">
        <v>40</v>
      </c>
      <c r="G28" s="116">
        <v>33.9</v>
      </c>
      <c r="H28" s="116">
        <v>29.6</v>
      </c>
      <c r="I28" s="116">
        <v>26.3</v>
      </c>
      <c r="J28" s="116">
        <v>23.8</v>
      </c>
      <c r="K28" s="116">
        <v>21.8</v>
      </c>
      <c r="L28" s="116">
        <v>20.2</v>
      </c>
      <c r="M28" s="116">
        <v>18.8</v>
      </c>
      <c r="N28" s="116">
        <v>17.7</v>
      </c>
      <c r="O28" s="116">
        <v>16.7</v>
      </c>
      <c r="P28" s="116">
        <v>15.8</v>
      </c>
      <c r="Q28" s="116">
        <v>15.1</v>
      </c>
      <c r="R28" s="116">
        <v>14.5</v>
      </c>
      <c r="S28" s="116">
        <v>13.9</v>
      </c>
      <c r="T28" s="116">
        <v>13.4</v>
      </c>
      <c r="U28" s="116">
        <v>12.9</v>
      </c>
    </row>
    <row r="29" spans="1:21" x14ac:dyDescent="0.25">
      <c r="A29" s="80">
        <v>18</v>
      </c>
      <c r="B29" s="116">
        <v>189</v>
      </c>
      <c r="C29" s="116">
        <v>96.2</v>
      </c>
      <c r="D29" s="116">
        <v>65.3</v>
      </c>
      <c r="E29" s="116">
        <v>49.9</v>
      </c>
      <c r="F29" s="116">
        <v>40.6</v>
      </c>
      <c r="G29" s="116">
        <v>34.5</v>
      </c>
      <c r="H29" s="116">
        <v>30.1</v>
      </c>
      <c r="I29" s="116">
        <v>26.8</v>
      </c>
      <c r="J29" s="116">
        <v>24.2</v>
      </c>
      <c r="K29" s="116">
        <v>22.2</v>
      </c>
      <c r="L29" s="116">
        <v>20.5</v>
      </c>
      <c r="M29" s="116">
        <v>19.100000000000001</v>
      </c>
      <c r="N29" s="116">
        <v>18</v>
      </c>
      <c r="O29" s="116">
        <v>17</v>
      </c>
      <c r="P29" s="116">
        <v>16.100000000000001</v>
      </c>
      <c r="Q29" s="116">
        <v>15.4</v>
      </c>
      <c r="R29" s="116">
        <v>14.7</v>
      </c>
      <c r="S29" s="116">
        <v>14.1</v>
      </c>
      <c r="T29" s="116">
        <v>13.6</v>
      </c>
      <c r="U29" s="116">
        <v>13.1</v>
      </c>
    </row>
    <row r="30" spans="1:21" x14ac:dyDescent="0.25">
      <c r="A30" s="80">
        <v>19</v>
      </c>
      <c r="B30" s="116">
        <v>192</v>
      </c>
      <c r="C30" s="116">
        <v>97.8</v>
      </c>
      <c r="D30" s="116">
        <v>66.400000000000006</v>
      </c>
      <c r="E30" s="116">
        <v>50.7</v>
      </c>
      <c r="F30" s="116">
        <v>41.3</v>
      </c>
      <c r="G30" s="116">
        <v>35</v>
      </c>
      <c r="H30" s="116">
        <v>30.6</v>
      </c>
      <c r="I30" s="116">
        <v>27.2</v>
      </c>
      <c r="J30" s="116">
        <v>24.6</v>
      </c>
      <c r="K30" s="116">
        <v>22.5</v>
      </c>
      <c r="L30" s="116">
        <v>20.9</v>
      </c>
      <c r="M30" s="116">
        <v>19.5</v>
      </c>
      <c r="N30" s="116">
        <v>18.3</v>
      </c>
      <c r="O30" s="116">
        <v>17.3</v>
      </c>
      <c r="P30" s="116">
        <v>16.399999999999999</v>
      </c>
      <c r="Q30" s="116">
        <v>15.6</v>
      </c>
      <c r="R30" s="116">
        <v>14.9</v>
      </c>
      <c r="S30" s="116">
        <v>14.3</v>
      </c>
      <c r="T30" s="116">
        <v>13.8</v>
      </c>
      <c r="U30" s="116">
        <v>13.3</v>
      </c>
    </row>
    <row r="31" spans="1:21" x14ac:dyDescent="0.25">
      <c r="A31" s="80">
        <v>20</v>
      </c>
      <c r="B31" s="116">
        <v>194.7</v>
      </c>
      <c r="C31" s="116">
        <v>99.2</v>
      </c>
      <c r="D31" s="116">
        <v>67.3</v>
      </c>
      <c r="E31" s="116">
        <v>51.4</v>
      </c>
      <c r="F31" s="116">
        <v>41.9</v>
      </c>
      <c r="G31" s="116">
        <v>35.5</v>
      </c>
      <c r="H31" s="116">
        <v>31</v>
      </c>
      <c r="I31" s="116">
        <v>27.6</v>
      </c>
      <c r="J31" s="116">
        <v>25</v>
      </c>
      <c r="K31" s="116">
        <v>22.9</v>
      </c>
      <c r="L31" s="116">
        <v>21.2</v>
      </c>
      <c r="M31" s="116">
        <v>19.7</v>
      </c>
      <c r="N31" s="116">
        <v>18.5</v>
      </c>
      <c r="O31" s="116">
        <v>17.5</v>
      </c>
      <c r="P31" s="116">
        <v>16.600000000000001</v>
      </c>
      <c r="Q31" s="116">
        <v>15.8</v>
      </c>
      <c r="R31" s="116">
        <v>15.2</v>
      </c>
      <c r="S31" s="116">
        <v>14.6</v>
      </c>
      <c r="T31" s="116">
        <v>14</v>
      </c>
      <c r="U31" s="116">
        <v>13.5</v>
      </c>
    </row>
    <row r="32" spans="1:21" x14ac:dyDescent="0.25">
      <c r="A32" s="80">
        <v>21</v>
      </c>
      <c r="B32" s="116">
        <v>197.5</v>
      </c>
      <c r="C32" s="116">
        <v>100.6</v>
      </c>
      <c r="D32" s="116">
        <v>68.3</v>
      </c>
      <c r="E32" s="116">
        <v>52.1</v>
      </c>
      <c r="F32" s="116">
        <v>42.5</v>
      </c>
      <c r="G32" s="116">
        <v>36</v>
      </c>
      <c r="H32" s="116">
        <v>31.4</v>
      </c>
      <c r="I32" s="116">
        <v>28</v>
      </c>
      <c r="J32" s="116">
        <v>25.3</v>
      </c>
      <c r="K32" s="116">
        <v>23.2</v>
      </c>
      <c r="L32" s="116">
        <v>21.5</v>
      </c>
      <c r="M32" s="116">
        <v>20</v>
      </c>
      <c r="N32" s="116">
        <v>18.8</v>
      </c>
      <c r="O32" s="116">
        <v>17.7</v>
      </c>
      <c r="P32" s="116">
        <v>16.8</v>
      </c>
      <c r="Q32" s="116">
        <v>16.100000000000001</v>
      </c>
      <c r="R32" s="116">
        <v>15.4</v>
      </c>
      <c r="S32" s="116">
        <v>14.8</v>
      </c>
      <c r="T32" s="116">
        <v>14.2</v>
      </c>
      <c r="U32" s="116">
        <v>13.7</v>
      </c>
    </row>
    <row r="33" spans="1:21" x14ac:dyDescent="0.25">
      <c r="A33" s="80">
        <v>22</v>
      </c>
      <c r="B33" s="116">
        <v>200.3</v>
      </c>
      <c r="C33" s="116">
        <v>102</v>
      </c>
      <c r="D33" s="116">
        <v>69.2</v>
      </c>
      <c r="E33" s="116">
        <v>52.9</v>
      </c>
      <c r="F33" s="116">
        <v>43.1</v>
      </c>
      <c r="G33" s="116">
        <v>36.5</v>
      </c>
      <c r="H33" s="116">
        <v>31.9</v>
      </c>
      <c r="I33" s="116">
        <v>28.4</v>
      </c>
      <c r="J33" s="116">
        <v>25.7</v>
      </c>
      <c r="K33" s="116">
        <v>23.5</v>
      </c>
      <c r="L33" s="116">
        <v>21.8</v>
      </c>
      <c r="M33" s="116">
        <v>20.3</v>
      </c>
      <c r="N33" s="116">
        <v>19.100000000000001</v>
      </c>
      <c r="O33" s="116">
        <v>18</v>
      </c>
      <c r="P33" s="116">
        <v>17.100000000000001</v>
      </c>
      <c r="Q33" s="116">
        <v>16.3</v>
      </c>
      <c r="R33" s="116">
        <v>15.6</v>
      </c>
      <c r="S33" s="116">
        <v>15</v>
      </c>
      <c r="T33" s="116">
        <v>14.4</v>
      </c>
      <c r="U33" s="116">
        <v>13.9</v>
      </c>
    </row>
    <row r="34" spans="1:21" x14ac:dyDescent="0.25">
      <c r="A34" s="80">
        <v>23</v>
      </c>
      <c r="B34" s="116">
        <v>203.1</v>
      </c>
      <c r="C34" s="116">
        <v>103.4</v>
      </c>
      <c r="D34" s="116">
        <v>70.2</v>
      </c>
      <c r="E34" s="116">
        <v>53.6</v>
      </c>
      <c r="F34" s="116">
        <v>43.7</v>
      </c>
      <c r="G34" s="116">
        <v>37.1</v>
      </c>
      <c r="H34" s="116">
        <v>32.299999999999997</v>
      </c>
      <c r="I34" s="116">
        <v>28.8</v>
      </c>
      <c r="J34" s="116">
        <v>26</v>
      </c>
      <c r="K34" s="116">
        <v>23.9</v>
      </c>
      <c r="L34" s="116">
        <v>22.1</v>
      </c>
      <c r="M34" s="116">
        <v>20.6</v>
      </c>
      <c r="N34" s="116">
        <v>19.3</v>
      </c>
      <c r="O34" s="116">
        <v>18.3</v>
      </c>
      <c r="P34" s="116">
        <v>17.3</v>
      </c>
      <c r="Q34" s="116">
        <v>16.5</v>
      </c>
      <c r="R34" s="116">
        <v>15.8</v>
      </c>
      <c r="S34" s="116">
        <v>15.2</v>
      </c>
      <c r="T34" s="116">
        <v>14.6</v>
      </c>
      <c r="U34" s="116">
        <v>14.1</v>
      </c>
    </row>
    <row r="35" spans="1:21" x14ac:dyDescent="0.25">
      <c r="A35" s="80">
        <v>24</v>
      </c>
      <c r="B35" s="116">
        <v>205.9</v>
      </c>
      <c r="C35" s="116">
        <v>104.9</v>
      </c>
      <c r="D35" s="116">
        <v>71.2</v>
      </c>
      <c r="E35" s="116">
        <v>54.4</v>
      </c>
      <c r="F35" s="116">
        <v>44.3</v>
      </c>
      <c r="G35" s="116">
        <v>37.6</v>
      </c>
      <c r="H35" s="116">
        <v>32.799999999999997</v>
      </c>
      <c r="I35" s="116">
        <v>29.2</v>
      </c>
      <c r="J35" s="116">
        <v>26.4</v>
      </c>
      <c r="K35" s="116">
        <v>24.2</v>
      </c>
      <c r="L35" s="116">
        <v>22.4</v>
      </c>
      <c r="M35" s="116">
        <v>20.9</v>
      </c>
      <c r="N35" s="116">
        <v>19.600000000000001</v>
      </c>
      <c r="O35" s="116">
        <v>18.5</v>
      </c>
      <c r="P35" s="116">
        <v>17.600000000000001</v>
      </c>
      <c r="Q35" s="116">
        <v>16.8</v>
      </c>
      <c r="R35" s="116">
        <v>16</v>
      </c>
      <c r="S35" s="116">
        <v>15.4</v>
      </c>
      <c r="T35" s="116">
        <v>14.8</v>
      </c>
      <c r="U35" s="116">
        <v>14.3</v>
      </c>
    </row>
    <row r="36" spans="1:21" x14ac:dyDescent="0.25">
      <c r="A36" s="80">
        <v>25</v>
      </c>
      <c r="B36" s="116">
        <v>208.8</v>
      </c>
      <c r="C36" s="116">
        <v>106.3</v>
      </c>
      <c r="D36" s="116">
        <v>72.2</v>
      </c>
      <c r="E36" s="116">
        <v>55.1</v>
      </c>
      <c r="F36" s="116">
        <v>44.9</v>
      </c>
      <c r="G36" s="116">
        <v>38.1</v>
      </c>
      <c r="H36" s="116">
        <v>33.200000000000003</v>
      </c>
      <c r="I36" s="116">
        <v>29.6</v>
      </c>
      <c r="J36" s="116">
        <v>26.8</v>
      </c>
      <c r="K36" s="116">
        <v>24.5</v>
      </c>
      <c r="L36" s="116">
        <v>22.7</v>
      </c>
      <c r="M36" s="116">
        <v>21.2</v>
      </c>
      <c r="N36" s="116">
        <v>19.899999999999999</v>
      </c>
      <c r="O36" s="116">
        <v>18.8</v>
      </c>
      <c r="P36" s="116">
        <v>17.8</v>
      </c>
      <c r="Q36" s="116">
        <v>17</v>
      </c>
      <c r="R36" s="116">
        <v>16.3</v>
      </c>
      <c r="S36" s="116">
        <v>15.6</v>
      </c>
      <c r="T36" s="116">
        <v>15</v>
      </c>
      <c r="U36" s="116">
        <v>14.5</v>
      </c>
    </row>
    <row r="37" spans="1:21" x14ac:dyDescent="0.25">
      <c r="A37" s="80">
        <v>26</v>
      </c>
      <c r="B37" s="116">
        <v>211.7</v>
      </c>
      <c r="C37" s="116">
        <v>107.8</v>
      </c>
      <c r="D37" s="116">
        <v>73.2</v>
      </c>
      <c r="E37" s="116">
        <v>55.9</v>
      </c>
      <c r="F37" s="116">
        <v>45.5</v>
      </c>
      <c r="G37" s="116">
        <v>38.6</v>
      </c>
      <c r="H37" s="116">
        <v>33.700000000000003</v>
      </c>
      <c r="I37" s="116">
        <v>30</v>
      </c>
      <c r="J37" s="116">
        <v>27.2</v>
      </c>
      <c r="K37" s="116">
        <v>24.9</v>
      </c>
      <c r="L37" s="116">
        <v>23</v>
      </c>
      <c r="M37" s="116">
        <v>21.5</v>
      </c>
      <c r="N37" s="116">
        <v>20.2</v>
      </c>
      <c r="O37" s="116">
        <v>19</v>
      </c>
      <c r="P37" s="116">
        <v>18.100000000000001</v>
      </c>
      <c r="Q37" s="116">
        <v>17.2</v>
      </c>
      <c r="R37" s="116">
        <v>16.5</v>
      </c>
      <c r="S37" s="116">
        <v>15.8</v>
      </c>
      <c r="T37" s="116">
        <v>15.3</v>
      </c>
      <c r="U37" s="116">
        <v>14.7</v>
      </c>
    </row>
    <row r="38" spans="1:21" x14ac:dyDescent="0.25">
      <c r="A38" s="80">
        <v>27</v>
      </c>
      <c r="B38" s="116">
        <v>214.7</v>
      </c>
      <c r="C38" s="116">
        <v>109.3</v>
      </c>
      <c r="D38" s="116">
        <v>74.2</v>
      </c>
      <c r="E38" s="116">
        <v>56.7</v>
      </c>
      <c r="F38" s="116">
        <v>46.2</v>
      </c>
      <c r="G38" s="116">
        <v>39.200000000000003</v>
      </c>
      <c r="H38" s="116">
        <v>34.200000000000003</v>
      </c>
      <c r="I38" s="116">
        <v>30.5</v>
      </c>
      <c r="J38" s="116">
        <v>27.5</v>
      </c>
      <c r="K38" s="116">
        <v>25.2</v>
      </c>
      <c r="L38" s="116">
        <v>23.3</v>
      </c>
      <c r="M38" s="116">
        <v>21.8</v>
      </c>
      <c r="N38" s="116">
        <v>20.399999999999999</v>
      </c>
      <c r="O38" s="116">
        <v>19.3</v>
      </c>
      <c r="P38" s="116">
        <v>18.3</v>
      </c>
      <c r="Q38" s="116">
        <v>17.5</v>
      </c>
      <c r="R38" s="116">
        <v>16.7</v>
      </c>
      <c r="S38" s="116">
        <v>16.100000000000001</v>
      </c>
      <c r="T38" s="116">
        <v>15.5</v>
      </c>
      <c r="U38" s="116">
        <v>15</v>
      </c>
    </row>
    <row r="39" spans="1:21" x14ac:dyDescent="0.25">
      <c r="A39" s="80">
        <v>28</v>
      </c>
      <c r="B39" s="116">
        <v>217.7</v>
      </c>
      <c r="C39" s="116">
        <v>110.9</v>
      </c>
      <c r="D39" s="116">
        <v>75.3</v>
      </c>
      <c r="E39" s="116">
        <v>57.5</v>
      </c>
      <c r="F39" s="116">
        <v>46.8</v>
      </c>
      <c r="G39" s="116">
        <v>39.700000000000003</v>
      </c>
      <c r="H39" s="116">
        <v>34.700000000000003</v>
      </c>
      <c r="I39" s="116">
        <v>30.9</v>
      </c>
      <c r="J39" s="116">
        <v>27.9</v>
      </c>
      <c r="K39" s="116">
        <v>25.6</v>
      </c>
      <c r="L39" s="116">
        <v>23.7</v>
      </c>
      <c r="M39" s="116">
        <v>22.1</v>
      </c>
      <c r="N39" s="116">
        <v>20.7</v>
      </c>
      <c r="O39" s="116">
        <v>19.600000000000001</v>
      </c>
      <c r="P39" s="116">
        <v>18.600000000000001</v>
      </c>
      <c r="Q39" s="116">
        <v>17.7</v>
      </c>
      <c r="R39" s="116">
        <v>17</v>
      </c>
      <c r="S39" s="116">
        <v>16.3</v>
      </c>
      <c r="T39" s="116">
        <v>15.7</v>
      </c>
      <c r="U39" s="116">
        <v>15.2</v>
      </c>
    </row>
    <row r="40" spans="1:21" x14ac:dyDescent="0.25">
      <c r="A40" s="80">
        <v>29</v>
      </c>
      <c r="B40" s="116">
        <v>220.8</v>
      </c>
      <c r="C40" s="116">
        <v>112.4</v>
      </c>
      <c r="D40" s="116">
        <v>76.3</v>
      </c>
      <c r="E40" s="116">
        <v>58.3</v>
      </c>
      <c r="F40" s="116">
        <v>47.5</v>
      </c>
      <c r="G40" s="116">
        <v>40.299999999999997</v>
      </c>
      <c r="H40" s="116">
        <v>35.200000000000003</v>
      </c>
      <c r="I40" s="116">
        <v>31.3</v>
      </c>
      <c r="J40" s="116">
        <v>28.3</v>
      </c>
      <c r="K40" s="116">
        <v>26</v>
      </c>
      <c r="L40" s="116">
        <v>24</v>
      </c>
      <c r="M40" s="116">
        <v>22.4</v>
      </c>
      <c r="N40" s="116">
        <v>21</v>
      </c>
      <c r="O40" s="116">
        <v>19.899999999999999</v>
      </c>
      <c r="P40" s="116">
        <v>18.899999999999999</v>
      </c>
      <c r="Q40" s="116">
        <v>18</v>
      </c>
      <c r="R40" s="116">
        <v>17.2</v>
      </c>
      <c r="S40" s="116">
        <v>16.5</v>
      </c>
      <c r="T40" s="116">
        <v>15.9</v>
      </c>
      <c r="U40" s="116">
        <v>15.4</v>
      </c>
    </row>
    <row r="41" spans="1:21" x14ac:dyDescent="0.25">
      <c r="A41" s="80">
        <v>30</v>
      </c>
      <c r="B41" s="116">
        <v>223.8</v>
      </c>
      <c r="C41" s="116">
        <v>114</v>
      </c>
      <c r="D41" s="116">
        <v>77.400000000000006</v>
      </c>
      <c r="E41" s="116">
        <v>59.1</v>
      </c>
      <c r="F41" s="116">
        <v>48.2</v>
      </c>
      <c r="G41" s="116">
        <v>40.9</v>
      </c>
      <c r="H41" s="116">
        <v>35.700000000000003</v>
      </c>
      <c r="I41" s="116">
        <v>31.8</v>
      </c>
      <c r="J41" s="116">
        <v>28.7</v>
      </c>
      <c r="K41" s="116">
        <v>26.3</v>
      </c>
      <c r="L41" s="116">
        <v>24.4</v>
      </c>
      <c r="M41" s="116">
        <v>22.7</v>
      </c>
      <c r="N41" s="116">
        <v>21.3</v>
      </c>
      <c r="O41" s="116">
        <v>20.2</v>
      </c>
      <c r="P41" s="116">
        <v>19.100000000000001</v>
      </c>
      <c r="Q41" s="116">
        <v>18.2</v>
      </c>
      <c r="R41" s="116">
        <v>17.5</v>
      </c>
      <c r="S41" s="116">
        <v>16.8</v>
      </c>
      <c r="T41" s="116">
        <v>16.2</v>
      </c>
      <c r="U41" s="116">
        <v>15.6</v>
      </c>
    </row>
    <row r="42" spans="1:21" x14ac:dyDescent="0.25">
      <c r="A42" s="80">
        <v>31</v>
      </c>
      <c r="B42" s="116">
        <v>227</v>
      </c>
      <c r="C42" s="116">
        <v>115.6</v>
      </c>
      <c r="D42" s="116">
        <v>78.5</v>
      </c>
      <c r="E42" s="116">
        <v>59.9</v>
      </c>
      <c r="F42" s="116">
        <v>48.8</v>
      </c>
      <c r="G42" s="116">
        <v>41.4</v>
      </c>
      <c r="H42" s="116">
        <v>36.200000000000003</v>
      </c>
      <c r="I42" s="116">
        <v>32.200000000000003</v>
      </c>
      <c r="J42" s="116">
        <v>29.1</v>
      </c>
      <c r="K42" s="116">
        <v>26.7</v>
      </c>
      <c r="L42" s="116">
        <v>24.7</v>
      </c>
      <c r="M42" s="116">
        <v>23</v>
      </c>
      <c r="N42" s="116">
        <v>21.6</v>
      </c>
      <c r="O42" s="116">
        <v>20.399999999999999</v>
      </c>
      <c r="P42" s="116">
        <v>19.399999999999999</v>
      </c>
      <c r="Q42" s="116">
        <v>18.5</v>
      </c>
      <c r="R42" s="116">
        <v>17.7</v>
      </c>
      <c r="S42" s="116">
        <v>17</v>
      </c>
      <c r="T42" s="116">
        <v>16.399999999999999</v>
      </c>
      <c r="U42" s="116">
        <v>15.8</v>
      </c>
    </row>
    <row r="43" spans="1:21" x14ac:dyDescent="0.25">
      <c r="A43" s="80">
        <v>32</v>
      </c>
      <c r="B43" s="116">
        <v>230.1</v>
      </c>
      <c r="C43" s="116">
        <v>117.2</v>
      </c>
      <c r="D43" s="116">
        <v>79.599999999999994</v>
      </c>
      <c r="E43" s="116">
        <v>60.8</v>
      </c>
      <c r="F43" s="116">
        <v>49.5</v>
      </c>
      <c r="G43" s="116">
        <v>42</v>
      </c>
      <c r="H43" s="116">
        <v>36.700000000000003</v>
      </c>
      <c r="I43" s="116">
        <v>32.700000000000003</v>
      </c>
      <c r="J43" s="116">
        <v>29.6</v>
      </c>
      <c r="K43" s="116">
        <v>27.1</v>
      </c>
      <c r="L43" s="116">
        <v>25</v>
      </c>
      <c r="M43" s="116">
        <v>23.4</v>
      </c>
      <c r="N43" s="116">
        <v>21.9</v>
      </c>
      <c r="O43" s="116">
        <v>20.7</v>
      </c>
      <c r="P43" s="116">
        <v>19.7</v>
      </c>
      <c r="Q43" s="116">
        <v>18.8</v>
      </c>
      <c r="R43" s="116">
        <v>18</v>
      </c>
      <c r="S43" s="116">
        <v>17.3</v>
      </c>
      <c r="T43" s="116">
        <v>16.600000000000001</v>
      </c>
      <c r="U43" s="116">
        <v>16.100000000000001</v>
      </c>
    </row>
    <row r="44" spans="1:21" x14ac:dyDescent="0.25">
      <c r="A44" s="80">
        <v>33</v>
      </c>
      <c r="B44" s="116">
        <v>233.3</v>
      </c>
      <c r="C44" s="116">
        <v>118.8</v>
      </c>
      <c r="D44" s="116">
        <v>80.7</v>
      </c>
      <c r="E44" s="116">
        <v>61.6</v>
      </c>
      <c r="F44" s="116">
        <v>50.2</v>
      </c>
      <c r="G44" s="116">
        <v>42.6</v>
      </c>
      <c r="H44" s="116">
        <v>37.200000000000003</v>
      </c>
      <c r="I44" s="116">
        <v>33.1</v>
      </c>
      <c r="J44" s="116">
        <v>30</v>
      </c>
      <c r="K44" s="116">
        <v>27.5</v>
      </c>
      <c r="L44" s="116">
        <v>25.4</v>
      </c>
      <c r="M44" s="116">
        <v>23.7</v>
      </c>
      <c r="N44" s="116">
        <v>22.3</v>
      </c>
      <c r="O44" s="116">
        <v>21</v>
      </c>
      <c r="P44" s="116">
        <v>20</v>
      </c>
      <c r="Q44" s="116">
        <v>19</v>
      </c>
      <c r="R44" s="116">
        <v>18.2</v>
      </c>
      <c r="S44" s="116">
        <v>17.5</v>
      </c>
      <c r="T44" s="116">
        <v>16.899999999999999</v>
      </c>
      <c r="U44" s="116">
        <v>16.3</v>
      </c>
    </row>
    <row r="45" spans="1:21" x14ac:dyDescent="0.25">
      <c r="A45" s="80">
        <v>34</v>
      </c>
      <c r="B45" s="116">
        <v>236.5</v>
      </c>
      <c r="C45" s="116">
        <v>120.5</v>
      </c>
      <c r="D45" s="116">
        <v>81.8</v>
      </c>
      <c r="E45" s="116">
        <v>62.5</v>
      </c>
      <c r="F45" s="116">
        <v>50.9</v>
      </c>
      <c r="G45" s="116">
        <v>43.2</v>
      </c>
      <c r="H45" s="116">
        <v>37.700000000000003</v>
      </c>
      <c r="I45" s="116">
        <v>33.6</v>
      </c>
      <c r="J45" s="116">
        <v>30.4</v>
      </c>
      <c r="K45" s="116">
        <v>27.8</v>
      </c>
      <c r="L45" s="116">
        <v>25.8</v>
      </c>
      <c r="M45" s="116">
        <v>24</v>
      </c>
      <c r="N45" s="116">
        <v>22.6</v>
      </c>
      <c r="O45" s="116">
        <v>21.3</v>
      </c>
      <c r="P45" s="116">
        <v>20.3</v>
      </c>
      <c r="Q45" s="116">
        <v>19.3</v>
      </c>
      <c r="R45" s="116">
        <v>18.5</v>
      </c>
      <c r="S45" s="116">
        <v>17.8</v>
      </c>
      <c r="T45" s="116">
        <v>17.100000000000001</v>
      </c>
      <c r="U45" s="116">
        <v>16.5</v>
      </c>
    </row>
    <row r="46" spans="1:21" x14ac:dyDescent="0.25">
      <c r="A46" s="80">
        <v>35</v>
      </c>
      <c r="B46" s="116">
        <v>239.7</v>
      </c>
      <c r="C46" s="116">
        <v>122.1</v>
      </c>
      <c r="D46" s="116">
        <v>82.9</v>
      </c>
      <c r="E46" s="116">
        <v>63.3</v>
      </c>
      <c r="F46" s="116">
        <v>51.6</v>
      </c>
      <c r="G46" s="116">
        <v>43.8</v>
      </c>
      <c r="H46" s="116">
        <v>38.200000000000003</v>
      </c>
      <c r="I46" s="116">
        <v>34</v>
      </c>
      <c r="J46" s="116">
        <v>30.8</v>
      </c>
      <c r="K46" s="116">
        <v>28.2</v>
      </c>
      <c r="L46" s="116">
        <v>26.1</v>
      </c>
      <c r="M46" s="116">
        <v>24.4</v>
      </c>
      <c r="N46" s="116">
        <v>22.9</v>
      </c>
      <c r="O46" s="116">
        <v>21.6</v>
      </c>
      <c r="P46" s="116">
        <v>20.5</v>
      </c>
      <c r="Q46" s="116">
        <v>19.600000000000001</v>
      </c>
      <c r="R46" s="116">
        <v>18.8</v>
      </c>
      <c r="S46" s="116">
        <v>18</v>
      </c>
      <c r="T46" s="116">
        <v>17.399999999999999</v>
      </c>
      <c r="U46" s="116">
        <v>16.8</v>
      </c>
    </row>
    <row r="47" spans="1:21" x14ac:dyDescent="0.25">
      <c r="A47" s="80">
        <v>36</v>
      </c>
      <c r="B47" s="116">
        <v>243</v>
      </c>
      <c r="C47" s="116">
        <v>123.8</v>
      </c>
      <c r="D47" s="116">
        <v>84.1</v>
      </c>
      <c r="E47" s="116">
        <v>64.2</v>
      </c>
      <c r="F47" s="116">
        <v>52.3</v>
      </c>
      <c r="G47" s="116">
        <v>44.4</v>
      </c>
      <c r="H47" s="116">
        <v>38.799999999999997</v>
      </c>
      <c r="I47" s="116">
        <v>34.5</v>
      </c>
      <c r="J47" s="116">
        <v>31.2</v>
      </c>
      <c r="K47" s="116">
        <v>28.6</v>
      </c>
      <c r="L47" s="116">
        <v>26.5</v>
      </c>
      <c r="M47" s="116">
        <v>24.7</v>
      </c>
      <c r="N47" s="116">
        <v>23.2</v>
      </c>
      <c r="O47" s="116">
        <v>21.9</v>
      </c>
      <c r="P47" s="116">
        <v>20.8</v>
      </c>
      <c r="Q47" s="116">
        <v>19.899999999999999</v>
      </c>
      <c r="R47" s="116">
        <v>19</v>
      </c>
      <c r="S47" s="116">
        <v>18.3</v>
      </c>
      <c r="T47" s="116">
        <v>17.600000000000001</v>
      </c>
      <c r="U47" s="116">
        <v>17</v>
      </c>
    </row>
    <row r="48" spans="1:21" x14ac:dyDescent="0.25">
      <c r="A48" s="80">
        <v>37</v>
      </c>
      <c r="B48" s="116">
        <v>246.3</v>
      </c>
      <c r="C48" s="116">
        <v>125.5</v>
      </c>
      <c r="D48" s="116">
        <v>85.2</v>
      </c>
      <c r="E48" s="116">
        <v>65.099999999999994</v>
      </c>
      <c r="F48" s="116">
        <v>53</v>
      </c>
      <c r="G48" s="116">
        <v>45</v>
      </c>
      <c r="H48" s="116">
        <v>39.299999999999997</v>
      </c>
      <c r="I48" s="116">
        <v>35</v>
      </c>
      <c r="J48" s="116">
        <v>31.7</v>
      </c>
      <c r="K48" s="116">
        <v>29</v>
      </c>
      <c r="L48" s="116">
        <v>26.9</v>
      </c>
      <c r="M48" s="116">
        <v>25.1</v>
      </c>
      <c r="N48" s="116">
        <v>23.5</v>
      </c>
      <c r="O48" s="116">
        <v>22.3</v>
      </c>
      <c r="P48" s="116">
        <v>21.1</v>
      </c>
      <c r="Q48" s="116">
        <v>20.2</v>
      </c>
      <c r="R48" s="116">
        <v>19.3</v>
      </c>
      <c r="S48" s="116">
        <v>18.600000000000001</v>
      </c>
      <c r="T48" s="116">
        <v>17.899999999999999</v>
      </c>
      <c r="U48" s="116">
        <v>17.3</v>
      </c>
    </row>
    <row r="49" spans="1:21" x14ac:dyDescent="0.25">
      <c r="A49" s="80">
        <v>38</v>
      </c>
      <c r="B49" s="116">
        <v>249.7</v>
      </c>
      <c r="C49" s="116">
        <v>127.2</v>
      </c>
      <c r="D49" s="116">
        <v>86.4</v>
      </c>
      <c r="E49" s="116">
        <v>66</v>
      </c>
      <c r="F49" s="116">
        <v>53.8</v>
      </c>
      <c r="G49" s="116">
        <v>45.6</v>
      </c>
      <c r="H49" s="116">
        <v>39.799999999999997</v>
      </c>
      <c r="I49" s="116">
        <v>35.5</v>
      </c>
      <c r="J49" s="116">
        <v>32.1</v>
      </c>
      <c r="K49" s="116">
        <v>29.4</v>
      </c>
      <c r="L49" s="116">
        <v>27.2</v>
      </c>
      <c r="M49" s="116">
        <v>25.4</v>
      </c>
      <c r="N49" s="116">
        <v>23.9</v>
      </c>
      <c r="O49" s="116">
        <v>22.6</v>
      </c>
      <c r="P49" s="116">
        <v>21.4</v>
      </c>
      <c r="Q49" s="116">
        <v>20.5</v>
      </c>
      <c r="R49" s="116">
        <v>19.600000000000001</v>
      </c>
      <c r="S49" s="116">
        <v>18.8</v>
      </c>
      <c r="T49" s="116">
        <v>18.2</v>
      </c>
      <c r="U49" s="116">
        <v>17.5</v>
      </c>
    </row>
    <row r="50" spans="1:21" x14ac:dyDescent="0.25">
      <c r="A50" s="80">
        <v>39</v>
      </c>
      <c r="B50" s="116">
        <v>253.1</v>
      </c>
      <c r="C50" s="116">
        <v>128.9</v>
      </c>
      <c r="D50" s="116">
        <v>87.6</v>
      </c>
      <c r="E50" s="116">
        <v>66.900000000000006</v>
      </c>
      <c r="F50" s="116">
        <v>54.5</v>
      </c>
      <c r="G50" s="116">
        <v>46.3</v>
      </c>
      <c r="H50" s="116">
        <v>40.4</v>
      </c>
      <c r="I50" s="116">
        <v>36</v>
      </c>
      <c r="J50" s="116">
        <v>32.6</v>
      </c>
      <c r="K50" s="116">
        <v>29.8</v>
      </c>
      <c r="L50" s="116">
        <v>27.6</v>
      </c>
      <c r="M50" s="116">
        <v>25.8</v>
      </c>
      <c r="N50" s="116">
        <v>24.2</v>
      </c>
      <c r="O50" s="116">
        <v>22.9</v>
      </c>
      <c r="P50" s="116">
        <v>21.8</v>
      </c>
      <c r="Q50" s="116">
        <v>20.8</v>
      </c>
      <c r="R50" s="116">
        <v>19.899999999999999</v>
      </c>
      <c r="S50" s="116">
        <v>19.100000000000001</v>
      </c>
      <c r="T50" s="116">
        <v>18.399999999999999</v>
      </c>
      <c r="U50" s="116">
        <v>17.8</v>
      </c>
    </row>
    <row r="51" spans="1:21" x14ac:dyDescent="0.25">
      <c r="A51" s="80">
        <v>40</v>
      </c>
      <c r="B51" s="116">
        <v>256.5</v>
      </c>
      <c r="C51" s="116">
        <v>130.69999999999999</v>
      </c>
      <c r="D51" s="116">
        <v>88.8</v>
      </c>
      <c r="E51" s="116">
        <v>67.8</v>
      </c>
      <c r="F51" s="116">
        <v>55.3</v>
      </c>
      <c r="G51" s="116">
        <v>46.9</v>
      </c>
      <c r="H51" s="116">
        <v>41</v>
      </c>
      <c r="I51" s="116">
        <v>36.5</v>
      </c>
      <c r="J51" s="116">
        <v>33</v>
      </c>
      <c r="K51" s="116">
        <v>30.3</v>
      </c>
      <c r="L51" s="116">
        <v>28</v>
      </c>
      <c r="M51" s="116">
        <v>26.1</v>
      </c>
      <c r="N51" s="116">
        <v>24.6</v>
      </c>
      <c r="O51" s="116">
        <v>23.2</v>
      </c>
      <c r="P51" s="116">
        <v>22.1</v>
      </c>
      <c r="Q51" s="116">
        <v>21.1</v>
      </c>
      <c r="R51" s="116">
        <v>20.2</v>
      </c>
      <c r="S51" s="116">
        <v>19.399999999999999</v>
      </c>
      <c r="T51" s="116">
        <v>18.7</v>
      </c>
      <c r="U51" s="116">
        <v>18.100000000000001</v>
      </c>
    </row>
    <row r="52" spans="1:21" x14ac:dyDescent="0.25">
      <c r="A52" s="80">
        <v>41</v>
      </c>
      <c r="B52" s="116">
        <v>260</v>
      </c>
      <c r="C52" s="116">
        <v>132.5</v>
      </c>
      <c r="D52" s="116">
        <v>90</v>
      </c>
      <c r="E52" s="116">
        <v>68.8</v>
      </c>
      <c r="F52" s="116">
        <v>56</v>
      </c>
      <c r="G52" s="116">
        <v>47.6</v>
      </c>
      <c r="H52" s="116">
        <v>41.5</v>
      </c>
      <c r="I52" s="116">
        <v>37</v>
      </c>
      <c r="J52" s="116">
        <v>33.5</v>
      </c>
      <c r="K52" s="116">
        <v>30.7</v>
      </c>
      <c r="L52" s="116">
        <v>28.4</v>
      </c>
      <c r="M52" s="116">
        <v>26.5</v>
      </c>
      <c r="N52" s="116">
        <v>24.9</v>
      </c>
      <c r="O52" s="116">
        <v>23.6</v>
      </c>
      <c r="P52" s="116">
        <v>22.4</v>
      </c>
      <c r="Q52" s="116">
        <v>21.4</v>
      </c>
      <c r="R52" s="116">
        <v>20.5</v>
      </c>
      <c r="S52" s="116">
        <v>19.7</v>
      </c>
      <c r="T52" s="116">
        <v>19</v>
      </c>
      <c r="U52" s="116">
        <v>18.399999999999999</v>
      </c>
    </row>
    <row r="53" spans="1:21" x14ac:dyDescent="0.25">
      <c r="A53" s="80">
        <v>42</v>
      </c>
      <c r="B53" s="116">
        <v>263.5</v>
      </c>
      <c r="C53" s="116">
        <v>134.30000000000001</v>
      </c>
      <c r="D53" s="116">
        <v>91.2</v>
      </c>
      <c r="E53" s="116">
        <v>69.7</v>
      </c>
      <c r="F53" s="116">
        <v>56.8</v>
      </c>
      <c r="G53" s="116">
        <v>48.2</v>
      </c>
      <c r="H53" s="116">
        <v>42.1</v>
      </c>
      <c r="I53" s="116">
        <v>37.5</v>
      </c>
      <c r="J53" s="116">
        <v>34</v>
      </c>
      <c r="K53" s="116">
        <v>31.1</v>
      </c>
      <c r="L53" s="116">
        <v>28.8</v>
      </c>
      <c r="M53" s="116">
        <v>26.9</v>
      </c>
      <c r="N53" s="116">
        <v>25.3</v>
      </c>
      <c r="O53" s="116">
        <v>23.9</v>
      </c>
      <c r="P53" s="116">
        <v>22.7</v>
      </c>
      <c r="Q53" s="116">
        <v>21.7</v>
      </c>
      <c r="R53" s="116">
        <v>20.8</v>
      </c>
      <c r="S53" s="116">
        <v>20</v>
      </c>
      <c r="T53" s="116">
        <v>19.3</v>
      </c>
      <c r="U53" s="116">
        <v>18.7</v>
      </c>
    </row>
    <row r="54" spans="1:21" x14ac:dyDescent="0.25">
      <c r="A54" s="80">
        <v>43</v>
      </c>
      <c r="B54" s="116">
        <v>267.10000000000002</v>
      </c>
      <c r="C54" s="116">
        <v>136.1</v>
      </c>
      <c r="D54" s="116">
        <v>92.5</v>
      </c>
      <c r="E54" s="116">
        <v>70.599999999999994</v>
      </c>
      <c r="F54" s="116">
        <v>57.6</v>
      </c>
      <c r="G54" s="116">
        <v>48.9</v>
      </c>
      <c r="H54" s="116">
        <v>42.7</v>
      </c>
      <c r="I54" s="116">
        <v>38</v>
      </c>
      <c r="J54" s="116">
        <v>34.4</v>
      </c>
      <c r="K54" s="116">
        <v>31.6</v>
      </c>
      <c r="L54" s="116">
        <v>29.2</v>
      </c>
      <c r="M54" s="116">
        <v>27.3</v>
      </c>
      <c r="N54" s="116">
        <v>25.7</v>
      </c>
      <c r="O54" s="116">
        <v>24.3</v>
      </c>
      <c r="P54" s="116">
        <v>23.1</v>
      </c>
      <c r="Q54" s="116">
        <v>22</v>
      </c>
      <c r="R54" s="116">
        <v>21.1</v>
      </c>
      <c r="S54" s="116">
        <v>20.3</v>
      </c>
      <c r="T54" s="116">
        <v>19.600000000000001</v>
      </c>
      <c r="U54" s="116">
        <v>19</v>
      </c>
    </row>
    <row r="55" spans="1:21" x14ac:dyDescent="0.25">
      <c r="A55" s="80">
        <v>44</v>
      </c>
      <c r="B55" s="116">
        <v>270.7</v>
      </c>
      <c r="C55" s="116">
        <v>137.9</v>
      </c>
      <c r="D55" s="116">
        <v>93.7</v>
      </c>
      <c r="E55" s="116">
        <v>71.599999999999994</v>
      </c>
      <c r="F55" s="116">
        <v>58.4</v>
      </c>
      <c r="G55" s="116">
        <v>49.6</v>
      </c>
      <c r="H55" s="116">
        <v>43.3</v>
      </c>
      <c r="I55" s="116">
        <v>38.6</v>
      </c>
      <c r="J55" s="116">
        <v>34.9</v>
      </c>
      <c r="K55" s="116">
        <v>32</v>
      </c>
      <c r="L55" s="116">
        <v>29.7</v>
      </c>
      <c r="M55" s="116">
        <v>27.7</v>
      </c>
      <c r="N55" s="116">
        <v>26</v>
      </c>
      <c r="O55" s="116">
        <v>24.6</v>
      </c>
      <c r="P55" s="116">
        <v>23.4</v>
      </c>
      <c r="Q55" s="116">
        <v>22.4</v>
      </c>
      <c r="R55" s="116">
        <v>21.4</v>
      </c>
      <c r="S55" s="116">
        <v>20.6</v>
      </c>
      <c r="T55" s="116">
        <v>19.899999999999999</v>
      </c>
      <c r="U55" s="116">
        <v>19.3</v>
      </c>
    </row>
    <row r="56" spans="1:21" x14ac:dyDescent="0.25">
      <c r="A56" s="80">
        <v>45</v>
      </c>
      <c r="B56" s="116">
        <v>274.3</v>
      </c>
      <c r="C56" s="116">
        <v>139.80000000000001</v>
      </c>
      <c r="D56" s="116">
        <v>95</v>
      </c>
      <c r="E56" s="116">
        <v>72.599999999999994</v>
      </c>
      <c r="F56" s="116">
        <v>59.2</v>
      </c>
      <c r="G56" s="116">
        <v>50.2</v>
      </c>
      <c r="H56" s="116">
        <v>43.9</v>
      </c>
      <c r="I56" s="116">
        <v>39.1</v>
      </c>
      <c r="J56" s="116">
        <v>35.4</v>
      </c>
      <c r="K56" s="116">
        <v>32.5</v>
      </c>
      <c r="L56" s="116">
        <v>30.1</v>
      </c>
      <c r="M56" s="116">
        <v>28.1</v>
      </c>
      <c r="N56" s="116">
        <v>26.4</v>
      </c>
      <c r="O56" s="116">
        <v>25</v>
      </c>
      <c r="P56" s="116">
        <v>23.8</v>
      </c>
      <c r="Q56" s="116">
        <v>22.7</v>
      </c>
      <c r="R56" s="116">
        <v>21.8</v>
      </c>
      <c r="S56" s="116">
        <v>21</v>
      </c>
      <c r="T56" s="116">
        <v>20.2</v>
      </c>
      <c r="U56" s="116">
        <v>19.600000000000001</v>
      </c>
    </row>
    <row r="57" spans="1:21" x14ac:dyDescent="0.25">
      <c r="A57" s="80">
        <v>46</v>
      </c>
      <c r="B57" s="116">
        <v>278</v>
      </c>
      <c r="C57" s="116">
        <v>141.69999999999999</v>
      </c>
      <c r="D57" s="116">
        <v>96.3</v>
      </c>
      <c r="E57" s="116">
        <v>73.599999999999994</v>
      </c>
      <c r="F57" s="116">
        <v>60</v>
      </c>
      <c r="G57" s="116">
        <v>50.9</v>
      </c>
      <c r="H57" s="116">
        <v>44.5</v>
      </c>
      <c r="I57" s="116">
        <v>39.700000000000003</v>
      </c>
      <c r="J57" s="116">
        <v>35.9</v>
      </c>
      <c r="K57" s="116">
        <v>33</v>
      </c>
      <c r="L57" s="116">
        <v>30.5</v>
      </c>
      <c r="M57" s="116">
        <v>28.5</v>
      </c>
      <c r="N57" s="116">
        <v>26.8</v>
      </c>
      <c r="O57" s="116">
        <v>25.4</v>
      </c>
      <c r="P57" s="116">
        <v>24.2</v>
      </c>
      <c r="Q57" s="116">
        <v>23.1</v>
      </c>
      <c r="R57" s="116">
        <v>22.1</v>
      </c>
      <c r="S57" s="116">
        <v>21.3</v>
      </c>
      <c r="T57" s="116">
        <v>20.6</v>
      </c>
      <c r="U57" s="116">
        <v>19.899999999999999</v>
      </c>
    </row>
    <row r="58" spans="1:21" x14ac:dyDescent="0.25">
      <c r="A58" s="80">
        <v>47</v>
      </c>
      <c r="B58" s="116">
        <v>281.7</v>
      </c>
      <c r="C58" s="116">
        <v>143.6</v>
      </c>
      <c r="D58" s="116">
        <v>97.6</v>
      </c>
      <c r="E58" s="116">
        <v>74.599999999999994</v>
      </c>
      <c r="F58" s="116">
        <v>60.8</v>
      </c>
      <c r="G58" s="116">
        <v>51.6</v>
      </c>
      <c r="H58" s="116">
        <v>45.1</v>
      </c>
      <c r="I58" s="116">
        <v>40.200000000000003</v>
      </c>
      <c r="J58" s="116">
        <v>36.5</v>
      </c>
      <c r="K58" s="116">
        <v>33.4</v>
      </c>
      <c r="L58" s="116">
        <v>31</v>
      </c>
      <c r="M58" s="116">
        <v>29</v>
      </c>
      <c r="N58" s="116">
        <v>27.2</v>
      </c>
      <c r="O58" s="116">
        <v>25.8</v>
      </c>
      <c r="P58" s="116">
        <v>24.5</v>
      </c>
      <c r="Q58" s="116">
        <v>23.5</v>
      </c>
      <c r="R58" s="116">
        <v>22.5</v>
      </c>
      <c r="S58" s="116">
        <v>21.7</v>
      </c>
      <c r="T58" s="116">
        <v>20.9</v>
      </c>
      <c r="U58" s="116">
        <v>20.3</v>
      </c>
    </row>
    <row r="59" spans="1:21" x14ac:dyDescent="0.25">
      <c r="A59" s="80">
        <v>48</v>
      </c>
      <c r="B59" s="116">
        <v>285.5</v>
      </c>
      <c r="C59" s="116">
        <v>145.5</v>
      </c>
      <c r="D59" s="116">
        <v>98.9</v>
      </c>
      <c r="E59" s="116">
        <v>75.599999999999994</v>
      </c>
      <c r="F59" s="116">
        <v>61.7</v>
      </c>
      <c r="G59" s="116">
        <v>52.4</v>
      </c>
      <c r="H59" s="116">
        <v>45.8</v>
      </c>
      <c r="I59" s="116">
        <v>40.799999999999997</v>
      </c>
      <c r="J59" s="116">
        <v>37</v>
      </c>
      <c r="K59" s="116">
        <v>34</v>
      </c>
      <c r="L59" s="116">
        <v>31.5</v>
      </c>
      <c r="M59" s="116">
        <v>29.4</v>
      </c>
      <c r="N59" s="116">
        <v>27.7</v>
      </c>
      <c r="O59" s="116">
        <v>26.2</v>
      </c>
      <c r="P59" s="116">
        <v>24.9</v>
      </c>
      <c r="Q59" s="116">
        <v>23.8</v>
      </c>
      <c r="R59" s="116">
        <v>22.9</v>
      </c>
      <c r="S59" s="116">
        <v>22</v>
      </c>
      <c r="T59" s="116">
        <v>21.3</v>
      </c>
      <c r="U59" s="116">
        <v>20.6</v>
      </c>
    </row>
    <row r="60" spans="1:21" x14ac:dyDescent="0.25">
      <c r="A60" s="80">
        <v>49</v>
      </c>
      <c r="B60" s="116">
        <v>289.3</v>
      </c>
      <c r="C60" s="116">
        <v>147.5</v>
      </c>
      <c r="D60" s="116">
        <v>100.3</v>
      </c>
      <c r="E60" s="116">
        <v>76.7</v>
      </c>
      <c r="F60" s="116">
        <v>62.5</v>
      </c>
      <c r="G60" s="116">
        <v>53.1</v>
      </c>
      <c r="H60" s="116">
        <v>46.4</v>
      </c>
      <c r="I60" s="116">
        <v>41.4</v>
      </c>
      <c r="J60" s="116">
        <v>37.6</v>
      </c>
      <c r="K60" s="116">
        <v>34.5</v>
      </c>
      <c r="L60" s="116">
        <v>32</v>
      </c>
      <c r="M60" s="116">
        <v>29.9</v>
      </c>
      <c r="N60" s="116">
        <v>28.1</v>
      </c>
      <c r="O60" s="116">
        <v>26.6</v>
      </c>
      <c r="P60" s="116">
        <v>25.4</v>
      </c>
      <c r="Q60" s="116">
        <v>24.2</v>
      </c>
      <c r="R60" s="116">
        <v>23.3</v>
      </c>
      <c r="S60" s="116">
        <v>22.4</v>
      </c>
      <c r="T60" s="116">
        <v>21.7</v>
      </c>
      <c r="U60" s="116"/>
    </row>
    <row r="61" spans="1:21" x14ac:dyDescent="0.25">
      <c r="A61" s="80">
        <v>50</v>
      </c>
      <c r="B61" s="116">
        <v>293.2</v>
      </c>
      <c r="C61" s="116">
        <v>149.5</v>
      </c>
      <c r="D61" s="116">
        <v>101.7</v>
      </c>
      <c r="E61" s="116">
        <v>77.8</v>
      </c>
      <c r="F61" s="116">
        <v>63.4</v>
      </c>
      <c r="G61" s="116">
        <v>53.9</v>
      </c>
      <c r="H61" s="116">
        <v>47.1</v>
      </c>
      <c r="I61" s="116">
        <v>42.1</v>
      </c>
      <c r="J61" s="116">
        <v>38.1</v>
      </c>
      <c r="K61" s="116">
        <v>35</v>
      </c>
      <c r="L61" s="116">
        <v>32.5</v>
      </c>
      <c r="M61" s="116">
        <v>30.4</v>
      </c>
      <c r="N61" s="116">
        <v>28.6</v>
      </c>
      <c r="O61" s="116">
        <v>27.1</v>
      </c>
      <c r="P61" s="116">
        <v>25.8</v>
      </c>
      <c r="Q61" s="116">
        <v>24.7</v>
      </c>
      <c r="R61" s="116">
        <v>23.7</v>
      </c>
      <c r="S61" s="116">
        <v>22.8</v>
      </c>
      <c r="T61" s="116"/>
      <c r="U61" s="116"/>
    </row>
    <row r="62" spans="1:21" x14ac:dyDescent="0.25">
      <c r="A62" s="80">
        <v>51</v>
      </c>
      <c r="B62" s="116">
        <v>297.2</v>
      </c>
      <c r="C62" s="116">
        <v>151.6</v>
      </c>
      <c r="D62" s="116">
        <v>103.1</v>
      </c>
      <c r="E62" s="116">
        <v>78.900000000000006</v>
      </c>
      <c r="F62" s="116">
        <v>64.400000000000006</v>
      </c>
      <c r="G62" s="116">
        <v>54.7</v>
      </c>
      <c r="H62" s="116">
        <v>47.9</v>
      </c>
      <c r="I62" s="116">
        <v>42.7</v>
      </c>
      <c r="J62" s="116">
        <v>38.700000000000003</v>
      </c>
      <c r="K62" s="116">
        <v>35.6</v>
      </c>
      <c r="L62" s="116">
        <v>33</v>
      </c>
      <c r="M62" s="116">
        <v>30.9</v>
      </c>
      <c r="N62" s="116">
        <v>29.1</v>
      </c>
      <c r="O62" s="116">
        <v>27.6</v>
      </c>
      <c r="P62" s="116">
        <v>26.2</v>
      </c>
      <c r="Q62" s="116">
        <v>25.1</v>
      </c>
      <c r="R62" s="116">
        <v>24.1</v>
      </c>
      <c r="S62" s="116"/>
      <c r="T62" s="116"/>
      <c r="U62" s="116"/>
    </row>
    <row r="63" spans="1:21" x14ac:dyDescent="0.25">
      <c r="A63" s="80">
        <v>52</v>
      </c>
      <c r="B63" s="116">
        <v>301.2</v>
      </c>
      <c r="C63" s="116">
        <v>153.69999999999999</v>
      </c>
      <c r="D63" s="116">
        <v>104.5</v>
      </c>
      <c r="E63" s="116">
        <v>80</v>
      </c>
      <c r="F63" s="116">
        <v>65.3</v>
      </c>
      <c r="G63" s="116">
        <v>55.5</v>
      </c>
      <c r="H63" s="116">
        <v>48.6</v>
      </c>
      <c r="I63" s="116">
        <v>43.4</v>
      </c>
      <c r="J63" s="116">
        <v>39.4</v>
      </c>
      <c r="K63" s="116">
        <v>36.1</v>
      </c>
      <c r="L63" s="116">
        <v>33.5</v>
      </c>
      <c r="M63" s="116">
        <v>31.4</v>
      </c>
      <c r="N63" s="116">
        <v>29.6</v>
      </c>
      <c r="O63" s="116">
        <v>28</v>
      </c>
      <c r="P63" s="116">
        <v>26.7</v>
      </c>
      <c r="Q63" s="116">
        <v>25.5</v>
      </c>
      <c r="R63" s="116"/>
      <c r="S63" s="116"/>
      <c r="T63" s="116"/>
      <c r="U63" s="116"/>
    </row>
    <row r="64" spans="1:21" x14ac:dyDescent="0.25">
      <c r="A64" s="80">
        <v>53</v>
      </c>
      <c r="B64" s="116">
        <v>305.2</v>
      </c>
      <c r="C64" s="116">
        <v>155.69999999999999</v>
      </c>
      <c r="D64" s="116">
        <v>106</v>
      </c>
      <c r="E64" s="116">
        <v>81.099999999999994</v>
      </c>
      <c r="F64" s="116">
        <v>66.2</v>
      </c>
      <c r="G64" s="116">
        <v>56.4</v>
      </c>
      <c r="H64" s="116">
        <v>49.3</v>
      </c>
      <c r="I64" s="116">
        <v>44</v>
      </c>
      <c r="J64" s="116">
        <v>40</v>
      </c>
      <c r="K64" s="116">
        <v>36.700000000000003</v>
      </c>
      <c r="L64" s="116">
        <v>34.1</v>
      </c>
      <c r="M64" s="116">
        <v>31.9</v>
      </c>
      <c r="N64" s="116">
        <v>30.1</v>
      </c>
      <c r="O64" s="116">
        <v>28.5</v>
      </c>
      <c r="P64" s="116">
        <v>27.2</v>
      </c>
      <c r="Q64" s="116"/>
      <c r="R64" s="116"/>
      <c r="S64" s="116"/>
      <c r="T64" s="116"/>
      <c r="U64" s="116"/>
    </row>
    <row r="65" spans="1:21" x14ac:dyDescent="0.25">
      <c r="A65" s="80">
        <v>54</v>
      </c>
      <c r="B65" s="116">
        <v>309.3</v>
      </c>
      <c r="C65" s="116">
        <v>157.9</v>
      </c>
      <c r="D65" s="116">
        <v>107.4</v>
      </c>
      <c r="E65" s="116">
        <v>82.3</v>
      </c>
      <c r="F65" s="116">
        <v>67.2</v>
      </c>
      <c r="G65" s="116">
        <v>57.2</v>
      </c>
      <c r="H65" s="116">
        <v>50</v>
      </c>
      <c r="I65" s="116">
        <v>44.7</v>
      </c>
      <c r="J65" s="116">
        <v>40.6</v>
      </c>
      <c r="K65" s="116">
        <v>37.299999999999997</v>
      </c>
      <c r="L65" s="116">
        <v>34.6</v>
      </c>
      <c r="M65" s="116">
        <v>32.4</v>
      </c>
      <c r="N65" s="116">
        <v>30.6</v>
      </c>
      <c r="O65" s="116">
        <v>29</v>
      </c>
      <c r="P65" s="116"/>
      <c r="Q65" s="116"/>
      <c r="R65" s="116"/>
      <c r="S65" s="116"/>
      <c r="T65" s="116"/>
      <c r="U65" s="116"/>
    </row>
    <row r="66" spans="1:21" x14ac:dyDescent="0.25">
      <c r="A66" s="80">
        <v>55</v>
      </c>
      <c r="B66" s="116">
        <v>313.39999999999998</v>
      </c>
      <c r="C66" s="116">
        <v>160</v>
      </c>
      <c r="D66" s="116">
        <v>108.9</v>
      </c>
      <c r="E66" s="116">
        <v>83.4</v>
      </c>
      <c r="F66" s="116">
        <v>68.2</v>
      </c>
      <c r="G66" s="116">
        <v>58</v>
      </c>
      <c r="H66" s="116">
        <v>50.8</v>
      </c>
      <c r="I66" s="116">
        <v>45.4</v>
      </c>
      <c r="J66" s="116">
        <v>41.2</v>
      </c>
      <c r="K66" s="116">
        <v>37.9</v>
      </c>
      <c r="L66" s="116">
        <v>35.200000000000003</v>
      </c>
      <c r="M66" s="116">
        <v>33</v>
      </c>
      <c r="N66" s="116">
        <v>31.1</v>
      </c>
      <c r="O66" s="116"/>
      <c r="P66" s="116"/>
      <c r="Q66" s="116"/>
      <c r="R66" s="116"/>
      <c r="S66" s="116"/>
      <c r="T66" s="116"/>
      <c r="U66" s="116"/>
    </row>
    <row r="67" spans="1:21" x14ac:dyDescent="0.25">
      <c r="A67" s="80">
        <v>56</v>
      </c>
      <c r="B67" s="116">
        <v>317.60000000000002</v>
      </c>
      <c r="C67" s="116">
        <v>162.19999999999999</v>
      </c>
      <c r="D67" s="116">
        <v>110.5</v>
      </c>
      <c r="E67" s="116">
        <v>84.6</v>
      </c>
      <c r="F67" s="116">
        <v>69.2</v>
      </c>
      <c r="G67" s="116">
        <v>58.9</v>
      </c>
      <c r="H67" s="116">
        <v>51.6</v>
      </c>
      <c r="I67" s="116">
        <v>46.1</v>
      </c>
      <c r="J67" s="116">
        <v>41.9</v>
      </c>
      <c r="K67" s="116">
        <v>38.5</v>
      </c>
      <c r="L67" s="116">
        <v>35.799999999999997</v>
      </c>
      <c r="M67" s="116">
        <v>33.5</v>
      </c>
      <c r="N67" s="116"/>
      <c r="O67" s="116"/>
      <c r="P67" s="116"/>
      <c r="Q67" s="116"/>
      <c r="R67" s="116"/>
      <c r="S67" s="116"/>
      <c r="T67" s="116"/>
      <c r="U67" s="116"/>
    </row>
    <row r="68" spans="1:21" x14ac:dyDescent="0.25">
      <c r="A68" s="80">
        <v>57</v>
      </c>
      <c r="B68" s="116">
        <v>321.8</v>
      </c>
      <c r="C68" s="116">
        <v>164.4</v>
      </c>
      <c r="D68" s="116">
        <v>112</v>
      </c>
      <c r="E68" s="116">
        <v>85.9</v>
      </c>
      <c r="F68" s="116">
        <v>70.2</v>
      </c>
      <c r="G68" s="116">
        <v>59.8</v>
      </c>
      <c r="H68" s="116">
        <v>52.4</v>
      </c>
      <c r="I68" s="116">
        <v>46.8</v>
      </c>
      <c r="J68" s="116">
        <v>42.6</v>
      </c>
      <c r="K68" s="116">
        <v>39.1</v>
      </c>
      <c r="L68" s="116">
        <v>36.4</v>
      </c>
      <c r="M68" s="116"/>
      <c r="N68" s="116"/>
      <c r="O68" s="116"/>
      <c r="P68" s="116"/>
      <c r="Q68" s="116"/>
      <c r="R68" s="116"/>
      <c r="S68" s="116"/>
      <c r="T68" s="116"/>
      <c r="U68" s="116"/>
    </row>
    <row r="69" spans="1:21" x14ac:dyDescent="0.25">
      <c r="A69" s="80">
        <v>58</v>
      </c>
      <c r="B69" s="116">
        <v>326.2</v>
      </c>
      <c r="C69" s="116">
        <v>166.7</v>
      </c>
      <c r="D69" s="116">
        <v>113.6</v>
      </c>
      <c r="E69" s="116">
        <v>87.1</v>
      </c>
      <c r="F69" s="116">
        <v>71.2</v>
      </c>
      <c r="G69" s="116">
        <v>60.7</v>
      </c>
      <c r="H69" s="116">
        <v>53.2</v>
      </c>
      <c r="I69" s="116">
        <v>47.6</v>
      </c>
      <c r="J69" s="116">
        <v>43.2</v>
      </c>
      <c r="K69" s="116">
        <v>39.799999999999997</v>
      </c>
      <c r="L69" s="116"/>
      <c r="M69" s="116"/>
      <c r="N69" s="116"/>
      <c r="O69" s="116"/>
      <c r="P69" s="116"/>
      <c r="Q69" s="116"/>
      <c r="R69" s="116"/>
      <c r="S69" s="116"/>
      <c r="T69" s="116"/>
      <c r="U69" s="116"/>
    </row>
    <row r="70" spans="1:21" x14ac:dyDescent="0.25">
      <c r="A70" s="80">
        <v>59</v>
      </c>
      <c r="B70" s="116">
        <v>330.7</v>
      </c>
      <c r="C70" s="116">
        <v>169</v>
      </c>
      <c r="D70" s="116">
        <v>115.2</v>
      </c>
      <c r="E70" s="116">
        <v>88.4</v>
      </c>
      <c r="F70" s="116">
        <v>72.3</v>
      </c>
      <c r="G70" s="116">
        <v>61.6</v>
      </c>
      <c r="H70" s="116">
        <v>54</v>
      </c>
      <c r="I70" s="116">
        <v>48.3</v>
      </c>
      <c r="J70" s="116">
        <v>44</v>
      </c>
      <c r="K70" s="116"/>
      <c r="L70" s="116"/>
      <c r="M70" s="116"/>
      <c r="N70" s="116"/>
      <c r="O70" s="116"/>
      <c r="P70" s="116"/>
      <c r="Q70" s="116"/>
      <c r="R70" s="116"/>
      <c r="S70" s="116"/>
      <c r="T70" s="116"/>
      <c r="U70" s="116"/>
    </row>
    <row r="71" spans="1:21" x14ac:dyDescent="0.25">
      <c r="A71" s="80">
        <v>60</v>
      </c>
      <c r="B71" s="116">
        <v>335.3</v>
      </c>
      <c r="C71" s="116">
        <v>171.5</v>
      </c>
      <c r="D71" s="116">
        <v>116.9</v>
      </c>
      <c r="E71" s="116">
        <v>89.7</v>
      </c>
      <c r="F71" s="116">
        <v>73.400000000000006</v>
      </c>
      <c r="G71" s="116">
        <v>62.6</v>
      </c>
      <c r="H71" s="116">
        <v>54.9</v>
      </c>
      <c r="I71" s="116">
        <v>49.2</v>
      </c>
      <c r="J71" s="116"/>
      <c r="K71" s="116"/>
      <c r="L71" s="116"/>
      <c r="M71" s="116"/>
      <c r="N71" s="116"/>
      <c r="O71" s="116"/>
      <c r="P71" s="116"/>
      <c r="Q71" s="116"/>
      <c r="R71" s="116"/>
      <c r="S71" s="116"/>
      <c r="T71" s="116"/>
      <c r="U71" s="116"/>
    </row>
    <row r="72" spans="1:21" x14ac:dyDescent="0.25">
      <c r="A72" s="80">
        <v>61</v>
      </c>
      <c r="B72" s="116">
        <v>340.1</v>
      </c>
      <c r="C72" s="116">
        <v>174</v>
      </c>
      <c r="D72" s="116">
        <v>118.7</v>
      </c>
      <c r="E72" s="116">
        <v>91.1</v>
      </c>
      <c r="F72" s="116">
        <v>74.599999999999994</v>
      </c>
      <c r="G72" s="116">
        <v>63.6</v>
      </c>
      <c r="H72" s="116">
        <v>55.8</v>
      </c>
      <c r="I72" s="116"/>
      <c r="J72" s="116"/>
      <c r="K72" s="116"/>
      <c r="L72" s="116"/>
      <c r="M72" s="116"/>
      <c r="N72" s="116"/>
      <c r="O72" s="116"/>
      <c r="P72" s="116"/>
      <c r="Q72" s="116"/>
      <c r="R72" s="116"/>
      <c r="S72" s="116"/>
      <c r="T72" s="116"/>
      <c r="U72" s="116"/>
    </row>
    <row r="73" spans="1:21" x14ac:dyDescent="0.25">
      <c r="A73" s="80">
        <v>62</v>
      </c>
      <c r="B73" s="116">
        <v>345.1</v>
      </c>
      <c r="C73" s="116">
        <v>176.6</v>
      </c>
      <c r="D73" s="116">
        <v>120.5</v>
      </c>
      <c r="E73" s="116">
        <v>92.5</v>
      </c>
      <c r="F73" s="116">
        <v>75.8</v>
      </c>
      <c r="G73" s="116">
        <v>64.7</v>
      </c>
      <c r="H73" s="116"/>
      <c r="I73" s="116"/>
      <c r="J73" s="116"/>
      <c r="K73" s="116"/>
      <c r="L73" s="116"/>
      <c r="M73" s="116"/>
      <c r="N73" s="116"/>
      <c r="O73" s="116"/>
      <c r="P73" s="116"/>
      <c r="Q73" s="116"/>
      <c r="R73" s="116"/>
      <c r="S73" s="116"/>
      <c r="T73" s="116"/>
      <c r="U73" s="116"/>
    </row>
    <row r="74" spans="1:21" x14ac:dyDescent="0.25">
      <c r="A74" s="80">
        <v>63</v>
      </c>
      <c r="B74" s="116">
        <v>350.4</v>
      </c>
      <c r="C74" s="116">
        <v>179.4</v>
      </c>
      <c r="D74" s="116">
        <v>122.4</v>
      </c>
      <c r="E74" s="116">
        <v>94</v>
      </c>
      <c r="F74" s="116">
        <v>77.099999999999994</v>
      </c>
      <c r="G74" s="116"/>
      <c r="H74" s="116"/>
      <c r="I74" s="116"/>
      <c r="J74" s="116"/>
      <c r="K74" s="116"/>
      <c r="L74" s="116"/>
      <c r="M74" s="116"/>
      <c r="N74" s="116"/>
      <c r="O74" s="116"/>
      <c r="P74" s="116"/>
      <c r="Q74" s="116"/>
      <c r="R74" s="116"/>
      <c r="S74" s="116"/>
      <c r="T74" s="116"/>
      <c r="U74" s="116"/>
    </row>
    <row r="75" spans="1:21" x14ac:dyDescent="0.25">
      <c r="A75" s="80">
        <v>64</v>
      </c>
      <c r="B75" s="116">
        <v>356</v>
      </c>
      <c r="C75" s="116">
        <v>182.3</v>
      </c>
      <c r="D75" s="116">
        <v>124.5</v>
      </c>
      <c r="E75" s="116">
        <v>95.7</v>
      </c>
      <c r="F75" s="116"/>
      <c r="G75" s="116"/>
      <c r="H75" s="116"/>
      <c r="I75" s="116"/>
      <c r="J75" s="116"/>
      <c r="K75" s="116"/>
      <c r="L75" s="116"/>
      <c r="M75" s="116"/>
      <c r="N75" s="116"/>
      <c r="O75" s="116"/>
      <c r="P75" s="116"/>
      <c r="Q75" s="116"/>
      <c r="R75" s="116"/>
      <c r="S75" s="116"/>
      <c r="T75" s="116"/>
      <c r="U75" s="116"/>
    </row>
    <row r="76" spans="1:21" x14ac:dyDescent="0.25">
      <c r="A76" s="80">
        <v>65</v>
      </c>
      <c r="B76" s="116">
        <v>361.9</v>
      </c>
      <c r="C76" s="116">
        <v>185.4</v>
      </c>
      <c r="D76" s="116">
        <v>126.7</v>
      </c>
      <c r="E76" s="116"/>
      <c r="F76" s="116"/>
      <c r="G76" s="116"/>
      <c r="H76" s="116"/>
      <c r="I76" s="116"/>
      <c r="J76" s="116"/>
      <c r="K76" s="116"/>
      <c r="L76" s="116"/>
      <c r="M76" s="116"/>
      <c r="N76" s="116"/>
      <c r="O76" s="116"/>
      <c r="P76" s="116"/>
      <c r="Q76" s="116"/>
      <c r="R76" s="116"/>
      <c r="S76" s="116"/>
      <c r="T76" s="116"/>
      <c r="U76" s="116"/>
    </row>
    <row r="77" spans="1:21" x14ac:dyDescent="0.25">
      <c r="A77" s="80">
        <v>66</v>
      </c>
      <c r="B77" s="116">
        <v>368</v>
      </c>
      <c r="C77" s="116">
        <v>188.6</v>
      </c>
      <c r="D77" s="116"/>
      <c r="E77" s="116"/>
      <c r="F77" s="116"/>
      <c r="G77" s="116"/>
      <c r="H77" s="116"/>
      <c r="I77" s="116"/>
      <c r="J77" s="116"/>
      <c r="K77" s="116"/>
      <c r="L77" s="116"/>
      <c r="M77" s="116"/>
      <c r="N77" s="116"/>
      <c r="O77" s="116"/>
      <c r="P77" s="116"/>
      <c r="Q77" s="116"/>
      <c r="R77" s="116"/>
      <c r="S77" s="116"/>
      <c r="T77" s="116"/>
      <c r="U77" s="116"/>
    </row>
    <row r="78" spans="1:21" x14ac:dyDescent="0.25">
      <c r="A78" s="80">
        <v>67</v>
      </c>
      <c r="B78" s="116">
        <v>374.5</v>
      </c>
      <c r="C78" s="116"/>
      <c r="D78" s="116"/>
      <c r="E78" s="116"/>
      <c r="F78" s="116"/>
      <c r="G78" s="116"/>
      <c r="H78" s="116"/>
      <c r="I78" s="116"/>
      <c r="J78" s="116"/>
      <c r="K78" s="116"/>
      <c r="L78" s="116"/>
      <c r="M78" s="116"/>
      <c r="N78" s="116"/>
      <c r="O78" s="116"/>
      <c r="P78" s="116"/>
      <c r="Q78" s="116"/>
      <c r="R78" s="116"/>
      <c r="S78" s="116"/>
      <c r="T78" s="116"/>
      <c r="U78" s="116"/>
    </row>
    <row r="133" spans="22:22" x14ac:dyDescent="0.25">
      <c r="V133" s="26" t="b">
        <f t="shared" ref="V133" si="0">V80=V27</f>
        <v>1</v>
      </c>
    </row>
    <row r="134" spans="22:22" x14ac:dyDescent="0.25">
      <c r="V134" s="26" t="b">
        <f t="shared" ref="V134" si="1">V81=V28</f>
        <v>1</v>
      </c>
    </row>
    <row r="135" spans="22:22" x14ac:dyDescent="0.25">
      <c r="V135" s="26" t="b">
        <f t="shared" ref="V135" si="2">V82=V29</f>
        <v>1</v>
      </c>
    </row>
    <row r="136" spans="22:22" x14ac:dyDescent="0.25">
      <c r="V136" s="26" t="b">
        <f t="shared" ref="V136" si="3">V83=V30</f>
        <v>1</v>
      </c>
    </row>
    <row r="137" spans="22:22" x14ac:dyDescent="0.25">
      <c r="V137" s="26" t="b">
        <f t="shared" ref="V137" si="4">V84=V31</f>
        <v>1</v>
      </c>
    </row>
    <row r="138" spans="22:22" x14ac:dyDescent="0.25">
      <c r="V138" s="26" t="b">
        <f t="shared" ref="V138" si="5">V85=V32</f>
        <v>1</v>
      </c>
    </row>
    <row r="139" spans="22:22" x14ac:dyDescent="0.25">
      <c r="V139" s="26" t="b">
        <f t="shared" ref="V139" si="6">V86=V33</f>
        <v>1</v>
      </c>
    </row>
    <row r="140" spans="22:22" x14ac:dyDescent="0.25">
      <c r="V140" s="26" t="b">
        <f t="shared" ref="V140" si="7">V87=V34</f>
        <v>1</v>
      </c>
    </row>
    <row r="141" spans="22:22" x14ac:dyDescent="0.25">
      <c r="V141" s="26" t="b">
        <f t="shared" ref="V141" si="8">V88=V35</f>
        <v>1</v>
      </c>
    </row>
    <row r="142" spans="22:22" x14ac:dyDescent="0.25">
      <c r="V142" s="26" t="b">
        <f t="shared" ref="V142" si="9">V89=V36</f>
        <v>1</v>
      </c>
    </row>
    <row r="143" spans="22:22" x14ac:dyDescent="0.25">
      <c r="V143" s="26" t="b">
        <f t="shared" ref="V143" si="10">V90=V37</f>
        <v>1</v>
      </c>
    </row>
    <row r="144" spans="22:22" x14ac:dyDescent="0.25">
      <c r="V144" s="26" t="b">
        <f t="shared" ref="V144" si="11">V91=V38</f>
        <v>1</v>
      </c>
    </row>
    <row r="145" spans="22:22" x14ac:dyDescent="0.25">
      <c r="V145" s="26" t="b">
        <f t="shared" ref="V145" si="12">V92=V39</f>
        <v>1</v>
      </c>
    </row>
    <row r="146" spans="22:22" x14ac:dyDescent="0.25">
      <c r="V146" s="26" t="b">
        <f t="shared" ref="V146" si="13">V93=V40</f>
        <v>1</v>
      </c>
    </row>
    <row r="147" spans="22:22" x14ac:dyDescent="0.25">
      <c r="V147" s="26" t="b">
        <f t="shared" ref="V147" si="14">V94=V41</f>
        <v>1</v>
      </c>
    </row>
    <row r="148" spans="22:22" x14ac:dyDescent="0.25">
      <c r="V148" s="26" t="b">
        <f t="shared" ref="V148" si="15">V95=V42</f>
        <v>1</v>
      </c>
    </row>
    <row r="149" spans="22:22" x14ac:dyDescent="0.25">
      <c r="V149" s="26" t="b">
        <f t="shared" ref="V149" si="16">V96=V43</f>
        <v>1</v>
      </c>
    </row>
    <row r="150" spans="22:22" x14ac:dyDescent="0.25">
      <c r="V150" s="26" t="b">
        <f t="shared" ref="V150" si="17">V97=V44</f>
        <v>1</v>
      </c>
    </row>
    <row r="151" spans="22:22" x14ac:dyDescent="0.25">
      <c r="V151" s="26" t="b">
        <f t="shared" ref="V151" si="18">V98=V45</f>
        <v>1</v>
      </c>
    </row>
    <row r="152" spans="22:22" x14ac:dyDescent="0.25">
      <c r="V152" s="26" t="b">
        <f t="shared" ref="V152" si="19">V99=V46</f>
        <v>1</v>
      </c>
    </row>
    <row r="153" spans="22:22" x14ac:dyDescent="0.25">
      <c r="V153" s="26" t="b">
        <f t="shared" ref="V153" si="20">V100=V47</f>
        <v>1</v>
      </c>
    </row>
    <row r="154" spans="22:22" x14ac:dyDescent="0.25">
      <c r="V154" s="26" t="b">
        <f t="shared" ref="V154" si="21">V101=V48</f>
        <v>1</v>
      </c>
    </row>
    <row r="155" spans="22:22" x14ac:dyDescent="0.25">
      <c r="V155" s="26" t="b">
        <f t="shared" ref="V155" si="22">V102=V49</f>
        <v>1</v>
      </c>
    </row>
    <row r="156" spans="22:22" x14ac:dyDescent="0.25">
      <c r="V156" s="26" t="b">
        <f t="shared" ref="V156" si="23">V103=V50</f>
        <v>1</v>
      </c>
    </row>
    <row r="157" spans="22:22" x14ac:dyDescent="0.25">
      <c r="V157" s="26" t="b">
        <f t="shared" ref="V157" si="24">V104=V51</f>
        <v>1</v>
      </c>
    </row>
    <row r="158" spans="22:22" x14ac:dyDescent="0.25">
      <c r="V158" s="26" t="b">
        <f t="shared" ref="V158" si="25">V105=V52</f>
        <v>1</v>
      </c>
    </row>
    <row r="159" spans="22:22" x14ac:dyDescent="0.25">
      <c r="V159" s="26" t="b">
        <f t="shared" ref="V159" si="26">V106=V53</f>
        <v>1</v>
      </c>
    </row>
    <row r="160" spans="22:22" x14ac:dyDescent="0.25">
      <c r="V160" s="26" t="b">
        <f t="shared" ref="V160" si="27">V107=V54</f>
        <v>1</v>
      </c>
    </row>
    <row r="161" spans="22:22" x14ac:dyDescent="0.25">
      <c r="V161" s="26" t="b">
        <f t="shared" ref="V161" si="28">V108=V55</f>
        <v>1</v>
      </c>
    </row>
    <row r="162" spans="22:22" x14ac:dyDescent="0.25">
      <c r="V162" s="26" t="b">
        <f t="shared" ref="V162" si="29">V109=V56</f>
        <v>1</v>
      </c>
    </row>
    <row r="163" spans="22:22" x14ac:dyDescent="0.25">
      <c r="V163" s="26" t="b">
        <f t="shared" ref="V163" si="30">V110=V57</f>
        <v>1</v>
      </c>
    </row>
    <row r="164" spans="22:22" x14ac:dyDescent="0.25">
      <c r="V164" s="26" t="b">
        <f t="shared" ref="V164" si="31">V111=V58</f>
        <v>1</v>
      </c>
    </row>
    <row r="165" spans="22:22" x14ac:dyDescent="0.25">
      <c r="V165" s="26" t="b">
        <f t="shared" ref="V165" si="32">V112=V59</f>
        <v>1</v>
      </c>
    </row>
    <row r="166" spans="22:22" x14ac:dyDescent="0.25">
      <c r="V166" s="26" t="b">
        <f t="shared" ref="V166" si="33">V113=V60</f>
        <v>1</v>
      </c>
    </row>
    <row r="167" spans="22:22" x14ac:dyDescent="0.25">
      <c r="V167" s="26" t="b">
        <f t="shared" ref="V167" si="34">V114=V61</f>
        <v>1</v>
      </c>
    </row>
    <row r="168" spans="22:22" x14ac:dyDescent="0.25">
      <c r="V168" s="26" t="b">
        <f t="shared" ref="V168" si="35">V115=V62</f>
        <v>1</v>
      </c>
    </row>
    <row r="169" spans="22:22" x14ac:dyDescent="0.25">
      <c r="V169" s="26" t="b">
        <f t="shared" ref="V169" si="36">V116=V63</f>
        <v>1</v>
      </c>
    </row>
    <row r="170" spans="22:22" x14ac:dyDescent="0.25">
      <c r="V170" s="26" t="b">
        <f t="shared" ref="V170" si="37">V117=V64</f>
        <v>1</v>
      </c>
    </row>
    <row r="171" spans="22:22" x14ac:dyDescent="0.25">
      <c r="V171" s="26" t="b">
        <f t="shared" ref="V171" si="38">V118=V65</f>
        <v>1</v>
      </c>
    </row>
    <row r="172" spans="22:22" x14ac:dyDescent="0.25">
      <c r="V172" s="26" t="b">
        <f t="shared" ref="V172" si="39">V119=V66</f>
        <v>1</v>
      </c>
    </row>
    <row r="173" spans="22:22" x14ac:dyDescent="0.25">
      <c r="V173" s="26" t="b">
        <f t="shared" ref="V173" si="40">V120=V67</f>
        <v>1</v>
      </c>
    </row>
    <row r="174" spans="22:22" x14ac:dyDescent="0.25">
      <c r="V174" s="26" t="b">
        <f t="shared" ref="V174" si="41">V121=V68</f>
        <v>1</v>
      </c>
    </row>
    <row r="175" spans="22:22" x14ac:dyDescent="0.25">
      <c r="V175" s="26" t="b">
        <f t="shared" ref="V175" si="42">V122=V69</f>
        <v>1</v>
      </c>
    </row>
    <row r="176" spans="22:22" x14ac:dyDescent="0.25">
      <c r="V176" s="26" t="b">
        <f t="shared" ref="V176" si="43">V123=V70</f>
        <v>1</v>
      </c>
    </row>
    <row r="177" spans="22:22" x14ac:dyDescent="0.25">
      <c r="V177" s="26" t="b">
        <f t="shared" ref="V177" si="44">V124=V71</f>
        <v>1</v>
      </c>
    </row>
    <row r="178" spans="22:22" x14ac:dyDescent="0.25">
      <c r="V178" s="26" t="b">
        <f t="shared" ref="V178" si="45">V125=V72</f>
        <v>1</v>
      </c>
    </row>
    <row r="179" spans="22:22" x14ac:dyDescent="0.25">
      <c r="V179" s="26" t="b">
        <f t="shared" ref="V179" si="46">V126=V73</f>
        <v>1</v>
      </c>
    </row>
    <row r="180" spans="22:22" x14ac:dyDescent="0.25">
      <c r="V180" s="26" t="b">
        <f t="shared" ref="V180" si="47">V127=V74</f>
        <v>1</v>
      </c>
    </row>
    <row r="181" spans="22:22" x14ac:dyDescent="0.25">
      <c r="V181" s="26" t="b">
        <f t="shared" ref="V181" si="48">V128=V75</f>
        <v>1</v>
      </c>
    </row>
    <row r="182" spans="22:22" x14ac:dyDescent="0.25">
      <c r="V182" s="26" t="b">
        <f t="shared" ref="V182" si="49">V129=V76</f>
        <v>1</v>
      </c>
    </row>
    <row r="183" spans="22:22" x14ac:dyDescent="0.25">
      <c r="V183" s="26" t="b">
        <f t="shared" ref="V183" si="50">V130=V77</f>
        <v>1</v>
      </c>
    </row>
    <row r="184" spans="22:22" x14ac:dyDescent="0.25">
      <c r="V184" s="26" t="b">
        <f t="shared" ref="V184" si="51">V131=V78</f>
        <v>1</v>
      </c>
    </row>
  </sheetData>
  <sheetProtection algorithmName="SHA-512" hashValue="s4nqsyjAgCgt4NtRY/Bl5Xd0t26guCVB11vAmh8MZmNvXM0UklgTHz22T3IJHfKPRSltU6i5dTp5r38Zi0PDtQ==" saltValue="rGDZG2c9BbMdHyZeiG1wEA==" spinCount="100000" sheet="1" objects="1" scenarios="1"/>
  <conditionalFormatting sqref="A6:A21">
    <cfRule type="expression" dxfId="299" priority="9" stopIfTrue="1">
      <formula>MOD(ROW(),2)=0</formula>
    </cfRule>
    <cfRule type="expression" dxfId="298" priority="10" stopIfTrue="1">
      <formula>MOD(ROW(),2)&lt;&gt;0</formula>
    </cfRule>
  </conditionalFormatting>
  <conditionalFormatting sqref="A26:A78">
    <cfRule type="expression" dxfId="297" priority="11" stopIfTrue="1">
      <formula>MOD(ROW(),2)=0</formula>
    </cfRule>
    <cfRule type="expression" dxfId="296" priority="12" stopIfTrue="1">
      <formula>MOD(ROW(),2)&lt;&gt;0</formula>
    </cfRule>
  </conditionalFormatting>
  <conditionalFormatting sqref="B17:B21">
    <cfRule type="expression" dxfId="295" priority="1" stopIfTrue="1">
      <formula>MOD(ROW(),2)=0</formula>
    </cfRule>
    <cfRule type="expression" dxfId="294" priority="2" stopIfTrue="1">
      <formula>MOD(ROW(),2)&lt;&gt;0</formula>
    </cfRule>
  </conditionalFormatting>
  <conditionalFormatting sqref="B6:U21">
    <cfRule type="expression" dxfId="293" priority="17" stopIfTrue="1">
      <formula>MOD(ROW(),2)=0</formula>
    </cfRule>
    <cfRule type="expression" dxfId="292" priority="18" stopIfTrue="1">
      <formula>MOD(ROW(),2)&lt;&gt;0</formula>
    </cfRule>
  </conditionalFormatting>
  <conditionalFormatting sqref="B26:U78">
    <cfRule type="expression" dxfId="291" priority="13" stopIfTrue="1">
      <formula>MOD(ROW(),2)=0</formula>
    </cfRule>
    <cfRule type="expression" dxfId="290" priority="14" stopIfTrue="1">
      <formula>MOD(ROW(),2)&lt;&gt;0</formula>
    </cfRule>
  </conditionalFormatting>
  <hyperlinks>
    <hyperlink ref="B24" location="Assumptions!A1" display="Assumptions" xr:uid="{2487824F-40BF-45E8-814C-0F009C27718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5"/>
  <dimension ref="A1:I78"/>
  <sheetViews>
    <sheetView showGridLines="0" zoomScale="85" zoomScaleNormal="85" workbookViewId="0">
      <selection activeCell="A4" sqref="A4"/>
    </sheetView>
  </sheetViews>
  <sheetFormatPr defaultColWidth="10" defaultRowHeight="12.5" x14ac:dyDescent="0.25"/>
  <cols>
    <col min="1" max="1" width="31.54296875" style="26" customWidth="1"/>
    <col min="2" max="4" width="22.54296875" style="26" customWidth="1"/>
    <col min="5" max="16384" width="10" style="26"/>
  </cols>
  <sheetData>
    <row r="1" spans="1:9" ht="20" x14ac:dyDescent="0.4">
      <c r="A1" s="37" t="s">
        <v>0</v>
      </c>
      <c r="B1" s="38"/>
      <c r="C1" s="38"/>
      <c r="D1" s="38"/>
      <c r="E1" s="38"/>
      <c r="F1" s="38"/>
      <c r="G1" s="38"/>
      <c r="H1" s="38"/>
      <c r="I1" s="38"/>
    </row>
    <row r="2" spans="1:9" ht="15.5" x14ac:dyDescent="0.35">
      <c r="A2" s="39" t="str">
        <f>IF(title="&gt; Enter workbook title here","Enter workbook title in Cover sheet",title)</f>
        <v>NHSPS_S - Consolidated Factor Spreadsheet</v>
      </c>
      <c r="B2" s="40"/>
      <c r="C2" s="40"/>
      <c r="D2" s="40"/>
      <c r="E2" s="40"/>
      <c r="F2" s="40"/>
      <c r="G2" s="40"/>
      <c r="H2" s="40"/>
      <c r="I2" s="40"/>
    </row>
    <row r="3" spans="1:9" ht="15.5" x14ac:dyDescent="0.35">
      <c r="A3" s="41" t="str">
        <f>TABLE_FACTOR_TYPE_1&amp;" - x-"&amp;TABLE_SERIES_NUMBER_1</f>
        <v>Early retirement reduction buy out - x-720</v>
      </c>
      <c r="B3" s="40"/>
      <c r="C3" s="40"/>
      <c r="D3" s="40"/>
      <c r="E3" s="40"/>
      <c r="F3" s="40"/>
      <c r="G3" s="40"/>
      <c r="H3" s="40"/>
      <c r="I3" s="40"/>
    </row>
    <row r="4" spans="1:9" x14ac:dyDescent="0.25">
      <c r="A4" s="42"/>
    </row>
    <row r="6" spans="1:9" ht="13" x14ac:dyDescent="0.3">
      <c r="A6" s="75" t="s">
        <v>274</v>
      </c>
      <c r="B6" s="161" t="s">
        <v>275</v>
      </c>
      <c r="C6" s="161"/>
      <c r="D6" s="161"/>
    </row>
    <row r="7" spans="1:9" x14ac:dyDescent="0.25">
      <c r="A7" s="77" t="s">
        <v>276</v>
      </c>
      <c r="B7" s="161" t="s">
        <v>72</v>
      </c>
      <c r="C7" s="161"/>
      <c r="D7" s="161"/>
    </row>
    <row r="8" spans="1:9" x14ac:dyDescent="0.25">
      <c r="A8" s="77" t="s">
        <v>278</v>
      </c>
      <c r="B8" s="161" t="s">
        <v>73</v>
      </c>
      <c r="C8" s="161"/>
      <c r="D8" s="161"/>
    </row>
    <row r="9" spans="1:9" x14ac:dyDescent="0.25">
      <c r="A9" s="77" t="s">
        <v>280</v>
      </c>
      <c r="B9" s="161" t="s">
        <v>603</v>
      </c>
      <c r="C9" s="161"/>
      <c r="D9" s="161"/>
    </row>
    <row r="10" spans="1:9" x14ac:dyDescent="0.25">
      <c r="A10" s="77" t="s">
        <v>6</v>
      </c>
      <c r="B10" s="161" t="s">
        <v>604</v>
      </c>
      <c r="C10" s="161"/>
      <c r="D10" s="161"/>
    </row>
    <row r="11" spans="1:9" x14ac:dyDescent="0.25">
      <c r="A11" s="77" t="s">
        <v>283</v>
      </c>
      <c r="B11" s="161" t="s">
        <v>355</v>
      </c>
      <c r="C11" s="161"/>
      <c r="D11" s="161"/>
    </row>
    <row r="12" spans="1:9" x14ac:dyDescent="0.25">
      <c r="A12" s="77" t="s">
        <v>285</v>
      </c>
      <c r="B12" s="161" t="s">
        <v>605</v>
      </c>
      <c r="C12" s="161"/>
      <c r="D12" s="161"/>
    </row>
    <row r="13" spans="1:9" x14ac:dyDescent="0.25">
      <c r="A13" s="77" t="s">
        <v>287</v>
      </c>
      <c r="B13" s="161">
        <v>0</v>
      </c>
      <c r="C13" s="161"/>
      <c r="D13" s="161"/>
    </row>
    <row r="14" spans="1:9" x14ac:dyDescent="0.25">
      <c r="A14" s="77" t="s">
        <v>289</v>
      </c>
      <c r="B14" s="161">
        <v>720</v>
      </c>
      <c r="C14" s="161"/>
      <c r="D14" s="161"/>
    </row>
    <row r="15" spans="1:9" x14ac:dyDescent="0.25">
      <c r="A15" s="77" t="s">
        <v>291</v>
      </c>
      <c r="B15" s="161" t="s">
        <v>606</v>
      </c>
      <c r="C15" s="161"/>
      <c r="D15" s="161"/>
    </row>
    <row r="16" spans="1:9" x14ac:dyDescent="0.25">
      <c r="A16" s="77" t="s">
        <v>293</v>
      </c>
      <c r="B16" s="161" t="s">
        <v>607</v>
      </c>
      <c r="C16" s="161"/>
      <c r="D16" s="161"/>
    </row>
    <row r="17" spans="1:4" x14ac:dyDescent="0.25">
      <c r="A17" s="74" t="s">
        <v>760</v>
      </c>
      <c r="B17" s="161"/>
      <c r="C17" s="161"/>
      <c r="D17" s="161"/>
    </row>
    <row r="18" spans="1:4" x14ac:dyDescent="0.25">
      <c r="A18" s="77" t="s">
        <v>297</v>
      </c>
      <c r="B18" s="163">
        <v>45202</v>
      </c>
      <c r="C18" s="161"/>
      <c r="D18" s="161"/>
    </row>
    <row r="19" spans="1:4" x14ac:dyDescent="0.25">
      <c r="A19" s="77" t="s">
        <v>299</v>
      </c>
      <c r="B19" s="163">
        <v>45383</v>
      </c>
      <c r="C19" s="161"/>
      <c r="D19" s="161"/>
    </row>
    <row r="20" spans="1:4" x14ac:dyDescent="0.25">
      <c r="A20" s="77" t="s">
        <v>301</v>
      </c>
      <c r="B20" s="161" t="s">
        <v>314</v>
      </c>
      <c r="C20" s="161"/>
      <c r="D20" s="161"/>
    </row>
    <row r="21" spans="1:4" x14ac:dyDescent="0.25">
      <c r="A21" s="77" t="s">
        <v>307</v>
      </c>
      <c r="B21" s="161" t="s">
        <v>315</v>
      </c>
      <c r="C21" s="161"/>
      <c r="D21" s="161"/>
    </row>
    <row r="23" spans="1:4" x14ac:dyDescent="0.25">
      <c r="B23" s="100" t="str">
        <f>HYPERLINK("#'Factor List'!A1","Back to Factor List")</f>
        <v>Back to Factor List</v>
      </c>
    </row>
    <row r="24" spans="1:4" x14ac:dyDescent="0.25">
      <c r="B24" s="100" t="s">
        <v>13</v>
      </c>
    </row>
    <row r="26" spans="1:4" ht="78" x14ac:dyDescent="0.25">
      <c r="A26" s="79" t="s">
        <v>417</v>
      </c>
      <c r="B26" s="79" t="s">
        <v>836</v>
      </c>
      <c r="C26" s="79" t="s">
        <v>837</v>
      </c>
      <c r="D26" s="79" t="s">
        <v>838</v>
      </c>
    </row>
    <row r="27" spans="1:4" x14ac:dyDescent="0.25">
      <c r="A27" s="80">
        <v>16</v>
      </c>
      <c r="B27" s="82">
        <v>1.7100000000000001E-2</v>
      </c>
      <c r="C27" s="82">
        <v>3.4200000000000001E-2</v>
      </c>
      <c r="D27" s="82">
        <v>5.1299999999999998E-2</v>
      </c>
    </row>
    <row r="28" spans="1:4" x14ac:dyDescent="0.25">
      <c r="A28" s="80">
        <v>17</v>
      </c>
      <c r="B28" s="82">
        <v>1.7100000000000001E-2</v>
      </c>
      <c r="C28" s="82">
        <v>3.4099999999999998E-2</v>
      </c>
      <c r="D28" s="82">
        <v>5.1200000000000002E-2</v>
      </c>
    </row>
    <row r="29" spans="1:4" x14ac:dyDescent="0.25">
      <c r="A29" s="80">
        <v>18</v>
      </c>
      <c r="B29" s="82">
        <v>1.7100000000000001E-2</v>
      </c>
      <c r="C29" s="82">
        <v>3.4099999999999998E-2</v>
      </c>
      <c r="D29" s="82">
        <v>5.1200000000000002E-2</v>
      </c>
    </row>
    <row r="30" spans="1:4" x14ac:dyDescent="0.25">
      <c r="A30" s="80">
        <v>19</v>
      </c>
      <c r="B30" s="82">
        <v>1.7000000000000001E-2</v>
      </c>
      <c r="C30" s="82">
        <v>3.4099999999999998E-2</v>
      </c>
      <c r="D30" s="82">
        <v>5.11E-2</v>
      </c>
    </row>
    <row r="31" spans="1:4" x14ac:dyDescent="0.25">
      <c r="A31" s="80">
        <v>20</v>
      </c>
      <c r="B31" s="82">
        <v>1.7000000000000001E-2</v>
      </c>
      <c r="C31" s="82">
        <v>3.4099999999999998E-2</v>
      </c>
      <c r="D31" s="82">
        <v>5.11E-2</v>
      </c>
    </row>
    <row r="32" spans="1:4" x14ac:dyDescent="0.25">
      <c r="A32" s="80">
        <v>21</v>
      </c>
      <c r="B32" s="82">
        <v>1.7000000000000001E-2</v>
      </c>
      <c r="C32" s="82">
        <v>3.4000000000000002E-2</v>
      </c>
      <c r="D32" s="82">
        <v>5.11E-2</v>
      </c>
    </row>
    <row r="33" spans="1:4" x14ac:dyDescent="0.25">
      <c r="A33" s="80">
        <v>22</v>
      </c>
      <c r="B33" s="82">
        <v>1.7000000000000001E-2</v>
      </c>
      <c r="C33" s="82">
        <v>3.4000000000000002E-2</v>
      </c>
      <c r="D33" s="82">
        <v>5.0999999999999997E-2</v>
      </c>
    </row>
    <row r="34" spans="1:4" x14ac:dyDescent="0.25">
      <c r="A34" s="80">
        <v>23</v>
      </c>
      <c r="B34" s="82">
        <v>1.7000000000000001E-2</v>
      </c>
      <c r="C34" s="82">
        <v>3.4000000000000002E-2</v>
      </c>
      <c r="D34" s="82">
        <v>5.0999999999999997E-2</v>
      </c>
    </row>
    <row r="35" spans="1:4" x14ac:dyDescent="0.25">
      <c r="A35" s="80">
        <v>24</v>
      </c>
      <c r="B35" s="82">
        <v>1.7000000000000001E-2</v>
      </c>
      <c r="C35" s="82">
        <v>3.4000000000000002E-2</v>
      </c>
      <c r="D35" s="82">
        <v>5.0900000000000001E-2</v>
      </c>
    </row>
    <row r="36" spans="1:4" x14ac:dyDescent="0.25">
      <c r="A36" s="80">
        <v>25</v>
      </c>
      <c r="B36" s="82">
        <v>1.7000000000000001E-2</v>
      </c>
      <c r="C36" s="82">
        <v>3.39E-2</v>
      </c>
      <c r="D36" s="82">
        <v>5.0900000000000001E-2</v>
      </c>
    </row>
    <row r="37" spans="1:4" x14ac:dyDescent="0.25">
      <c r="A37" s="80">
        <v>26</v>
      </c>
      <c r="B37" s="82">
        <v>1.7000000000000001E-2</v>
      </c>
      <c r="C37" s="82">
        <v>3.39E-2</v>
      </c>
      <c r="D37" s="82">
        <v>5.0900000000000001E-2</v>
      </c>
    </row>
    <row r="38" spans="1:4" x14ac:dyDescent="0.25">
      <c r="A38" s="80">
        <v>27</v>
      </c>
      <c r="B38" s="82">
        <v>1.6899999999999998E-2</v>
      </c>
      <c r="C38" s="82">
        <v>3.39E-2</v>
      </c>
      <c r="D38" s="82">
        <v>5.0799999999999998E-2</v>
      </c>
    </row>
    <row r="39" spans="1:4" x14ac:dyDescent="0.25">
      <c r="A39" s="80">
        <v>28</v>
      </c>
      <c r="B39" s="82">
        <v>1.6899999999999998E-2</v>
      </c>
      <c r="C39" s="82">
        <v>3.39E-2</v>
      </c>
      <c r="D39" s="82">
        <v>5.0799999999999998E-2</v>
      </c>
    </row>
    <row r="40" spans="1:4" x14ac:dyDescent="0.25">
      <c r="A40" s="80">
        <v>29</v>
      </c>
      <c r="B40" s="82">
        <v>1.6899999999999998E-2</v>
      </c>
      <c r="C40" s="82">
        <v>3.3799999999999997E-2</v>
      </c>
      <c r="D40" s="82">
        <v>5.0799999999999998E-2</v>
      </c>
    </row>
    <row r="41" spans="1:4" x14ac:dyDescent="0.25">
      <c r="A41" s="80">
        <v>30</v>
      </c>
      <c r="B41" s="82">
        <v>1.6899999999999998E-2</v>
      </c>
      <c r="C41" s="82">
        <v>3.3799999999999997E-2</v>
      </c>
      <c r="D41" s="82">
        <v>5.0700000000000002E-2</v>
      </c>
    </row>
    <row r="42" spans="1:4" x14ac:dyDescent="0.25">
      <c r="A42" s="80">
        <v>31</v>
      </c>
      <c r="B42" s="82">
        <v>1.6899999999999998E-2</v>
      </c>
      <c r="C42" s="82">
        <v>3.3799999999999997E-2</v>
      </c>
      <c r="D42" s="82">
        <v>5.0700000000000002E-2</v>
      </c>
    </row>
    <row r="43" spans="1:4" x14ac:dyDescent="0.25">
      <c r="A43" s="80">
        <v>32</v>
      </c>
      <c r="B43" s="82">
        <v>1.6899999999999998E-2</v>
      </c>
      <c r="C43" s="82">
        <v>3.3799999999999997E-2</v>
      </c>
      <c r="D43" s="82">
        <v>5.0700000000000002E-2</v>
      </c>
    </row>
    <row r="44" spans="1:4" x14ac:dyDescent="0.25">
      <c r="A44" s="80">
        <v>33</v>
      </c>
      <c r="B44" s="82">
        <v>1.6899999999999998E-2</v>
      </c>
      <c r="C44" s="82">
        <v>3.3799999999999997E-2</v>
      </c>
      <c r="D44" s="82">
        <v>5.0599999999999999E-2</v>
      </c>
    </row>
    <row r="45" spans="1:4" x14ac:dyDescent="0.25">
      <c r="A45" s="80">
        <v>34</v>
      </c>
      <c r="B45" s="82">
        <v>1.6899999999999998E-2</v>
      </c>
      <c r="C45" s="82">
        <v>3.3700000000000001E-2</v>
      </c>
      <c r="D45" s="82">
        <v>5.0599999999999999E-2</v>
      </c>
    </row>
    <row r="46" spans="1:4" x14ac:dyDescent="0.25">
      <c r="A46" s="80">
        <v>35</v>
      </c>
      <c r="B46" s="82">
        <v>1.6899999999999998E-2</v>
      </c>
      <c r="C46" s="82">
        <v>3.3700000000000001E-2</v>
      </c>
      <c r="D46" s="82">
        <v>5.0599999999999999E-2</v>
      </c>
    </row>
    <row r="47" spans="1:4" x14ac:dyDescent="0.25">
      <c r="A47" s="80">
        <v>36</v>
      </c>
      <c r="B47" s="82">
        <v>1.6899999999999998E-2</v>
      </c>
      <c r="C47" s="82">
        <v>3.3700000000000001E-2</v>
      </c>
      <c r="D47" s="82">
        <v>5.0599999999999999E-2</v>
      </c>
    </row>
    <row r="48" spans="1:4" x14ac:dyDescent="0.25">
      <c r="A48" s="80">
        <v>37</v>
      </c>
      <c r="B48" s="82">
        <v>1.6799999999999999E-2</v>
      </c>
      <c r="C48" s="82">
        <v>3.3700000000000001E-2</v>
      </c>
      <c r="D48" s="82">
        <v>5.0500000000000003E-2</v>
      </c>
    </row>
    <row r="49" spans="1:4" x14ac:dyDescent="0.25">
      <c r="A49" s="80">
        <v>38</v>
      </c>
      <c r="B49" s="82">
        <v>1.6799999999999999E-2</v>
      </c>
      <c r="C49" s="82">
        <v>3.3700000000000001E-2</v>
      </c>
      <c r="D49" s="82">
        <v>5.0500000000000003E-2</v>
      </c>
    </row>
    <row r="50" spans="1:4" x14ac:dyDescent="0.25">
      <c r="A50" s="80">
        <v>39</v>
      </c>
      <c r="B50" s="82">
        <v>1.6799999999999999E-2</v>
      </c>
      <c r="C50" s="82">
        <v>3.3700000000000001E-2</v>
      </c>
      <c r="D50" s="82">
        <v>5.0500000000000003E-2</v>
      </c>
    </row>
    <row r="51" spans="1:4" x14ac:dyDescent="0.25">
      <c r="A51" s="80">
        <v>40</v>
      </c>
      <c r="B51" s="82">
        <v>1.6799999999999999E-2</v>
      </c>
      <c r="C51" s="82">
        <v>3.3700000000000001E-2</v>
      </c>
      <c r="D51" s="82">
        <v>5.0500000000000003E-2</v>
      </c>
    </row>
    <row r="52" spans="1:4" x14ac:dyDescent="0.25">
      <c r="A52" s="80">
        <v>41</v>
      </c>
      <c r="B52" s="82">
        <v>1.6799999999999999E-2</v>
      </c>
      <c r="C52" s="82">
        <v>3.3599999999999998E-2</v>
      </c>
      <c r="D52" s="82">
        <v>5.0500000000000003E-2</v>
      </c>
    </row>
    <row r="53" spans="1:4" x14ac:dyDescent="0.25">
      <c r="A53" s="80">
        <v>42</v>
      </c>
      <c r="B53" s="82">
        <v>1.6799999999999999E-2</v>
      </c>
      <c r="C53" s="82">
        <v>3.3599999999999998E-2</v>
      </c>
      <c r="D53" s="82">
        <v>5.0500000000000003E-2</v>
      </c>
    </row>
    <row r="54" spans="1:4" x14ac:dyDescent="0.25">
      <c r="A54" s="80">
        <v>43</v>
      </c>
      <c r="B54" s="82">
        <v>1.6799999999999999E-2</v>
      </c>
      <c r="C54" s="82">
        <v>3.3599999999999998E-2</v>
      </c>
      <c r="D54" s="82">
        <v>5.04E-2</v>
      </c>
    </row>
    <row r="55" spans="1:4" x14ac:dyDescent="0.25">
      <c r="A55" s="80">
        <v>44</v>
      </c>
      <c r="B55" s="82">
        <v>1.6799999999999999E-2</v>
      </c>
      <c r="C55" s="82">
        <v>3.3599999999999998E-2</v>
      </c>
      <c r="D55" s="82">
        <v>5.04E-2</v>
      </c>
    </row>
    <row r="56" spans="1:4" x14ac:dyDescent="0.25">
      <c r="A56" s="80">
        <v>45</v>
      </c>
      <c r="B56" s="82">
        <v>1.6799999999999999E-2</v>
      </c>
      <c r="C56" s="82">
        <v>3.3599999999999998E-2</v>
      </c>
      <c r="D56" s="82">
        <v>5.04E-2</v>
      </c>
    </row>
    <row r="57" spans="1:4" x14ac:dyDescent="0.25">
      <c r="A57" s="80">
        <v>46</v>
      </c>
      <c r="B57" s="82">
        <v>1.6799999999999999E-2</v>
      </c>
      <c r="C57" s="82">
        <v>3.3599999999999998E-2</v>
      </c>
      <c r="D57" s="82">
        <v>5.04E-2</v>
      </c>
    </row>
    <row r="58" spans="1:4" x14ac:dyDescent="0.25">
      <c r="A58" s="80">
        <v>47</v>
      </c>
      <c r="B58" s="82">
        <v>1.6799999999999999E-2</v>
      </c>
      <c r="C58" s="82">
        <v>3.3599999999999998E-2</v>
      </c>
      <c r="D58" s="82">
        <v>5.0500000000000003E-2</v>
      </c>
    </row>
    <row r="59" spans="1:4" x14ac:dyDescent="0.25">
      <c r="A59" s="80">
        <v>48</v>
      </c>
      <c r="B59" s="82">
        <v>1.6799999999999999E-2</v>
      </c>
      <c r="C59" s="82">
        <v>3.3599999999999998E-2</v>
      </c>
      <c r="D59" s="82">
        <v>5.0500000000000003E-2</v>
      </c>
    </row>
    <row r="60" spans="1:4" x14ac:dyDescent="0.25">
      <c r="A60" s="80">
        <v>49</v>
      </c>
      <c r="B60" s="82">
        <v>1.6799999999999999E-2</v>
      </c>
      <c r="C60" s="82">
        <v>3.3700000000000001E-2</v>
      </c>
      <c r="D60" s="82">
        <v>5.0500000000000003E-2</v>
      </c>
    </row>
    <row r="61" spans="1:4" x14ac:dyDescent="0.25">
      <c r="A61" s="80">
        <v>50</v>
      </c>
      <c r="B61" s="82">
        <v>1.6799999999999999E-2</v>
      </c>
      <c r="C61" s="82">
        <v>3.3700000000000001E-2</v>
      </c>
      <c r="D61" s="82">
        <v>5.0500000000000003E-2</v>
      </c>
    </row>
    <row r="62" spans="1:4" x14ac:dyDescent="0.25">
      <c r="A62" s="80">
        <v>51</v>
      </c>
      <c r="B62" s="82">
        <v>1.6799999999999999E-2</v>
      </c>
      <c r="C62" s="82">
        <v>3.3700000000000001E-2</v>
      </c>
      <c r="D62" s="82">
        <v>5.0500000000000003E-2</v>
      </c>
    </row>
    <row r="63" spans="1:4" x14ac:dyDescent="0.25">
      <c r="A63" s="80">
        <v>52</v>
      </c>
      <c r="B63" s="82">
        <v>1.6899999999999998E-2</v>
      </c>
      <c r="C63" s="82">
        <v>3.3700000000000001E-2</v>
      </c>
      <c r="D63" s="82">
        <v>5.0599999999999999E-2</v>
      </c>
    </row>
    <row r="64" spans="1:4" x14ac:dyDescent="0.25">
      <c r="A64" s="80">
        <v>53</v>
      </c>
      <c r="B64" s="82">
        <v>1.6899999999999998E-2</v>
      </c>
      <c r="C64" s="82">
        <v>3.3799999999999997E-2</v>
      </c>
      <c r="D64" s="82">
        <v>5.0599999999999999E-2</v>
      </c>
    </row>
    <row r="65" spans="1:4" x14ac:dyDescent="0.25">
      <c r="A65" s="80">
        <v>54</v>
      </c>
      <c r="B65" s="82">
        <v>1.6899999999999998E-2</v>
      </c>
      <c r="C65" s="82">
        <v>3.3799999999999997E-2</v>
      </c>
      <c r="D65" s="82">
        <v>5.0700000000000002E-2</v>
      </c>
    </row>
    <row r="66" spans="1:4" x14ac:dyDescent="0.25">
      <c r="A66" s="80">
        <v>55</v>
      </c>
      <c r="B66" s="82">
        <v>1.6899999999999998E-2</v>
      </c>
      <c r="C66" s="82">
        <v>3.3799999999999997E-2</v>
      </c>
      <c r="D66" s="82">
        <v>5.0799999999999998E-2</v>
      </c>
    </row>
    <row r="67" spans="1:4" x14ac:dyDescent="0.25">
      <c r="A67" s="80">
        <v>56</v>
      </c>
      <c r="B67" s="82">
        <v>1.7000000000000001E-2</v>
      </c>
      <c r="C67" s="82">
        <v>3.39E-2</v>
      </c>
      <c r="D67" s="82">
        <v>5.0900000000000001E-2</v>
      </c>
    </row>
    <row r="68" spans="1:4" x14ac:dyDescent="0.25">
      <c r="A68" s="80">
        <v>57</v>
      </c>
      <c r="B68" s="82">
        <v>1.7000000000000001E-2</v>
      </c>
      <c r="C68" s="82">
        <v>3.4000000000000002E-2</v>
      </c>
      <c r="D68" s="82">
        <v>5.0900000000000001E-2</v>
      </c>
    </row>
    <row r="69" spans="1:4" x14ac:dyDescent="0.25">
      <c r="A69" s="80">
        <v>58</v>
      </c>
      <c r="B69" s="82">
        <v>1.7000000000000001E-2</v>
      </c>
      <c r="C69" s="82">
        <v>3.4000000000000002E-2</v>
      </c>
      <c r="D69" s="82">
        <v>5.0999999999999997E-2</v>
      </c>
    </row>
    <row r="70" spans="1:4" x14ac:dyDescent="0.25">
      <c r="A70" s="80">
        <v>59</v>
      </c>
      <c r="B70" s="82">
        <v>1.7100000000000001E-2</v>
      </c>
      <c r="C70" s="82">
        <v>3.4099999999999998E-2</v>
      </c>
      <c r="D70" s="82">
        <v>5.1200000000000002E-2</v>
      </c>
    </row>
    <row r="71" spans="1:4" x14ac:dyDescent="0.25">
      <c r="A71" s="80">
        <v>60</v>
      </c>
      <c r="B71" s="82">
        <v>1.7100000000000001E-2</v>
      </c>
      <c r="C71" s="82">
        <v>3.4200000000000001E-2</v>
      </c>
      <c r="D71" s="82">
        <v>5.1299999999999998E-2</v>
      </c>
    </row>
    <row r="72" spans="1:4" x14ac:dyDescent="0.25">
      <c r="A72" s="80">
        <v>61</v>
      </c>
      <c r="B72" s="82">
        <v>1.7100000000000001E-2</v>
      </c>
      <c r="C72" s="82">
        <v>3.4299999999999997E-2</v>
      </c>
      <c r="D72" s="82">
        <v>5.1400000000000001E-2</v>
      </c>
    </row>
    <row r="73" spans="1:4" x14ac:dyDescent="0.25">
      <c r="A73" s="80">
        <v>62</v>
      </c>
      <c r="B73" s="82">
        <v>1.72E-2</v>
      </c>
      <c r="C73" s="82">
        <v>3.44E-2</v>
      </c>
      <c r="D73" s="82">
        <v>5.16E-2</v>
      </c>
    </row>
    <row r="74" spans="1:4" x14ac:dyDescent="0.25">
      <c r="A74" s="80">
        <v>63</v>
      </c>
      <c r="B74" s="82">
        <v>1.7299999999999999E-2</v>
      </c>
      <c r="C74" s="82">
        <v>3.4500000000000003E-2</v>
      </c>
      <c r="D74" s="82">
        <v>5.1799999999999999E-2</v>
      </c>
    </row>
    <row r="75" spans="1:4" x14ac:dyDescent="0.25">
      <c r="A75" s="80">
        <v>64</v>
      </c>
      <c r="B75" s="82">
        <v>1.7299999999999999E-2</v>
      </c>
      <c r="C75" s="82">
        <v>3.4599999999999999E-2</v>
      </c>
      <c r="D75" s="82">
        <v>5.1900000000000002E-2</v>
      </c>
    </row>
    <row r="76" spans="1:4" x14ac:dyDescent="0.25">
      <c r="A76" s="80">
        <v>65</v>
      </c>
      <c r="B76" s="82">
        <v>1.7399999999999999E-2</v>
      </c>
      <c r="C76" s="82">
        <v>3.4799999999999998E-2</v>
      </c>
      <c r="D76" s="82"/>
    </row>
    <row r="77" spans="1:4" x14ac:dyDescent="0.25">
      <c r="A77" s="80">
        <v>66</v>
      </c>
      <c r="B77" s="82">
        <v>1.7399999999999999E-2</v>
      </c>
      <c r="C77" s="82"/>
      <c r="D77" s="82"/>
    </row>
    <row r="78" spans="1:4" x14ac:dyDescent="0.25">
      <c r="A78" s="80">
        <v>67</v>
      </c>
      <c r="B78" s="82"/>
      <c r="C78" s="82"/>
      <c r="D78" s="82"/>
    </row>
  </sheetData>
  <sheetProtection algorithmName="SHA-512" hashValue="/tLtZr2vISgNx+ByCc5oxcfPX2M3qD5NFGwfZfRML6deKZdhdkzYUW71DY2U+Ate81bBzE7jmvpyLNT+cJ79Gw==" saltValue="j+pohfM+zM4AbzBb6kjrBw==" spinCount="100000" sheet="1" objects="1" scenarios="1"/>
  <conditionalFormatting sqref="A6:A21">
    <cfRule type="expression" dxfId="289" priority="9" stopIfTrue="1">
      <formula>MOD(ROW(),2)=0</formula>
    </cfRule>
    <cfRule type="expression" dxfId="288" priority="10" stopIfTrue="1">
      <formula>MOD(ROW(),2)&lt;&gt;0</formula>
    </cfRule>
  </conditionalFormatting>
  <conditionalFormatting sqref="A26:A78">
    <cfRule type="expression" dxfId="287" priority="11" stopIfTrue="1">
      <formula>MOD(ROW(),2)=0</formula>
    </cfRule>
    <cfRule type="expression" dxfId="286" priority="12" stopIfTrue="1">
      <formula>MOD(ROW(),2)&lt;&gt;0</formula>
    </cfRule>
  </conditionalFormatting>
  <conditionalFormatting sqref="B17:B21">
    <cfRule type="expression" dxfId="285" priority="1" stopIfTrue="1">
      <formula>MOD(ROW(),2)=0</formula>
    </cfRule>
    <cfRule type="expression" dxfId="284" priority="2" stopIfTrue="1">
      <formula>MOD(ROW(),2)&lt;&gt;0</formula>
    </cfRule>
  </conditionalFormatting>
  <conditionalFormatting sqref="B6:D21">
    <cfRule type="expression" dxfId="283" priority="21" stopIfTrue="1">
      <formula>MOD(ROW(),2)=0</formula>
    </cfRule>
    <cfRule type="expression" dxfId="282" priority="22" stopIfTrue="1">
      <formula>MOD(ROW(),2)&lt;&gt;0</formula>
    </cfRule>
  </conditionalFormatting>
  <conditionalFormatting sqref="B26:D78">
    <cfRule type="expression" dxfId="281" priority="13" stopIfTrue="1">
      <formula>MOD(ROW(),2)=0</formula>
    </cfRule>
    <cfRule type="expression" dxfId="280" priority="14" stopIfTrue="1">
      <formula>MOD(ROW(),2)&lt;&gt;0</formula>
    </cfRule>
  </conditionalFormatting>
  <hyperlinks>
    <hyperlink ref="B24" location="Assumptions!A1" display="Assumptions" xr:uid="{9CB66F27-659D-4D32-AECD-32C0B30B8D1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3"/>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x-801</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608</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801</v>
      </c>
      <c r="C14" s="161"/>
      <c r="D14" s="161"/>
      <c r="E14" s="161"/>
      <c r="F14" s="161"/>
      <c r="G14" s="161"/>
      <c r="H14" s="161"/>
      <c r="I14" s="161"/>
      <c r="J14" s="161"/>
      <c r="K14" s="161"/>
      <c r="L14" s="161"/>
      <c r="M14" s="161"/>
    </row>
    <row r="15" spans="1:13" x14ac:dyDescent="0.25">
      <c r="A15" s="77" t="s">
        <v>291</v>
      </c>
      <c r="B15" s="161" t="s">
        <v>610</v>
      </c>
      <c r="C15" s="161"/>
      <c r="D15" s="161"/>
      <c r="E15" s="161"/>
      <c r="F15" s="161"/>
      <c r="G15" s="161"/>
      <c r="H15" s="161"/>
      <c r="I15" s="161"/>
      <c r="J15" s="161"/>
      <c r="K15" s="161"/>
      <c r="L15" s="161"/>
      <c r="M15" s="161"/>
    </row>
    <row r="16" spans="1:13" x14ac:dyDescent="0.25">
      <c r="A16" s="77" t="s">
        <v>293</v>
      </c>
      <c r="B16" s="161" t="s">
        <v>611</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4.5179999999999998</v>
      </c>
      <c r="C27" s="103">
        <v>4.4480000000000004</v>
      </c>
      <c r="D27" s="103">
        <v>4.3780000000000001</v>
      </c>
      <c r="E27" s="103">
        <v>4.3070000000000004</v>
      </c>
      <c r="F27" s="103">
        <v>4.2370000000000001</v>
      </c>
      <c r="G27" s="103">
        <v>4.1669999999999998</v>
      </c>
      <c r="H27" s="103">
        <v>4.0970000000000004</v>
      </c>
      <c r="I27" s="103">
        <v>4.0259999999999998</v>
      </c>
      <c r="J27" s="103">
        <v>3.956</v>
      </c>
      <c r="K27" s="103">
        <v>3.8860000000000001</v>
      </c>
      <c r="L27" s="103">
        <v>3.8159999999999998</v>
      </c>
      <c r="M27" s="103">
        <v>3.7450000000000001</v>
      </c>
    </row>
    <row r="28" spans="1:13" x14ac:dyDescent="0.25">
      <c r="A28" s="98">
        <v>51</v>
      </c>
      <c r="B28" s="103">
        <v>3.6739999999999999</v>
      </c>
      <c r="C28" s="103">
        <v>3.601</v>
      </c>
      <c r="D28" s="103">
        <v>3.528</v>
      </c>
      <c r="E28" s="103">
        <v>3.4550000000000001</v>
      </c>
      <c r="F28" s="103">
        <v>3.3820000000000001</v>
      </c>
      <c r="G28" s="103">
        <v>3.3090000000000002</v>
      </c>
      <c r="H28" s="103">
        <v>3.2360000000000002</v>
      </c>
      <c r="I28" s="103">
        <v>3.1629999999999998</v>
      </c>
      <c r="J28" s="103">
        <v>3.09</v>
      </c>
      <c r="K28" s="103">
        <v>3.0169999999999999</v>
      </c>
      <c r="L28" s="103">
        <v>2.944</v>
      </c>
      <c r="M28" s="103">
        <v>2.871</v>
      </c>
    </row>
    <row r="29" spans="1:13" x14ac:dyDescent="0.25">
      <c r="A29" s="98">
        <v>52</v>
      </c>
      <c r="B29" s="103">
        <v>2.7970000000000002</v>
      </c>
      <c r="C29" s="103">
        <v>2.7210000000000001</v>
      </c>
      <c r="D29" s="103">
        <v>2.645</v>
      </c>
      <c r="E29" s="103">
        <v>2.569</v>
      </c>
      <c r="F29" s="103">
        <v>2.4940000000000002</v>
      </c>
      <c r="G29" s="103">
        <v>2.4180000000000001</v>
      </c>
      <c r="H29" s="103">
        <v>2.3420000000000001</v>
      </c>
      <c r="I29" s="103">
        <v>2.266</v>
      </c>
      <c r="J29" s="103">
        <v>2.1909999999999998</v>
      </c>
      <c r="K29" s="103">
        <v>2.1150000000000002</v>
      </c>
      <c r="L29" s="103">
        <v>2.0390000000000001</v>
      </c>
      <c r="M29" s="103">
        <v>1.9630000000000001</v>
      </c>
    </row>
    <row r="30" spans="1:13" x14ac:dyDescent="0.25">
      <c r="A30" s="98">
        <v>53</v>
      </c>
      <c r="B30" s="103">
        <v>1.8859999999999999</v>
      </c>
      <c r="C30" s="103">
        <v>1.8069999999999999</v>
      </c>
      <c r="D30" s="103">
        <v>1.7290000000000001</v>
      </c>
      <c r="E30" s="103">
        <v>1.65</v>
      </c>
      <c r="F30" s="103">
        <v>1.571</v>
      </c>
      <c r="G30" s="103">
        <v>1.4930000000000001</v>
      </c>
      <c r="H30" s="103">
        <v>1.4139999999999999</v>
      </c>
      <c r="I30" s="103">
        <v>1.335</v>
      </c>
      <c r="J30" s="103">
        <v>1.2569999999999999</v>
      </c>
      <c r="K30" s="103">
        <v>1.1779999999999999</v>
      </c>
      <c r="L30" s="103">
        <v>1.099</v>
      </c>
      <c r="M30" s="103">
        <v>1.02</v>
      </c>
    </row>
    <row r="31" spans="1:13" x14ac:dyDescent="0.25">
      <c r="A31" s="98">
        <v>54</v>
      </c>
      <c r="B31" s="103">
        <v>0.94</v>
      </c>
      <c r="C31" s="103">
        <v>0.85899999999999999</v>
      </c>
      <c r="D31" s="103">
        <v>0.77700000000000002</v>
      </c>
      <c r="E31" s="103">
        <v>0.69499999999999995</v>
      </c>
      <c r="F31" s="103">
        <v>0.61299999999999999</v>
      </c>
      <c r="G31" s="103">
        <v>0.53100000000000003</v>
      </c>
      <c r="H31" s="103">
        <v>0.45</v>
      </c>
      <c r="I31" s="103">
        <v>0.36799999999999999</v>
      </c>
      <c r="J31" s="103">
        <v>0.28599999999999998</v>
      </c>
      <c r="K31" s="103">
        <v>0.20399999999999999</v>
      </c>
      <c r="L31" s="103">
        <v>0.123</v>
      </c>
      <c r="M31" s="103">
        <v>4.1000000000000002E-2</v>
      </c>
    </row>
    <row r="32" spans="1:13" x14ac:dyDescent="0.25">
      <c r="A32" s="98">
        <v>55</v>
      </c>
      <c r="B32" s="103">
        <v>0</v>
      </c>
      <c r="C32" s="103"/>
      <c r="D32" s="103"/>
      <c r="E32" s="103"/>
      <c r="F32" s="103"/>
      <c r="G32" s="103"/>
      <c r="H32" s="103"/>
      <c r="I32" s="103"/>
      <c r="J32" s="103"/>
      <c r="K32" s="103"/>
      <c r="L32" s="103"/>
      <c r="M32" s="103"/>
    </row>
    <row r="44" ht="39.65" customHeight="1" x14ac:dyDescent="0.25"/>
    <row r="46" ht="27.65" customHeight="1" x14ac:dyDescent="0.25"/>
  </sheetData>
  <sheetProtection algorithmName="SHA-512" hashValue="4cDygGLWb4KHpP653bhQ+LXzDawcSJM8RJB5P/ACvuyTkCo4yGlwV9I5+7T1YCm7c+X3I8NpSK0KwErwAHBWpg==" saltValue="QOI0XkmA0gr5cv2IOpQc/Q==" spinCount="100000" sheet="1" objects="1" scenarios="1"/>
  <conditionalFormatting sqref="A6:A21">
    <cfRule type="expression" dxfId="279" priority="11" stopIfTrue="1">
      <formula>MOD(ROW(),2)=0</formula>
    </cfRule>
    <cfRule type="expression" dxfId="278" priority="12" stopIfTrue="1">
      <formula>MOD(ROW(),2)&lt;&gt;0</formula>
    </cfRule>
  </conditionalFormatting>
  <conditionalFormatting sqref="A26:A32">
    <cfRule type="expression" dxfId="277" priority="3" stopIfTrue="1">
      <formula>MOD(ROW(),2)=0</formula>
    </cfRule>
    <cfRule type="expression" dxfId="276" priority="4" stopIfTrue="1">
      <formula>MOD(ROW(),2)&lt;&gt;0</formula>
    </cfRule>
  </conditionalFormatting>
  <conditionalFormatting sqref="B17:B21">
    <cfRule type="expression" dxfId="275" priority="1" stopIfTrue="1">
      <formula>MOD(ROW(),2)=0</formula>
    </cfRule>
    <cfRule type="expression" dxfId="274" priority="2" stopIfTrue="1">
      <formula>MOD(ROW(),2)&lt;&gt;0</formula>
    </cfRule>
  </conditionalFormatting>
  <conditionalFormatting sqref="B6:M21">
    <cfRule type="expression" dxfId="273" priority="19" stopIfTrue="1">
      <formula>MOD(ROW(),2)=0</formula>
    </cfRule>
    <cfRule type="expression" dxfId="272" priority="20" stopIfTrue="1">
      <formula>MOD(ROW(),2)&lt;&gt;0</formula>
    </cfRule>
  </conditionalFormatting>
  <conditionalFormatting sqref="B26:M32">
    <cfRule type="expression" dxfId="271" priority="5" stopIfTrue="1">
      <formula>MOD(ROW(),2)=0</formula>
    </cfRule>
    <cfRule type="expression" dxfId="270" priority="6" stopIfTrue="1">
      <formula>MOD(ROW(),2)&lt;&gt;0</formula>
    </cfRule>
  </conditionalFormatting>
  <hyperlinks>
    <hyperlink ref="B24" location="Assumptions!A1" display="Assumptions" xr:uid="{7E82C3BF-98C0-49BD-9E26-547CE9BF6E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74"/>
  <dimension ref="A1:M78"/>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x-802</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612</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802</v>
      </c>
      <c r="C14" s="161"/>
      <c r="D14" s="161"/>
      <c r="E14" s="161"/>
      <c r="F14" s="161"/>
      <c r="G14" s="161"/>
      <c r="H14" s="161"/>
      <c r="I14" s="161"/>
      <c r="J14" s="161"/>
      <c r="K14" s="161"/>
      <c r="L14" s="161"/>
      <c r="M14" s="161"/>
    </row>
    <row r="15" spans="1:13" x14ac:dyDescent="0.25">
      <c r="A15" s="77" t="s">
        <v>291</v>
      </c>
      <c r="B15" s="161" t="s">
        <v>613</v>
      </c>
      <c r="C15" s="161"/>
      <c r="D15" s="161"/>
      <c r="E15" s="161"/>
      <c r="F15" s="161"/>
      <c r="G15" s="161"/>
      <c r="H15" s="161"/>
      <c r="I15" s="161"/>
      <c r="J15" s="161"/>
      <c r="K15" s="161"/>
      <c r="L15" s="161"/>
      <c r="M15" s="161"/>
    </row>
    <row r="16" spans="1:13" x14ac:dyDescent="0.25">
      <c r="A16" s="77" t="s">
        <v>293</v>
      </c>
      <c r="B16" s="161" t="s">
        <v>614</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23.795000000000002</v>
      </c>
      <c r="C27" s="103">
        <v>23.827000000000002</v>
      </c>
      <c r="D27" s="103">
        <v>23.858000000000001</v>
      </c>
      <c r="E27" s="103">
        <v>23.89</v>
      </c>
      <c r="F27" s="103">
        <v>23.920999999999999</v>
      </c>
      <c r="G27" s="103">
        <v>23.952999999999999</v>
      </c>
      <c r="H27" s="103">
        <v>23.984999999999999</v>
      </c>
      <c r="I27" s="103">
        <v>24.015999999999998</v>
      </c>
      <c r="J27" s="103">
        <v>24.047999999999998</v>
      </c>
      <c r="K27" s="103">
        <v>24.08</v>
      </c>
      <c r="L27" s="103">
        <v>24.111000000000001</v>
      </c>
      <c r="M27" s="103">
        <v>24.143000000000001</v>
      </c>
    </row>
    <row r="28" spans="1:13" x14ac:dyDescent="0.25">
      <c r="A28" s="98">
        <v>51</v>
      </c>
      <c r="B28" s="103">
        <v>24.175000000000001</v>
      </c>
      <c r="C28" s="103">
        <v>24.207000000000001</v>
      </c>
      <c r="D28" s="103">
        <v>24.239000000000001</v>
      </c>
      <c r="E28" s="103">
        <v>24.271999999999998</v>
      </c>
      <c r="F28" s="103">
        <v>24.303999999999998</v>
      </c>
      <c r="G28" s="103">
        <v>24.335999999999999</v>
      </c>
      <c r="H28" s="103">
        <v>24.367999999999999</v>
      </c>
      <c r="I28" s="103">
        <v>24.401</v>
      </c>
      <c r="J28" s="103">
        <v>24.433</v>
      </c>
      <c r="K28" s="103">
        <v>24.465</v>
      </c>
      <c r="L28" s="103">
        <v>24.497</v>
      </c>
      <c r="M28" s="103">
        <v>24.53</v>
      </c>
    </row>
    <row r="29" spans="1:13" x14ac:dyDescent="0.25">
      <c r="A29" s="98">
        <v>52</v>
      </c>
      <c r="B29" s="103">
        <v>24.562000000000001</v>
      </c>
      <c r="C29" s="103">
        <v>24.594999999999999</v>
      </c>
      <c r="D29" s="103">
        <v>24.628</v>
      </c>
      <c r="E29" s="103">
        <v>24.661000000000001</v>
      </c>
      <c r="F29" s="103">
        <v>24.693999999999999</v>
      </c>
      <c r="G29" s="103">
        <v>24.727</v>
      </c>
      <c r="H29" s="103">
        <v>24.76</v>
      </c>
      <c r="I29" s="103">
        <v>24.792999999999999</v>
      </c>
      <c r="J29" s="103">
        <v>24.826000000000001</v>
      </c>
      <c r="K29" s="103">
        <v>24.859000000000002</v>
      </c>
      <c r="L29" s="103">
        <v>24.891999999999999</v>
      </c>
      <c r="M29" s="103">
        <v>24.925000000000001</v>
      </c>
    </row>
    <row r="30" spans="1:13" x14ac:dyDescent="0.25">
      <c r="A30" s="98">
        <v>53</v>
      </c>
      <c r="B30" s="103">
        <v>24.959</v>
      </c>
      <c r="C30" s="103">
        <v>24.992999999999999</v>
      </c>
      <c r="D30" s="103">
        <v>25.026</v>
      </c>
      <c r="E30" s="103">
        <v>25.06</v>
      </c>
      <c r="F30" s="103">
        <v>25.094000000000001</v>
      </c>
      <c r="G30" s="103">
        <v>25.128</v>
      </c>
      <c r="H30" s="103">
        <v>25.161999999999999</v>
      </c>
      <c r="I30" s="103">
        <v>25.195</v>
      </c>
      <c r="J30" s="103">
        <v>25.228999999999999</v>
      </c>
      <c r="K30" s="103">
        <v>25.263000000000002</v>
      </c>
      <c r="L30" s="103">
        <v>25.297000000000001</v>
      </c>
      <c r="M30" s="103">
        <v>25.33</v>
      </c>
    </row>
    <row r="31" spans="1:13" x14ac:dyDescent="0.25">
      <c r="A31" s="98">
        <v>54</v>
      </c>
      <c r="B31" s="103">
        <v>25.364999999999998</v>
      </c>
      <c r="C31" s="103">
        <v>25.399000000000001</v>
      </c>
      <c r="D31" s="103">
        <v>25.434000000000001</v>
      </c>
      <c r="E31" s="103">
        <v>25.468</v>
      </c>
      <c r="F31" s="103">
        <v>25.503</v>
      </c>
      <c r="G31" s="103">
        <v>25.538</v>
      </c>
      <c r="H31" s="103">
        <v>25.571999999999999</v>
      </c>
      <c r="I31" s="103">
        <v>25.606999999999999</v>
      </c>
      <c r="J31" s="103">
        <v>25.640999999999998</v>
      </c>
      <c r="K31" s="103">
        <v>25.675999999999998</v>
      </c>
      <c r="L31" s="103">
        <v>25.710999999999999</v>
      </c>
      <c r="M31" s="103">
        <v>25.745000000000001</v>
      </c>
    </row>
    <row r="32" spans="1:13" x14ac:dyDescent="0.25">
      <c r="A32" s="98">
        <v>55</v>
      </c>
      <c r="B32" s="103">
        <v>25.738</v>
      </c>
      <c r="C32" s="103">
        <v>25.69</v>
      </c>
      <c r="D32" s="103">
        <v>25.640999999999998</v>
      </c>
      <c r="E32" s="103">
        <v>25.593</v>
      </c>
      <c r="F32" s="103">
        <v>25.544</v>
      </c>
      <c r="G32" s="103">
        <v>25.495000000000001</v>
      </c>
      <c r="H32" s="103">
        <v>25.446999999999999</v>
      </c>
      <c r="I32" s="103">
        <v>25.398</v>
      </c>
      <c r="J32" s="103">
        <v>25.35</v>
      </c>
      <c r="K32" s="103">
        <v>25.300999999999998</v>
      </c>
      <c r="L32" s="103">
        <v>25.253</v>
      </c>
      <c r="M32" s="103">
        <v>25.204000000000001</v>
      </c>
    </row>
    <row r="33" spans="1:13" x14ac:dyDescent="0.25">
      <c r="A33" s="98">
        <v>56</v>
      </c>
      <c r="B33" s="103">
        <v>25.155000000000001</v>
      </c>
      <c r="C33" s="103">
        <v>25.106000000000002</v>
      </c>
      <c r="D33" s="103">
        <v>25.056999999999999</v>
      </c>
      <c r="E33" s="103">
        <v>25.007999999999999</v>
      </c>
      <c r="F33" s="103">
        <v>24.959</v>
      </c>
      <c r="G33" s="103">
        <v>24.91</v>
      </c>
      <c r="H33" s="103">
        <v>24.861000000000001</v>
      </c>
      <c r="I33" s="103">
        <v>24.812000000000001</v>
      </c>
      <c r="J33" s="103">
        <v>24.763000000000002</v>
      </c>
      <c r="K33" s="103">
        <v>24.713999999999999</v>
      </c>
      <c r="L33" s="103">
        <v>24.664999999999999</v>
      </c>
      <c r="M33" s="103">
        <v>24.616</v>
      </c>
    </row>
    <row r="34" spans="1:13" x14ac:dyDescent="0.25">
      <c r="A34" s="98">
        <v>57</v>
      </c>
      <c r="B34" s="103">
        <v>24.565999999999999</v>
      </c>
      <c r="C34" s="103">
        <v>24.516999999999999</v>
      </c>
      <c r="D34" s="103">
        <v>24.466999999999999</v>
      </c>
      <c r="E34" s="103">
        <v>24.417999999999999</v>
      </c>
      <c r="F34" s="103">
        <v>24.367999999999999</v>
      </c>
      <c r="G34" s="103">
        <v>24.318999999999999</v>
      </c>
      <c r="H34" s="103">
        <v>24.268999999999998</v>
      </c>
      <c r="I34" s="103">
        <v>24.219000000000001</v>
      </c>
      <c r="J34" s="103">
        <v>24.17</v>
      </c>
      <c r="K34" s="103">
        <v>24.12</v>
      </c>
      <c r="L34" s="103">
        <v>24.071000000000002</v>
      </c>
      <c r="M34" s="103">
        <v>24.021000000000001</v>
      </c>
    </row>
    <row r="35" spans="1:13" x14ac:dyDescent="0.25">
      <c r="A35" s="98">
        <v>58</v>
      </c>
      <c r="B35" s="103">
        <v>23.971</v>
      </c>
      <c r="C35" s="103">
        <v>23.920999999999999</v>
      </c>
      <c r="D35" s="103">
        <v>23.870999999999999</v>
      </c>
      <c r="E35" s="103">
        <v>23.821000000000002</v>
      </c>
      <c r="F35" s="103">
        <v>23.771000000000001</v>
      </c>
      <c r="G35" s="103">
        <v>23.721</v>
      </c>
      <c r="H35" s="103">
        <v>23.67</v>
      </c>
      <c r="I35" s="103">
        <v>23.62</v>
      </c>
      <c r="J35" s="103">
        <v>23.57</v>
      </c>
      <c r="K35" s="103">
        <v>23.52</v>
      </c>
      <c r="L35" s="103">
        <v>23.47</v>
      </c>
      <c r="M35" s="103">
        <v>23.42</v>
      </c>
    </row>
    <row r="36" spans="1:13" x14ac:dyDescent="0.25">
      <c r="A36" s="98">
        <v>59</v>
      </c>
      <c r="B36" s="103">
        <v>23.369</v>
      </c>
      <c r="C36" s="103">
        <v>23.318999999999999</v>
      </c>
      <c r="D36" s="103">
        <v>23.268000000000001</v>
      </c>
      <c r="E36" s="103">
        <v>23.216999999999999</v>
      </c>
      <c r="F36" s="103">
        <v>23.167000000000002</v>
      </c>
      <c r="G36" s="103">
        <v>23.116</v>
      </c>
      <c r="H36" s="103">
        <v>23.065000000000001</v>
      </c>
      <c r="I36" s="103">
        <v>23.013999999999999</v>
      </c>
      <c r="J36" s="103">
        <v>22.963999999999999</v>
      </c>
      <c r="K36" s="103">
        <v>22.913</v>
      </c>
      <c r="L36" s="103">
        <v>22.861999999999998</v>
      </c>
      <c r="M36" s="103">
        <v>22.812000000000001</v>
      </c>
    </row>
    <row r="37" spans="1:13" x14ac:dyDescent="0.25">
      <c r="A37" s="98">
        <v>60</v>
      </c>
      <c r="B37" s="103">
        <v>22.760999999999999</v>
      </c>
      <c r="C37" s="103">
        <v>22.709</v>
      </c>
      <c r="D37" s="103">
        <v>22.658000000000001</v>
      </c>
      <c r="E37" s="103">
        <v>22.606999999999999</v>
      </c>
      <c r="F37" s="103">
        <v>22.556000000000001</v>
      </c>
      <c r="G37" s="103">
        <v>22.504000000000001</v>
      </c>
      <c r="H37" s="103">
        <v>22.452999999999999</v>
      </c>
      <c r="I37" s="103">
        <v>22.402000000000001</v>
      </c>
      <c r="J37" s="103">
        <v>22.350999999999999</v>
      </c>
      <c r="K37" s="103">
        <v>22.298999999999999</v>
      </c>
      <c r="L37" s="103">
        <v>22.248000000000001</v>
      </c>
      <c r="M37" s="103">
        <v>22.196999999999999</v>
      </c>
    </row>
    <row r="38" spans="1:13" x14ac:dyDescent="0.25">
      <c r="A38" s="98">
        <v>61</v>
      </c>
      <c r="B38" s="103">
        <v>22.145</v>
      </c>
      <c r="C38" s="103">
        <v>22.094000000000001</v>
      </c>
      <c r="D38" s="103">
        <v>22.042000000000002</v>
      </c>
      <c r="E38" s="103">
        <v>21.99</v>
      </c>
      <c r="F38" s="103">
        <v>21.937999999999999</v>
      </c>
      <c r="G38" s="103">
        <v>21.885999999999999</v>
      </c>
      <c r="H38" s="103">
        <v>21.835000000000001</v>
      </c>
      <c r="I38" s="103">
        <v>21.783000000000001</v>
      </c>
      <c r="J38" s="103">
        <v>21.731000000000002</v>
      </c>
      <c r="K38" s="103">
        <v>21.678999999999998</v>
      </c>
      <c r="L38" s="103">
        <v>21.628</v>
      </c>
      <c r="M38" s="103">
        <v>21.576000000000001</v>
      </c>
    </row>
    <row r="39" spans="1:13" x14ac:dyDescent="0.25">
      <c r="A39" s="98">
        <v>62</v>
      </c>
      <c r="B39" s="103">
        <v>21.524000000000001</v>
      </c>
      <c r="C39" s="103">
        <v>21.472000000000001</v>
      </c>
      <c r="D39" s="103">
        <v>21.419</v>
      </c>
      <c r="E39" s="103">
        <v>21.367000000000001</v>
      </c>
      <c r="F39" s="103">
        <v>21.315000000000001</v>
      </c>
      <c r="G39" s="103">
        <v>21.263000000000002</v>
      </c>
      <c r="H39" s="103">
        <v>21.21</v>
      </c>
      <c r="I39" s="103">
        <v>21.158000000000001</v>
      </c>
      <c r="J39" s="103">
        <v>21.106000000000002</v>
      </c>
      <c r="K39" s="103">
        <v>21.053999999999998</v>
      </c>
      <c r="L39" s="103">
        <v>21.001000000000001</v>
      </c>
      <c r="M39" s="103">
        <v>20.949000000000002</v>
      </c>
    </row>
    <row r="40" spans="1:13" x14ac:dyDescent="0.25">
      <c r="A40" s="98">
        <v>63</v>
      </c>
      <c r="B40" s="103">
        <v>20.896999999999998</v>
      </c>
      <c r="C40" s="103">
        <v>20.844000000000001</v>
      </c>
      <c r="D40" s="103">
        <v>20.791</v>
      </c>
      <c r="E40" s="103">
        <v>20.738</v>
      </c>
      <c r="F40" s="103">
        <v>20.686</v>
      </c>
      <c r="G40" s="103">
        <v>20.632999999999999</v>
      </c>
      <c r="H40" s="103">
        <v>20.58</v>
      </c>
      <c r="I40" s="103">
        <v>20.527999999999999</v>
      </c>
      <c r="J40" s="103">
        <v>20.475000000000001</v>
      </c>
      <c r="K40" s="103">
        <v>20.422000000000001</v>
      </c>
      <c r="L40" s="103">
        <v>20.369</v>
      </c>
      <c r="M40" s="103">
        <v>20.317</v>
      </c>
    </row>
    <row r="41" spans="1:13" x14ac:dyDescent="0.25">
      <c r="A41" s="98">
        <v>64</v>
      </c>
      <c r="B41" s="103">
        <v>20.263999999999999</v>
      </c>
      <c r="C41" s="103">
        <v>20.21</v>
      </c>
      <c r="D41" s="103">
        <v>20.157</v>
      </c>
      <c r="E41" s="103">
        <v>20.103999999999999</v>
      </c>
      <c r="F41" s="103">
        <v>20.05</v>
      </c>
      <c r="G41" s="103">
        <v>19.997</v>
      </c>
      <c r="H41" s="103">
        <v>19.943999999999999</v>
      </c>
      <c r="I41" s="103">
        <v>19.89</v>
      </c>
      <c r="J41" s="103">
        <v>19.837</v>
      </c>
      <c r="K41" s="103">
        <v>19.783000000000001</v>
      </c>
      <c r="L41" s="103">
        <v>19.73</v>
      </c>
      <c r="M41" s="103">
        <v>19.677</v>
      </c>
    </row>
    <row r="42" spans="1:13" x14ac:dyDescent="0.25">
      <c r="A42" s="98">
        <v>65</v>
      </c>
      <c r="B42" s="103">
        <v>19.623000000000001</v>
      </c>
      <c r="C42" s="103">
        <v>19.57</v>
      </c>
      <c r="D42" s="103">
        <v>19.515999999999998</v>
      </c>
      <c r="E42" s="103">
        <v>19.463000000000001</v>
      </c>
      <c r="F42" s="103">
        <v>19.408999999999999</v>
      </c>
      <c r="G42" s="103">
        <v>19.356000000000002</v>
      </c>
      <c r="H42" s="103">
        <v>19.302</v>
      </c>
      <c r="I42" s="103">
        <v>19.248000000000001</v>
      </c>
      <c r="J42" s="103">
        <v>19.195</v>
      </c>
      <c r="K42" s="103">
        <v>19.140999999999998</v>
      </c>
      <c r="L42" s="103">
        <v>19.088000000000001</v>
      </c>
      <c r="M42" s="103">
        <v>19.033999999999999</v>
      </c>
    </row>
    <row r="43" spans="1:13" x14ac:dyDescent="0.25">
      <c r="A43" s="98">
        <v>66</v>
      </c>
      <c r="B43" s="103">
        <v>18.98</v>
      </c>
      <c r="C43" s="103">
        <v>18.925999999999998</v>
      </c>
      <c r="D43" s="103">
        <v>18.873000000000001</v>
      </c>
      <c r="E43" s="103">
        <v>18.818999999999999</v>
      </c>
      <c r="F43" s="103">
        <v>18.765000000000001</v>
      </c>
      <c r="G43" s="103">
        <v>18.710999999999999</v>
      </c>
      <c r="H43" s="103">
        <v>18.657</v>
      </c>
      <c r="I43" s="103">
        <v>18.603000000000002</v>
      </c>
      <c r="J43" s="103">
        <v>18.548999999999999</v>
      </c>
      <c r="K43" s="103">
        <v>18.495000000000001</v>
      </c>
      <c r="L43" s="103">
        <v>18.440999999999999</v>
      </c>
      <c r="M43" s="103">
        <v>18.387</v>
      </c>
    </row>
    <row r="44" spans="1:13" x14ac:dyDescent="0.25">
      <c r="A44" s="98">
        <v>67</v>
      </c>
      <c r="B44" s="103">
        <v>18.332999999999998</v>
      </c>
      <c r="C44" s="103">
        <v>18.277999999999999</v>
      </c>
      <c r="D44" s="103">
        <v>18.224</v>
      </c>
      <c r="E44" s="103">
        <v>18.170000000000002</v>
      </c>
      <c r="F44" s="103">
        <v>18.114999999999998</v>
      </c>
      <c r="G44" s="103">
        <v>18.061</v>
      </c>
      <c r="H44" s="103">
        <v>18.007000000000001</v>
      </c>
      <c r="I44" s="103">
        <v>17.952999999999999</v>
      </c>
      <c r="J44" s="103">
        <v>17.898</v>
      </c>
      <c r="K44" s="103">
        <v>17.844000000000001</v>
      </c>
      <c r="L44" s="103">
        <v>17.79</v>
      </c>
      <c r="M44" s="103">
        <v>17.734999999999999</v>
      </c>
    </row>
    <row r="45" spans="1:13" x14ac:dyDescent="0.25">
      <c r="A45" s="98">
        <v>68</v>
      </c>
      <c r="B45" s="103">
        <v>17.681000000000001</v>
      </c>
      <c r="C45" s="103">
        <v>17.626000000000001</v>
      </c>
      <c r="D45" s="103">
        <v>17.571999999999999</v>
      </c>
      <c r="E45" s="103">
        <v>17.516999999999999</v>
      </c>
      <c r="F45" s="103">
        <v>17.462</v>
      </c>
      <c r="G45" s="103">
        <v>17.408000000000001</v>
      </c>
      <c r="H45" s="103">
        <v>17.353000000000002</v>
      </c>
      <c r="I45" s="103">
        <v>17.298999999999999</v>
      </c>
      <c r="J45" s="103">
        <v>17.244</v>
      </c>
      <c r="K45" s="103">
        <v>17.189</v>
      </c>
      <c r="L45" s="103">
        <v>17.135000000000002</v>
      </c>
      <c r="M45" s="103">
        <v>17.079999999999998</v>
      </c>
    </row>
    <row r="46" spans="1:13" x14ac:dyDescent="0.25">
      <c r="A46" s="98">
        <v>69</v>
      </c>
      <c r="B46" s="103">
        <v>17.023</v>
      </c>
      <c r="C46" s="103">
        <v>16.963000000000001</v>
      </c>
      <c r="D46" s="103">
        <v>16.902999999999999</v>
      </c>
      <c r="E46" s="103">
        <v>16.843</v>
      </c>
      <c r="F46" s="103">
        <v>16.783999999999999</v>
      </c>
      <c r="G46" s="103">
        <v>16.724</v>
      </c>
      <c r="H46" s="103">
        <v>16.664000000000001</v>
      </c>
      <c r="I46" s="103">
        <v>16.603999999999999</v>
      </c>
      <c r="J46" s="103">
        <v>16.544</v>
      </c>
      <c r="K46" s="103">
        <v>16.484999999999999</v>
      </c>
      <c r="L46" s="103">
        <v>16.425000000000001</v>
      </c>
      <c r="M46" s="103">
        <v>16.364999999999998</v>
      </c>
    </row>
    <row r="47" spans="1:13" x14ac:dyDescent="0.25">
      <c r="A47" s="98">
        <v>70</v>
      </c>
      <c r="B47" s="103">
        <v>16.306999999999999</v>
      </c>
      <c r="C47" s="103">
        <v>16.251999999999999</v>
      </c>
      <c r="D47" s="103">
        <v>16.196999999999999</v>
      </c>
      <c r="E47" s="103">
        <v>16.141999999999999</v>
      </c>
      <c r="F47" s="103">
        <v>16.085999999999999</v>
      </c>
      <c r="G47" s="103">
        <v>16.030999999999999</v>
      </c>
      <c r="H47" s="103">
        <v>15.976000000000001</v>
      </c>
      <c r="I47" s="103">
        <v>15.920999999999999</v>
      </c>
      <c r="J47" s="103">
        <v>15.865</v>
      </c>
      <c r="K47" s="103">
        <v>15.81</v>
      </c>
      <c r="L47" s="103">
        <v>15.755000000000001</v>
      </c>
      <c r="M47" s="103">
        <v>15.7</v>
      </c>
    </row>
    <row r="48" spans="1:13" x14ac:dyDescent="0.25">
      <c r="A48" s="98">
        <v>71</v>
      </c>
      <c r="B48" s="103">
        <v>15.644</v>
      </c>
      <c r="C48" s="103">
        <v>15.589</v>
      </c>
      <c r="D48" s="103">
        <v>15.534000000000001</v>
      </c>
      <c r="E48" s="103">
        <v>15.478999999999999</v>
      </c>
      <c r="F48" s="103">
        <v>15.423999999999999</v>
      </c>
      <c r="G48" s="103">
        <v>15.369</v>
      </c>
      <c r="H48" s="103">
        <v>15.314</v>
      </c>
      <c r="I48" s="103">
        <v>15.259</v>
      </c>
      <c r="J48" s="103">
        <v>15.204000000000001</v>
      </c>
      <c r="K48" s="103">
        <v>15.148999999999999</v>
      </c>
      <c r="L48" s="103">
        <v>15.093999999999999</v>
      </c>
      <c r="M48" s="103">
        <v>15.038</v>
      </c>
    </row>
    <row r="49" spans="1:13" x14ac:dyDescent="0.25">
      <c r="A49" s="98">
        <v>72</v>
      </c>
      <c r="B49" s="103">
        <v>14.983000000000001</v>
      </c>
      <c r="C49" s="103">
        <v>14.928000000000001</v>
      </c>
      <c r="D49" s="103">
        <v>14.872999999999999</v>
      </c>
      <c r="E49" s="103">
        <v>14.818</v>
      </c>
      <c r="F49" s="103">
        <v>14.763</v>
      </c>
      <c r="G49" s="103">
        <v>14.708</v>
      </c>
      <c r="H49" s="103">
        <v>14.653</v>
      </c>
      <c r="I49" s="103">
        <v>14.597</v>
      </c>
      <c r="J49" s="103">
        <v>14.542</v>
      </c>
      <c r="K49" s="103">
        <v>14.487</v>
      </c>
      <c r="L49" s="103">
        <v>14.432</v>
      </c>
      <c r="M49" s="103">
        <v>14.377000000000001</v>
      </c>
    </row>
    <row r="50" spans="1:13" x14ac:dyDescent="0.25">
      <c r="A50" s="98">
        <v>73</v>
      </c>
      <c r="B50" s="103">
        <v>14.321999999999999</v>
      </c>
      <c r="C50" s="103">
        <v>14.266999999999999</v>
      </c>
      <c r="D50" s="103">
        <v>14.212</v>
      </c>
      <c r="E50" s="103">
        <v>14.157</v>
      </c>
      <c r="F50" s="103">
        <v>14.102</v>
      </c>
      <c r="G50" s="103">
        <v>14.047000000000001</v>
      </c>
      <c r="H50" s="103">
        <v>13.991</v>
      </c>
      <c r="I50" s="103">
        <v>13.936</v>
      </c>
      <c r="J50" s="103">
        <v>13.881</v>
      </c>
      <c r="K50" s="103">
        <v>13.826000000000001</v>
      </c>
      <c r="L50" s="103">
        <v>13.771000000000001</v>
      </c>
      <c r="M50" s="103">
        <v>13.715999999999999</v>
      </c>
    </row>
    <row r="51" spans="1:13" x14ac:dyDescent="0.25">
      <c r="A51" s="98">
        <v>74</v>
      </c>
      <c r="B51" s="103">
        <v>13.657</v>
      </c>
      <c r="C51" s="103">
        <v>13.593999999999999</v>
      </c>
      <c r="D51" s="103">
        <v>13.53</v>
      </c>
      <c r="E51" s="103">
        <v>13.467000000000001</v>
      </c>
      <c r="F51" s="103">
        <v>13.404</v>
      </c>
      <c r="G51" s="103">
        <v>13.34</v>
      </c>
      <c r="H51" s="103">
        <v>13.276999999999999</v>
      </c>
      <c r="I51" s="103">
        <v>13.214</v>
      </c>
      <c r="J51" s="103">
        <v>13.15</v>
      </c>
      <c r="K51" s="103">
        <v>13.087</v>
      </c>
      <c r="L51" s="103">
        <v>13.023999999999999</v>
      </c>
      <c r="M51" s="103">
        <v>12.96</v>
      </c>
    </row>
    <row r="52" spans="1:13" x14ac:dyDescent="0.25">
      <c r="A52" s="98">
        <v>75</v>
      </c>
      <c r="B52" s="103">
        <v>12.901</v>
      </c>
      <c r="C52" s="103">
        <v>12.847</v>
      </c>
      <c r="D52" s="103">
        <v>12.792</v>
      </c>
      <c r="E52" s="103">
        <v>12.738</v>
      </c>
      <c r="F52" s="103">
        <v>12.683</v>
      </c>
      <c r="G52" s="103">
        <v>12.629</v>
      </c>
      <c r="H52" s="103">
        <v>12.574</v>
      </c>
      <c r="I52" s="103">
        <v>12.52</v>
      </c>
      <c r="J52" s="103">
        <v>12.465</v>
      </c>
      <c r="K52" s="103">
        <v>12.41</v>
      </c>
      <c r="L52" s="103">
        <v>12.356</v>
      </c>
      <c r="M52" s="103">
        <v>12.301</v>
      </c>
    </row>
    <row r="53" spans="1:13" x14ac:dyDescent="0.25">
      <c r="A53" s="98">
        <v>76</v>
      </c>
      <c r="B53" s="103">
        <v>12.247</v>
      </c>
      <c r="C53" s="103">
        <v>12.193</v>
      </c>
      <c r="D53" s="103">
        <v>12.138999999999999</v>
      </c>
      <c r="E53" s="103">
        <v>12.085000000000001</v>
      </c>
      <c r="F53" s="103">
        <v>12.031000000000001</v>
      </c>
      <c r="G53" s="103">
        <v>11.977</v>
      </c>
      <c r="H53" s="103">
        <v>11.922000000000001</v>
      </c>
      <c r="I53" s="103">
        <v>11.868</v>
      </c>
      <c r="J53" s="103">
        <v>11.814</v>
      </c>
      <c r="K53" s="103">
        <v>11.76</v>
      </c>
      <c r="L53" s="103">
        <v>11.706</v>
      </c>
      <c r="M53" s="103">
        <v>11.651999999999999</v>
      </c>
    </row>
    <row r="54" spans="1:13" x14ac:dyDescent="0.25">
      <c r="A54" s="98">
        <v>77</v>
      </c>
      <c r="B54" s="103">
        <v>11.598000000000001</v>
      </c>
      <c r="C54" s="103">
        <v>11.545</v>
      </c>
      <c r="D54" s="103">
        <v>11.491</v>
      </c>
      <c r="E54" s="103">
        <v>11.436999999999999</v>
      </c>
      <c r="F54" s="103">
        <v>11.384</v>
      </c>
      <c r="G54" s="103">
        <v>11.33</v>
      </c>
      <c r="H54" s="103">
        <v>11.276999999999999</v>
      </c>
      <c r="I54" s="103">
        <v>11.223000000000001</v>
      </c>
      <c r="J54" s="103">
        <v>11.17</v>
      </c>
      <c r="K54" s="103">
        <v>11.116</v>
      </c>
      <c r="L54" s="103">
        <v>11.063000000000001</v>
      </c>
      <c r="M54" s="103">
        <v>11.009</v>
      </c>
    </row>
    <row r="55" spans="1:13" x14ac:dyDescent="0.25">
      <c r="A55" s="98">
        <v>78</v>
      </c>
      <c r="B55" s="103">
        <v>10.956</v>
      </c>
      <c r="C55" s="103">
        <v>10.903</v>
      </c>
      <c r="D55" s="103">
        <v>10.851000000000001</v>
      </c>
      <c r="E55" s="103">
        <v>10.798</v>
      </c>
      <c r="F55" s="103">
        <v>10.744999999999999</v>
      </c>
      <c r="G55" s="103">
        <v>10.692</v>
      </c>
      <c r="H55" s="103">
        <v>10.64</v>
      </c>
      <c r="I55" s="103">
        <v>10.587</v>
      </c>
      <c r="J55" s="103">
        <v>10.534000000000001</v>
      </c>
      <c r="K55" s="103">
        <v>10.481</v>
      </c>
      <c r="L55" s="103">
        <v>10.429</v>
      </c>
      <c r="M55" s="103">
        <v>10.375999999999999</v>
      </c>
    </row>
    <row r="56" spans="1:13" x14ac:dyDescent="0.25">
      <c r="A56" s="98">
        <v>79</v>
      </c>
      <c r="B56" s="103">
        <v>10.319000000000001</v>
      </c>
      <c r="C56" s="103">
        <v>10.257</v>
      </c>
      <c r="D56" s="103">
        <v>10.195</v>
      </c>
      <c r="E56" s="103">
        <v>10.132999999999999</v>
      </c>
      <c r="F56" s="103">
        <v>10.071999999999999</v>
      </c>
      <c r="G56" s="103">
        <v>10.01</v>
      </c>
      <c r="H56" s="103">
        <v>9.9480000000000004</v>
      </c>
      <c r="I56" s="103">
        <v>9.8859999999999992</v>
      </c>
      <c r="J56" s="103">
        <v>9.8239999999999998</v>
      </c>
      <c r="K56" s="103">
        <v>9.7629999999999999</v>
      </c>
      <c r="L56" s="103">
        <v>9.7010000000000005</v>
      </c>
      <c r="M56" s="103">
        <v>9.6389999999999993</v>
      </c>
    </row>
    <row r="57" spans="1:13" x14ac:dyDescent="0.25">
      <c r="A57" s="98">
        <v>80</v>
      </c>
      <c r="B57" s="103">
        <v>9.5830000000000002</v>
      </c>
      <c r="C57" s="103">
        <v>9.5329999999999995</v>
      </c>
      <c r="D57" s="103">
        <v>9.4819999999999993</v>
      </c>
      <c r="E57" s="103">
        <v>9.4320000000000004</v>
      </c>
      <c r="F57" s="103">
        <v>9.3819999999999997</v>
      </c>
      <c r="G57" s="103">
        <v>9.3309999999999995</v>
      </c>
      <c r="H57" s="103">
        <v>9.2810000000000006</v>
      </c>
      <c r="I57" s="103">
        <v>9.2309999999999999</v>
      </c>
      <c r="J57" s="103">
        <v>9.1809999999999992</v>
      </c>
      <c r="K57" s="103">
        <v>9.1300000000000008</v>
      </c>
      <c r="L57" s="103">
        <v>9.08</v>
      </c>
      <c r="M57" s="103">
        <v>9.0299999999999994</v>
      </c>
    </row>
    <row r="58" spans="1:13" x14ac:dyDescent="0.25">
      <c r="A58" s="98">
        <v>81</v>
      </c>
      <c r="B58" s="103">
        <v>8.98</v>
      </c>
      <c r="C58" s="103">
        <v>8.9309999999999992</v>
      </c>
      <c r="D58" s="103">
        <v>8.8819999999999997</v>
      </c>
      <c r="E58" s="103">
        <v>8.8330000000000002</v>
      </c>
      <c r="F58" s="103">
        <v>8.7840000000000007</v>
      </c>
      <c r="G58" s="103">
        <v>8.7349999999999994</v>
      </c>
      <c r="H58" s="103">
        <v>8.6859999999999999</v>
      </c>
      <c r="I58" s="103">
        <v>8.6370000000000005</v>
      </c>
      <c r="J58" s="103">
        <v>8.5890000000000004</v>
      </c>
      <c r="K58" s="103">
        <v>8.5399999999999991</v>
      </c>
      <c r="L58" s="103">
        <v>8.4909999999999997</v>
      </c>
      <c r="M58" s="103">
        <v>8.4420000000000002</v>
      </c>
    </row>
    <row r="59" spans="1:13" x14ac:dyDescent="0.25">
      <c r="A59" s="98">
        <v>82</v>
      </c>
      <c r="B59" s="103">
        <v>8.3940000000000001</v>
      </c>
      <c r="C59" s="103">
        <v>8.3460000000000001</v>
      </c>
      <c r="D59" s="103">
        <v>8.2989999999999995</v>
      </c>
      <c r="E59" s="103">
        <v>8.2509999999999994</v>
      </c>
      <c r="F59" s="103">
        <v>8.2040000000000006</v>
      </c>
      <c r="G59" s="103">
        <v>8.157</v>
      </c>
      <c r="H59" s="103">
        <v>8.109</v>
      </c>
      <c r="I59" s="103">
        <v>8.0619999999999994</v>
      </c>
      <c r="J59" s="103">
        <v>8.0150000000000006</v>
      </c>
      <c r="K59" s="103">
        <v>7.9669999999999996</v>
      </c>
      <c r="L59" s="103">
        <v>7.92</v>
      </c>
      <c r="M59" s="103">
        <v>7.8719999999999999</v>
      </c>
    </row>
    <row r="60" spans="1:13" x14ac:dyDescent="0.25">
      <c r="A60" s="98">
        <v>83</v>
      </c>
      <c r="B60" s="103">
        <v>7.8259999999999996</v>
      </c>
      <c r="C60" s="103">
        <v>7.78</v>
      </c>
      <c r="D60" s="103">
        <v>7.7350000000000003</v>
      </c>
      <c r="E60" s="103">
        <v>7.6890000000000001</v>
      </c>
      <c r="F60" s="103">
        <v>7.6429999999999998</v>
      </c>
      <c r="G60" s="103">
        <v>7.5979999999999999</v>
      </c>
      <c r="H60" s="103">
        <v>7.5519999999999996</v>
      </c>
      <c r="I60" s="103">
        <v>7.5060000000000002</v>
      </c>
      <c r="J60" s="103">
        <v>7.4610000000000003</v>
      </c>
      <c r="K60" s="103">
        <v>7.415</v>
      </c>
      <c r="L60" s="103">
        <v>7.37</v>
      </c>
      <c r="M60" s="103">
        <v>7.3239999999999998</v>
      </c>
    </row>
    <row r="61" spans="1:13" x14ac:dyDescent="0.25">
      <c r="A61" s="98">
        <v>84</v>
      </c>
      <c r="B61" s="103">
        <v>7.2750000000000004</v>
      </c>
      <c r="C61" s="103">
        <v>7.2220000000000004</v>
      </c>
      <c r="D61" s="103">
        <v>7.1689999999999996</v>
      </c>
      <c r="E61" s="103">
        <v>7.1159999999999997</v>
      </c>
      <c r="F61" s="103">
        <v>7.0629999999999997</v>
      </c>
      <c r="G61" s="103">
        <v>7.01</v>
      </c>
      <c r="H61" s="103">
        <v>6.9569999999999999</v>
      </c>
      <c r="I61" s="103">
        <v>6.9039999999999999</v>
      </c>
      <c r="J61" s="103">
        <v>6.8520000000000003</v>
      </c>
      <c r="K61" s="103">
        <v>6.7990000000000004</v>
      </c>
      <c r="L61" s="103">
        <v>6.7460000000000004</v>
      </c>
      <c r="M61" s="103">
        <v>6.6929999999999996</v>
      </c>
    </row>
    <row r="62" spans="1:13" x14ac:dyDescent="0.25">
      <c r="A62" s="98">
        <v>85</v>
      </c>
      <c r="B62" s="103">
        <v>6.6459999999999999</v>
      </c>
      <c r="C62" s="103">
        <v>6.6040000000000001</v>
      </c>
      <c r="D62" s="103">
        <v>6.5629999999999997</v>
      </c>
      <c r="E62" s="103">
        <v>6.5209999999999999</v>
      </c>
      <c r="F62" s="103">
        <v>6.48</v>
      </c>
      <c r="G62" s="103">
        <v>6.4379999999999997</v>
      </c>
      <c r="H62" s="103">
        <v>6.3959999999999999</v>
      </c>
      <c r="I62" s="103">
        <v>6.3550000000000004</v>
      </c>
      <c r="J62" s="103">
        <v>6.3129999999999997</v>
      </c>
      <c r="K62" s="103">
        <v>6.2720000000000002</v>
      </c>
      <c r="L62" s="103">
        <v>6.23</v>
      </c>
      <c r="M62" s="103">
        <v>6.1890000000000001</v>
      </c>
    </row>
    <row r="63" spans="1:13" x14ac:dyDescent="0.25">
      <c r="A63" s="98">
        <v>86</v>
      </c>
      <c r="B63" s="103">
        <v>6.1479999999999997</v>
      </c>
      <c r="C63" s="103">
        <v>6.109</v>
      </c>
      <c r="D63" s="103">
        <v>6.07</v>
      </c>
      <c r="E63" s="103">
        <v>6.03</v>
      </c>
      <c r="F63" s="103">
        <v>5.9909999999999997</v>
      </c>
      <c r="G63" s="103">
        <v>5.952</v>
      </c>
      <c r="H63" s="103">
        <v>5.9119999999999999</v>
      </c>
      <c r="I63" s="103">
        <v>5.8730000000000002</v>
      </c>
      <c r="J63" s="103">
        <v>5.8330000000000002</v>
      </c>
      <c r="K63" s="103">
        <v>5.7939999999999996</v>
      </c>
      <c r="L63" s="103">
        <v>5.7549999999999999</v>
      </c>
      <c r="M63" s="103">
        <v>5.7149999999999999</v>
      </c>
    </row>
    <row r="64" spans="1:13" x14ac:dyDescent="0.25">
      <c r="A64" s="98">
        <v>87</v>
      </c>
      <c r="B64" s="103">
        <v>5.6769999999999996</v>
      </c>
      <c r="C64" s="103">
        <v>5.64</v>
      </c>
      <c r="D64" s="103">
        <v>5.6029999999999998</v>
      </c>
      <c r="E64" s="103">
        <v>5.5659999999999998</v>
      </c>
      <c r="F64" s="103">
        <v>5.5289999999999999</v>
      </c>
      <c r="G64" s="103">
        <v>5.492</v>
      </c>
      <c r="H64" s="103">
        <v>5.4550000000000001</v>
      </c>
      <c r="I64" s="103">
        <v>5.4180000000000001</v>
      </c>
      <c r="J64" s="103">
        <v>5.3810000000000002</v>
      </c>
      <c r="K64" s="103">
        <v>5.3440000000000003</v>
      </c>
      <c r="L64" s="103">
        <v>5.3070000000000004</v>
      </c>
      <c r="M64" s="103">
        <v>5.27</v>
      </c>
    </row>
    <row r="65" spans="1:13" x14ac:dyDescent="0.25">
      <c r="A65" s="98">
        <v>88</v>
      </c>
      <c r="B65" s="103">
        <v>5.234</v>
      </c>
      <c r="C65" s="103">
        <v>5.2</v>
      </c>
      <c r="D65" s="103">
        <v>5.165</v>
      </c>
      <c r="E65" s="103">
        <v>5.1310000000000002</v>
      </c>
      <c r="F65" s="103">
        <v>5.0960000000000001</v>
      </c>
      <c r="G65" s="103">
        <v>5.0620000000000003</v>
      </c>
      <c r="H65" s="103">
        <v>5.0270000000000001</v>
      </c>
      <c r="I65" s="103">
        <v>4.992</v>
      </c>
      <c r="J65" s="103">
        <v>4.9580000000000002</v>
      </c>
      <c r="K65" s="103">
        <v>4.923</v>
      </c>
      <c r="L65" s="103">
        <v>4.8890000000000002</v>
      </c>
      <c r="M65" s="103">
        <v>4.8540000000000001</v>
      </c>
    </row>
    <row r="66" spans="1:13" x14ac:dyDescent="0.25">
      <c r="A66" s="98">
        <v>89</v>
      </c>
      <c r="B66" s="103">
        <v>4.8170000000000002</v>
      </c>
      <c r="C66" s="103">
        <v>4.7770000000000001</v>
      </c>
      <c r="D66" s="103">
        <v>4.7380000000000004</v>
      </c>
      <c r="E66" s="103">
        <v>4.6980000000000004</v>
      </c>
      <c r="F66" s="103">
        <v>4.6580000000000004</v>
      </c>
      <c r="G66" s="103">
        <v>4.6189999999999998</v>
      </c>
      <c r="H66" s="103">
        <v>4.5789999999999997</v>
      </c>
      <c r="I66" s="103">
        <v>4.5389999999999997</v>
      </c>
      <c r="J66" s="103">
        <v>4.4989999999999997</v>
      </c>
      <c r="K66" s="103">
        <v>4.46</v>
      </c>
      <c r="L66" s="103">
        <v>4.42</v>
      </c>
      <c r="M66" s="103">
        <v>4.38</v>
      </c>
    </row>
    <row r="67" spans="1:13" x14ac:dyDescent="0.25">
      <c r="A67" s="98">
        <v>90</v>
      </c>
      <c r="B67" s="103">
        <v>4.3460000000000001</v>
      </c>
      <c r="C67" s="103">
        <v>4.3159999999999998</v>
      </c>
      <c r="D67" s="103">
        <v>4.2869999999999999</v>
      </c>
      <c r="E67" s="103">
        <v>4.2569999999999997</v>
      </c>
      <c r="F67" s="103">
        <v>4.2279999999999998</v>
      </c>
      <c r="G67" s="103">
        <v>4.1980000000000004</v>
      </c>
      <c r="H67" s="103">
        <v>4.1689999999999996</v>
      </c>
      <c r="I67" s="103">
        <v>4.1390000000000002</v>
      </c>
      <c r="J67" s="103">
        <v>4.1100000000000003</v>
      </c>
      <c r="K67" s="103">
        <v>4.08</v>
      </c>
      <c r="L67" s="103">
        <v>4.0510000000000002</v>
      </c>
      <c r="M67" s="103">
        <v>4.0220000000000002</v>
      </c>
    </row>
    <row r="68" spans="1:13" x14ac:dyDescent="0.25">
      <c r="A68" s="98">
        <v>91</v>
      </c>
      <c r="B68" s="103">
        <v>3.9929999999999999</v>
      </c>
      <c r="C68" s="103">
        <v>3.9660000000000002</v>
      </c>
      <c r="D68" s="103">
        <v>3.9390000000000001</v>
      </c>
      <c r="E68" s="103">
        <v>3.9119999999999999</v>
      </c>
      <c r="F68" s="103">
        <v>3.8849999999999998</v>
      </c>
      <c r="G68" s="103">
        <v>3.8580000000000001</v>
      </c>
      <c r="H68" s="103">
        <v>3.831</v>
      </c>
      <c r="I68" s="103">
        <v>3.8039999999999998</v>
      </c>
      <c r="J68" s="103">
        <v>3.7770000000000001</v>
      </c>
      <c r="K68" s="103">
        <v>3.75</v>
      </c>
      <c r="L68" s="103">
        <v>3.7229999999999999</v>
      </c>
      <c r="M68" s="103">
        <v>3.6960000000000002</v>
      </c>
    </row>
    <row r="69" spans="1:13" x14ac:dyDescent="0.25">
      <c r="A69" s="98">
        <v>92</v>
      </c>
      <c r="B69" s="103">
        <v>3.6709999999999998</v>
      </c>
      <c r="C69" s="103">
        <v>3.6459999999999999</v>
      </c>
      <c r="D69" s="103">
        <v>3.621</v>
      </c>
      <c r="E69" s="103">
        <v>3.597</v>
      </c>
      <c r="F69" s="103">
        <v>3.5720000000000001</v>
      </c>
      <c r="G69" s="103">
        <v>3.5470000000000002</v>
      </c>
      <c r="H69" s="103">
        <v>3.5230000000000001</v>
      </c>
      <c r="I69" s="103">
        <v>3.4980000000000002</v>
      </c>
      <c r="J69" s="103">
        <v>3.4740000000000002</v>
      </c>
      <c r="K69" s="103">
        <v>3.4489999999999998</v>
      </c>
      <c r="L69" s="103">
        <v>3.4239999999999999</v>
      </c>
      <c r="M69" s="103">
        <v>3.4</v>
      </c>
    </row>
    <row r="70" spans="1:13" x14ac:dyDescent="0.25">
      <c r="A70" s="98">
        <v>93</v>
      </c>
      <c r="B70" s="103">
        <v>3.3759999999999999</v>
      </c>
      <c r="C70" s="103">
        <v>3.3540000000000001</v>
      </c>
      <c r="D70" s="103">
        <v>3.3319999999999999</v>
      </c>
      <c r="E70" s="103">
        <v>3.3090000000000002</v>
      </c>
      <c r="F70" s="103">
        <v>3.2869999999999999</v>
      </c>
      <c r="G70" s="103">
        <v>3.2650000000000001</v>
      </c>
      <c r="H70" s="103">
        <v>3.2429999999999999</v>
      </c>
      <c r="I70" s="103">
        <v>3.22</v>
      </c>
      <c r="J70" s="103">
        <v>3.198</v>
      </c>
      <c r="K70" s="103">
        <v>3.1760000000000002</v>
      </c>
      <c r="L70" s="103">
        <v>3.153</v>
      </c>
      <c r="M70" s="103">
        <v>3.1309999999999998</v>
      </c>
    </row>
    <row r="71" spans="1:13" x14ac:dyDescent="0.25">
      <c r="A71" s="98">
        <v>94</v>
      </c>
      <c r="B71" s="103">
        <v>3.11</v>
      </c>
      <c r="C71" s="103">
        <v>3.089</v>
      </c>
      <c r="D71" s="103">
        <v>3.069</v>
      </c>
      <c r="E71" s="103">
        <v>3.0489999999999999</v>
      </c>
      <c r="F71" s="103">
        <v>3.0289999999999999</v>
      </c>
      <c r="G71" s="103">
        <v>3.008</v>
      </c>
      <c r="H71" s="103">
        <v>2.988</v>
      </c>
      <c r="I71" s="103">
        <v>2.968</v>
      </c>
      <c r="J71" s="103">
        <v>2.9470000000000001</v>
      </c>
      <c r="K71" s="103">
        <v>2.927</v>
      </c>
      <c r="L71" s="103">
        <v>2.907</v>
      </c>
      <c r="M71" s="103">
        <v>2.8860000000000001</v>
      </c>
    </row>
    <row r="72" spans="1:13" x14ac:dyDescent="0.25">
      <c r="A72" s="98">
        <v>95</v>
      </c>
      <c r="B72" s="103">
        <v>2.867</v>
      </c>
      <c r="C72" s="103">
        <v>2.8490000000000002</v>
      </c>
      <c r="D72" s="103">
        <v>2.831</v>
      </c>
      <c r="E72" s="103">
        <v>2.8130000000000002</v>
      </c>
      <c r="F72" s="103">
        <v>2.7949999999999999</v>
      </c>
      <c r="G72" s="103">
        <v>2.7770000000000001</v>
      </c>
      <c r="H72" s="103">
        <v>2.758</v>
      </c>
      <c r="I72" s="103">
        <v>2.74</v>
      </c>
      <c r="J72" s="103">
        <v>2.722</v>
      </c>
      <c r="K72" s="103">
        <v>2.7040000000000002</v>
      </c>
      <c r="L72" s="103">
        <v>2.6859999999999999</v>
      </c>
      <c r="M72" s="103">
        <v>2.6680000000000001</v>
      </c>
    </row>
    <row r="73" spans="1:13" x14ac:dyDescent="0.25">
      <c r="A73" s="98">
        <v>96</v>
      </c>
      <c r="B73" s="103">
        <v>2.6509999999999998</v>
      </c>
      <c r="C73" s="103">
        <v>2.6349999999999998</v>
      </c>
      <c r="D73" s="103">
        <v>2.6179999999999999</v>
      </c>
      <c r="E73" s="103">
        <v>2.6019999999999999</v>
      </c>
      <c r="F73" s="103">
        <v>2.5859999999999999</v>
      </c>
      <c r="G73" s="103">
        <v>2.57</v>
      </c>
      <c r="H73" s="103">
        <v>2.5539999999999998</v>
      </c>
      <c r="I73" s="103">
        <v>2.5379999999999998</v>
      </c>
      <c r="J73" s="103">
        <v>2.5219999999999998</v>
      </c>
      <c r="K73" s="103">
        <v>2.5059999999999998</v>
      </c>
      <c r="L73" s="103">
        <v>2.4889999999999999</v>
      </c>
      <c r="M73" s="103">
        <v>2.4729999999999999</v>
      </c>
    </row>
    <row r="74" spans="1:13" x14ac:dyDescent="0.25">
      <c r="A74" s="98">
        <v>97</v>
      </c>
      <c r="B74" s="103">
        <v>2.4580000000000002</v>
      </c>
      <c r="C74" s="103">
        <v>2.444</v>
      </c>
      <c r="D74" s="103">
        <v>2.4289999999999998</v>
      </c>
      <c r="E74" s="103">
        <v>2.415</v>
      </c>
      <c r="F74" s="103">
        <v>2.4009999999999998</v>
      </c>
      <c r="G74" s="103">
        <v>2.387</v>
      </c>
      <c r="H74" s="103">
        <v>2.3719999999999999</v>
      </c>
      <c r="I74" s="103">
        <v>2.3580000000000001</v>
      </c>
      <c r="J74" s="103">
        <v>2.3439999999999999</v>
      </c>
      <c r="K74" s="103">
        <v>2.3290000000000002</v>
      </c>
      <c r="L74" s="103">
        <v>2.3149999999999999</v>
      </c>
      <c r="M74" s="103">
        <v>2.3010000000000002</v>
      </c>
    </row>
    <row r="75" spans="1:13" x14ac:dyDescent="0.25">
      <c r="A75" s="98">
        <v>98</v>
      </c>
      <c r="B75" s="103">
        <v>2.2879999999999998</v>
      </c>
      <c r="C75" s="103">
        <v>2.2749999999999999</v>
      </c>
      <c r="D75" s="103">
        <v>2.2629999999999999</v>
      </c>
      <c r="E75" s="103">
        <v>2.2509999999999999</v>
      </c>
      <c r="F75" s="103">
        <v>2.2389999999999999</v>
      </c>
      <c r="G75" s="103">
        <v>2.2269999999999999</v>
      </c>
      <c r="H75" s="103">
        <v>2.2149999999999999</v>
      </c>
      <c r="I75" s="103">
        <v>2.202</v>
      </c>
      <c r="J75" s="103">
        <v>2.19</v>
      </c>
      <c r="K75" s="103">
        <v>2.1779999999999999</v>
      </c>
      <c r="L75" s="103">
        <v>2.1659999999999999</v>
      </c>
      <c r="M75" s="103">
        <v>2.1539999999999999</v>
      </c>
    </row>
    <row r="76" spans="1:13" x14ac:dyDescent="0.25">
      <c r="A76" s="98">
        <v>99</v>
      </c>
      <c r="B76" s="103">
        <v>2.1429999999999998</v>
      </c>
      <c r="C76" s="103">
        <v>2.1339999999999999</v>
      </c>
      <c r="D76" s="103">
        <v>2.125</v>
      </c>
      <c r="E76" s="103">
        <v>2.1160000000000001</v>
      </c>
      <c r="F76" s="103">
        <v>2.1070000000000002</v>
      </c>
      <c r="G76" s="103">
        <v>2.0979999999999999</v>
      </c>
      <c r="H76" s="103">
        <v>2.089</v>
      </c>
      <c r="I76" s="103">
        <v>2.08</v>
      </c>
      <c r="J76" s="103">
        <v>2.0710000000000002</v>
      </c>
      <c r="K76" s="103">
        <v>2.0619999999999998</v>
      </c>
      <c r="L76" s="103">
        <v>2.0529999999999999</v>
      </c>
      <c r="M76" s="103">
        <v>2.044</v>
      </c>
    </row>
    <row r="77" spans="1:13" x14ac:dyDescent="0.25">
      <c r="A77" s="98">
        <v>100</v>
      </c>
      <c r="B77" s="103">
        <v>2.036</v>
      </c>
      <c r="C77" s="103">
        <v>2.0299999999999998</v>
      </c>
      <c r="D77" s="103">
        <v>2.0230000000000001</v>
      </c>
      <c r="E77" s="103">
        <v>2.0169999999999999</v>
      </c>
      <c r="F77" s="103">
        <v>2.0099999999999998</v>
      </c>
      <c r="G77" s="103">
        <v>2.0030000000000001</v>
      </c>
      <c r="H77" s="103">
        <v>1.9970000000000001</v>
      </c>
      <c r="I77" s="103">
        <v>1.99</v>
      </c>
      <c r="J77" s="103">
        <v>1.984</v>
      </c>
      <c r="K77" s="103">
        <v>1.9770000000000001</v>
      </c>
      <c r="L77" s="103">
        <v>1.9710000000000001</v>
      </c>
      <c r="M77" s="103">
        <v>1.964</v>
      </c>
    </row>
    <row r="78" spans="1:13" x14ac:dyDescent="0.25">
      <c r="A78" s="98">
        <v>101</v>
      </c>
      <c r="B78" s="103">
        <v>1.9610000000000001</v>
      </c>
      <c r="C78" s="103"/>
      <c r="D78" s="103"/>
      <c r="E78" s="103"/>
      <c r="F78" s="103"/>
      <c r="G78" s="103"/>
      <c r="H78" s="103"/>
      <c r="I78" s="103"/>
      <c r="J78" s="103"/>
      <c r="K78" s="103"/>
      <c r="L78" s="103"/>
      <c r="M78" s="103"/>
    </row>
  </sheetData>
  <sheetProtection algorithmName="SHA-512" hashValue="8d2yt576WEpMWpRPUViK1FvC3mugPvZhN5TUrbAxeuT+Rw+X26aIW+rk4cm5FeFpWRr7CItK2UgD93kpSr8xag==" saltValue="Dro79DLKg0MwG5zAIbL3iQ==" spinCount="100000" sheet="1" objects="1" scenarios="1"/>
  <conditionalFormatting sqref="A6:A21">
    <cfRule type="expression" dxfId="269" priority="11" stopIfTrue="1">
      <formula>MOD(ROW(),2)=0</formula>
    </cfRule>
    <cfRule type="expression" dxfId="268" priority="12" stopIfTrue="1">
      <formula>MOD(ROW(),2)&lt;&gt;0</formula>
    </cfRule>
  </conditionalFormatting>
  <conditionalFormatting sqref="A26:A78">
    <cfRule type="expression" dxfId="267" priority="3" stopIfTrue="1">
      <formula>MOD(ROW(),2)=0</formula>
    </cfRule>
    <cfRule type="expression" dxfId="266" priority="4" stopIfTrue="1">
      <formula>MOD(ROW(),2)&lt;&gt;0</formula>
    </cfRule>
  </conditionalFormatting>
  <conditionalFormatting sqref="B17:B21">
    <cfRule type="expression" dxfId="265" priority="1" stopIfTrue="1">
      <formula>MOD(ROW(),2)=0</formula>
    </cfRule>
    <cfRule type="expression" dxfId="264" priority="2" stopIfTrue="1">
      <formula>MOD(ROW(),2)&lt;&gt;0</formula>
    </cfRule>
  </conditionalFormatting>
  <conditionalFormatting sqref="B6:M21">
    <cfRule type="expression" dxfId="263" priority="19" stopIfTrue="1">
      <formula>MOD(ROW(),2)=0</formula>
    </cfRule>
    <cfRule type="expression" dxfId="262" priority="20" stopIfTrue="1">
      <formula>MOD(ROW(),2)&lt;&gt;0</formula>
    </cfRule>
  </conditionalFormatting>
  <conditionalFormatting sqref="B26:M78">
    <cfRule type="expression" dxfId="261" priority="5" stopIfTrue="1">
      <formula>MOD(ROW(),2)=0</formula>
    </cfRule>
    <cfRule type="expression" dxfId="260" priority="6" stopIfTrue="1">
      <formula>MOD(ROW(),2)&lt;&gt;0</formula>
    </cfRule>
  </conditionalFormatting>
  <hyperlinks>
    <hyperlink ref="B24" location="Assumptions!A1" display="Assumptions" xr:uid="{F9D9CF66-C303-449E-BE66-C377F623D2F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5"/>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x-803</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615</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616</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803</v>
      </c>
      <c r="C14" s="161"/>
      <c r="D14" s="161"/>
      <c r="E14" s="161"/>
      <c r="F14" s="161"/>
      <c r="G14" s="161"/>
      <c r="H14" s="161"/>
      <c r="I14" s="161"/>
      <c r="J14" s="161"/>
      <c r="K14" s="161"/>
      <c r="L14" s="161"/>
      <c r="M14" s="161"/>
    </row>
    <row r="15" spans="1:13" x14ac:dyDescent="0.25">
      <c r="A15" s="77" t="s">
        <v>291</v>
      </c>
      <c r="B15" s="161" t="s">
        <v>617</v>
      </c>
      <c r="C15" s="161"/>
      <c r="D15" s="161"/>
      <c r="E15" s="161"/>
      <c r="F15" s="161"/>
      <c r="G15" s="161"/>
      <c r="H15" s="161"/>
      <c r="I15" s="161"/>
      <c r="J15" s="161"/>
      <c r="K15" s="161"/>
      <c r="L15" s="161"/>
      <c r="M15" s="161"/>
    </row>
    <row r="16" spans="1:13" x14ac:dyDescent="0.25">
      <c r="A16" s="77" t="s">
        <v>293</v>
      </c>
      <c r="B16" s="161" t="s">
        <v>618</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0.08</v>
      </c>
      <c r="C27" s="103">
        <v>7.9000000000000001E-2</v>
      </c>
      <c r="D27" s="103">
        <v>7.8E-2</v>
      </c>
      <c r="E27" s="103">
        <v>7.5999999999999998E-2</v>
      </c>
      <c r="F27" s="103">
        <v>7.4999999999999997E-2</v>
      </c>
      <c r="G27" s="103">
        <v>7.3999999999999996E-2</v>
      </c>
      <c r="H27" s="103">
        <v>7.1999999999999995E-2</v>
      </c>
      <c r="I27" s="103">
        <v>7.0999999999999994E-2</v>
      </c>
      <c r="J27" s="103">
        <v>7.0000000000000007E-2</v>
      </c>
      <c r="K27" s="103">
        <v>6.8000000000000005E-2</v>
      </c>
      <c r="L27" s="103">
        <v>6.7000000000000004E-2</v>
      </c>
      <c r="M27" s="103">
        <v>6.6000000000000003E-2</v>
      </c>
    </row>
    <row r="28" spans="1:13" x14ac:dyDescent="0.25">
      <c r="A28" s="98">
        <v>51</v>
      </c>
      <c r="B28" s="103">
        <v>6.5000000000000002E-2</v>
      </c>
      <c r="C28" s="103">
        <v>6.3E-2</v>
      </c>
      <c r="D28" s="103">
        <v>6.2E-2</v>
      </c>
      <c r="E28" s="103">
        <v>6.0999999999999999E-2</v>
      </c>
      <c r="F28" s="103">
        <v>5.8999999999999997E-2</v>
      </c>
      <c r="G28" s="103">
        <v>5.8000000000000003E-2</v>
      </c>
      <c r="H28" s="103">
        <v>5.7000000000000002E-2</v>
      </c>
      <c r="I28" s="103">
        <v>5.5E-2</v>
      </c>
      <c r="J28" s="103">
        <v>5.3999999999999999E-2</v>
      </c>
      <c r="K28" s="103">
        <v>5.2999999999999999E-2</v>
      </c>
      <c r="L28" s="103">
        <v>5.0999999999999997E-2</v>
      </c>
      <c r="M28" s="103">
        <v>0.05</v>
      </c>
    </row>
    <row r="29" spans="1:13" x14ac:dyDescent="0.25">
      <c r="A29" s="98">
        <v>52</v>
      </c>
      <c r="B29" s="103">
        <v>4.9000000000000002E-2</v>
      </c>
      <c r="C29" s="103">
        <v>4.7E-2</v>
      </c>
      <c r="D29" s="103">
        <v>4.5999999999999999E-2</v>
      </c>
      <c r="E29" s="103">
        <v>4.4999999999999998E-2</v>
      </c>
      <c r="F29" s="103">
        <v>4.2999999999999997E-2</v>
      </c>
      <c r="G29" s="103">
        <v>4.2000000000000003E-2</v>
      </c>
      <c r="H29" s="103">
        <v>4.1000000000000002E-2</v>
      </c>
      <c r="I29" s="103">
        <v>3.9E-2</v>
      </c>
      <c r="J29" s="103">
        <v>3.7999999999999999E-2</v>
      </c>
      <c r="K29" s="103">
        <v>3.6999999999999998E-2</v>
      </c>
      <c r="L29" s="103">
        <v>3.5000000000000003E-2</v>
      </c>
      <c r="M29" s="103">
        <v>3.4000000000000002E-2</v>
      </c>
    </row>
    <row r="30" spans="1:13" x14ac:dyDescent="0.25">
      <c r="A30" s="98">
        <v>53</v>
      </c>
      <c r="B30" s="103">
        <v>3.2000000000000001E-2</v>
      </c>
      <c r="C30" s="103">
        <v>3.1E-2</v>
      </c>
      <c r="D30" s="103">
        <v>0.03</v>
      </c>
      <c r="E30" s="103">
        <v>2.8000000000000001E-2</v>
      </c>
      <c r="F30" s="103">
        <v>2.7E-2</v>
      </c>
      <c r="G30" s="103">
        <v>2.5999999999999999E-2</v>
      </c>
      <c r="H30" s="103">
        <v>2.4E-2</v>
      </c>
      <c r="I30" s="103">
        <v>2.3E-2</v>
      </c>
      <c r="J30" s="103">
        <v>2.1999999999999999E-2</v>
      </c>
      <c r="K30" s="103">
        <v>0.02</v>
      </c>
      <c r="L30" s="103">
        <v>1.9E-2</v>
      </c>
      <c r="M30" s="103">
        <v>1.7000000000000001E-2</v>
      </c>
    </row>
    <row r="31" spans="1:13" x14ac:dyDescent="0.25">
      <c r="A31" s="98">
        <v>54</v>
      </c>
      <c r="B31" s="103">
        <v>1.6E-2</v>
      </c>
      <c r="C31" s="103">
        <v>1.4999999999999999E-2</v>
      </c>
      <c r="D31" s="103">
        <v>1.2999999999999999E-2</v>
      </c>
      <c r="E31" s="103">
        <v>1.2E-2</v>
      </c>
      <c r="F31" s="103">
        <v>0.01</v>
      </c>
      <c r="G31" s="103">
        <v>8.9999999999999993E-3</v>
      </c>
      <c r="H31" s="103">
        <v>8.0000000000000002E-3</v>
      </c>
      <c r="I31" s="103">
        <v>6.0000000000000001E-3</v>
      </c>
      <c r="J31" s="103">
        <v>5.0000000000000001E-3</v>
      </c>
      <c r="K31" s="103">
        <v>3.0000000000000001E-3</v>
      </c>
      <c r="L31" s="103">
        <v>2E-3</v>
      </c>
      <c r="M31" s="103">
        <v>1E-3</v>
      </c>
    </row>
    <row r="32" spans="1:13" x14ac:dyDescent="0.25">
      <c r="A32" s="98">
        <v>55</v>
      </c>
      <c r="B32" s="103">
        <v>0</v>
      </c>
      <c r="C32" s="103"/>
      <c r="D32" s="103"/>
      <c r="E32" s="103"/>
      <c r="F32" s="103"/>
      <c r="G32" s="103"/>
      <c r="H32" s="103"/>
      <c r="I32" s="103"/>
      <c r="J32" s="103"/>
      <c r="K32" s="103"/>
      <c r="L32" s="103"/>
      <c r="M32" s="103"/>
    </row>
    <row r="44" ht="39.65" customHeight="1" x14ac:dyDescent="0.25"/>
    <row r="46" ht="27.65" customHeight="1" x14ac:dyDescent="0.25"/>
  </sheetData>
  <sheetProtection algorithmName="SHA-512" hashValue="6fQbsJa7E0XVF2clCBu5RR7/G+BrXE3NxedzhHyvQ59LJ9Eg3IuOgeUr9T7XEpjz6sdqX+hQc+HsHDPpPfI2ow==" saltValue="GcLcVneoFbOZ+vnIz4Y8Lg==" spinCount="100000" sheet="1" objects="1" scenarios="1"/>
  <conditionalFormatting sqref="A6:A21">
    <cfRule type="expression" dxfId="259" priority="11" stopIfTrue="1">
      <formula>MOD(ROW(),2)=0</formula>
    </cfRule>
    <cfRule type="expression" dxfId="258" priority="12" stopIfTrue="1">
      <formula>MOD(ROW(),2)&lt;&gt;0</formula>
    </cfRule>
  </conditionalFormatting>
  <conditionalFormatting sqref="A26:A32">
    <cfRule type="expression" dxfId="257" priority="3" stopIfTrue="1">
      <formula>MOD(ROW(),2)=0</formula>
    </cfRule>
    <cfRule type="expression" dxfId="256" priority="4" stopIfTrue="1">
      <formula>MOD(ROW(),2)&lt;&gt;0</formula>
    </cfRule>
  </conditionalFormatting>
  <conditionalFormatting sqref="B17:B21">
    <cfRule type="expression" dxfId="255" priority="1" stopIfTrue="1">
      <formula>MOD(ROW(),2)=0</formula>
    </cfRule>
    <cfRule type="expression" dxfId="254" priority="2" stopIfTrue="1">
      <formula>MOD(ROW(),2)&lt;&gt;0</formula>
    </cfRule>
  </conditionalFormatting>
  <conditionalFormatting sqref="B6:M21">
    <cfRule type="expression" dxfId="253" priority="19" stopIfTrue="1">
      <formula>MOD(ROW(),2)=0</formula>
    </cfRule>
    <cfRule type="expression" dxfId="252" priority="20" stopIfTrue="1">
      <formula>MOD(ROW(),2)&lt;&gt;0</formula>
    </cfRule>
  </conditionalFormatting>
  <conditionalFormatting sqref="B26:M32">
    <cfRule type="expression" dxfId="251" priority="5" stopIfTrue="1">
      <formula>MOD(ROW(),2)=0</formula>
    </cfRule>
    <cfRule type="expression" dxfId="250" priority="6" stopIfTrue="1">
      <formula>MOD(ROW(),2)&lt;&gt;0</formula>
    </cfRule>
  </conditionalFormatting>
  <hyperlinks>
    <hyperlink ref="B24" location="Assumptions!A1" display="Assumptions" xr:uid="{9539DCD6-4111-400D-92B2-AA89319EB9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6"/>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x-804</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619</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804</v>
      </c>
      <c r="C14" s="161"/>
      <c r="D14" s="161"/>
      <c r="E14" s="161"/>
      <c r="F14" s="161"/>
      <c r="G14" s="161"/>
      <c r="H14" s="161"/>
      <c r="I14" s="161"/>
      <c r="J14" s="161"/>
      <c r="K14" s="161"/>
      <c r="L14" s="161"/>
      <c r="M14" s="161"/>
    </row>
    <row r="15" spans="1:13" x14ac:dyDescent="0.25">
      <c r="A15" s="77" t="s">
        <v>291</v>
      </c>
      <c r="B15" s="161" t="s">
        <v>620</v>
      </c>
      <c r="C15" s="161"/>
      <c r="D15" s="161"/>
      <c r="E15" s="161"/>
      <c r="F15" s="161"/>
      <c r="G15" s="161"/>
      <c r="H15" s="161"/>
      <c r="I15" s="161"/>
      <c r="J15" s="161"/>
      <c r="K15" s="161"/>
      <c r="L15" s="161"/>
      <c r="M15" s="161"/>
    </row>
    <row r="16" spans="1:13" x14ac:dyDescent="0.25">
      <c r="A16" s="77" t="s">
        <v>293</v>
      </c>
      <c r="B16" s="161" t="s">
        <v>621</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8.8780000000000001</v>
      </c>
      <c r="C27" s="103">
        <v>8.8140000000000001</v>
      </c>
      <c r="D27" s="103">
        <v>8.7509999999999994</v>
      </c>
      <c r="E27" s="103">
        <v>8.6869999999999994</v>
      </c>
      <c r="F27" s="103">
        <v>8.6229999999999993</v>
      </c>
      <c r="G27" s="103">
        <v>8.56</v>
      </c>
      <c r="H27" s="103">
        <v>8.4960000000000004</v>
      </c>
      <c r="I27" s="103">
        <v>8.4320000000000004</v>
      </c>
      <c r="J27" s="103">
        <v>8.3689999999999998</v>
      </c>
      <c r="K27" s="103">
        <v>8.3049999999999997</v>
      </c>
      <c r="L27" s="103">
        <v>8.2409999999999997</v>
      </c>
      <c r="M27" s="103">
        <v>8.1780000000000008</v>
      </c>
    </row>
    <row r="28" spans="1:13" x14ac:dyDescent="0.25">
      <c r="A28" s="98">
        <v>51</v>
      </c>
      <c r="B28" s="103">
        <v>8.1129999999999995</v>
      </c>
      <c r="C28" s="103">
        <v>8.0470000000000006</v>
      </c>
      <c r="D28" s="103">
        <v>7.98</v>
      </c>
      <c r="E28" s="103">
        <v>7.9139999999999997</v>
      </c>
      <c r="F28" s="103">
        <v>7.8479999999999999</v>
      </c>
      <c r="G28" s="103">
        <v>7.782</v>
      </c>
      <c r="H28" s="103">
        <v>7.7160000000000002</v>
      </c>
      <c r="I28" s="103">
        <v>7.65</v>
      </c>
      <c r="J28" s="103">
        <v>7.5830000000000002</v>
      </c>
      <c r="K28" s="103">
        <v>7.5170000000000003</v>
      </c>
      <c r="L28" s="103">
        <v>7.4509999999999996</v>
      </c>
      <c r="M28" s="103">
        <v>7.3849999999999998</v>
      </c>
    </row>
    <row r="29" spans="1:13" x14ac:dyDescent="0.25">
      <c r="A29" s="98">
        <v>52</v>
      </c>
      <c r="B29" s="103">
        <v>7.3170000000000002</v>
      </c>
      <c r="C29" s="103">
        <v>7.2489999999999997</v>
      </c>
      <c r="D29" s="103">
        <v>7.18</v>
      </c>
      <c r="E29" s="103">
        <v>7.1109999999999998</v>
      </c>
      <c r="F29" s="103">
        <v>7.0419999999999998</v>
      </c>
      <c r="G29" s="103">
        <v>6.9729999999999999</v>
      </c>
      <c r="H29" s="103">
        <v>6.9050000000000002</v>
      </c>
      <c r="I29" s="103">
        <v>6.8360000000000003</v>
      </c>
      <c r="J29" s="103">
        <v>6.7670000000000003</v>
      </c>
      <c r="K29" s="103">
        <v>6.6980000000000004</v>
      </c>
      <c r="L29" s="103">
        <v>6.6289999999999996</v>
      </c>
      <c r="M29" s="103">
        <v>6.56</v>
      </c>
    </row>
    <row r="30" spans="1:13" x14ac:dyDescent="0.25">
      <c r="A30" s="98">
        <v>53</v>
      </c>
      <c r="B30" s="103">
        <v>6.49</v>
      </c>
      <c r="C30" s="103">
        <v>6.4189999999999996</v>
      </c>
      <c r="D30" s="103">
        <v>6.3470000000000004</v>
      </c>
      <c r="E30" s="103">
        <v>6.2759999999999998</v>
      </c>
      <c r="F30" s="103">
        <v>6.2039999999999997</v>
      </c>
      <c r="G30" s="103">
        <v>6.1319999999999997</v>
      </c>
      <c r="H30" s="103">
        <v>6.0609999999999999</v>
      </c>
      <c r="I30" s="103">
        <v>5.9889999999999999</v>
      </c>
      <c r="J30" s="103">
        <v>5.9180000000000001</v>
      </c>
      <c r="K30" s="103">
        <v>5.8460000000000001</v>
      </c>
      <c r="L30" s="103">
        <v>5.7750000000000004</v>
      </c>
      <c r="M30" s="103">
        <v>5.7030000000000003</v>
      </c>
    </row>
    <row r="31" spans="1:13" x14ac:dyDescent="0.25">
      <c r="A31" s="98">
        <v>54</v>
      </c>
      <c r="B31" s="103">
        <v>5.63</v>
      </c>
      <c r="C31" s="103">
        <v>5.556</v>
      </c>
      <c r="D31" s="103">
        <v>5.4809999999999999</v>
      </c>
      <c r="E31" s="103">
        <v>5.407</v>
      </c>
      <c r="F31" s="103">
        <v>5.3319999999999999</v>
      </c>
      <c r="G31" s="103">
        <v>5.258</v>
      </c>
      <c r="H31" s="103">
        <v>5.1829999999999998</v>
      </c>
      <c r="I31" s="103">
        <v>5.109</v>
      </c>
      <c r="J31" s="103">
        <v>5.0350000000000001</v>
      </c>
      <c r="K31" s="103">
        <v>4.96</v>
      </c>
      <c r="L31" s="103">
        <v>4.8860000000000001</v>
      </c>
      <c r="M31" s="103">
        <v>4.8109999999999999</v>
      </c>
    </row>
    <row r="32" spans="1:13" x14ac:dyDescent="0.25">
      <c r="A32" s="98">
        <v>55</v>
      </c>
      <c r="B32" s="103">
        <v>4.7359999999999998</v>
      </c>
      <c r="C32" s="103">
        <v>4.6589999999999998</v>
      </c>
      <c r="D32" s="103">
        <v>4.5819999999999999</v>
      </c>
      <c r="E32" s="103">
        <v>4.5049999999999999</v>
      </c>
      <c r="F32" s="103">
        <v>4.4279999999999999</v>
      </c>
      <c r="G32" s="103">
        <v>4.351</v>
      </c>
      <c r="H32" s="103">
        <v>4.2750000000000004</v>
      </c>
      <c r="I32" s="103">
        <v>4.1980000000000004</v>
      </c>
      <c r="J32" s="103">
        <v>4.1210000000000004</v>
      </c>
      <c r="K32" s="103">
        <v>4.0439999999999996</v>
      </c>
      <c r="L32" s="103">
        <v>3.9670000000000001</v>
      </c>
      <c r="M32" s="103">
        <v>3.89</v>
      </c>
    </row>
    <row r="33" spans="1:13" x14ac:dyDescent="0.25">
      <c r="A33" s="98">
        <v>56</v>
      </c>
      <c r="B33" s="103">
        <v>3.8130000000000002</v>
      </c>
      <c r="C33" s="103">
        <v>3.7349999999999999</v>
      </c>
      <c r="D33" s="103">
        <v>3.657</v>
      </c>
      <c r="E33" s="103">
        <v>3.5790000000000002</v>
      </c>
      <c r="F33" s="103">
        <v>3.5009999999999999</v>
      </c>
      <c r="G33" s="103">
        <v>3.423</v>
      </c>
      <c r="H33" s="103">
        <v>3.3439999999999999</v>
      </c>
      <c r="I33" s="103">
        <v>3.266</v>
      </c>
      <c r="J33" s="103">
        <v>3.1880000000000002</v>
      </c>
      <c r="K33" s="103">
        <v>3.11</v>
      </c>
      <c r="L33" s="103">
        <v>3.032</v>
      </c>
      <c r="M33" s="103">
        <v>2.9540000000000002</v>
      </c>
    </row>
    <row r="34" spans="1:13" x14ac:dyDescent="0.25">
      <c r="A34" s="98">
        <v>57</v>
      </c>
      <c r="B34" s="103">
        <v>2.875</v>
      </c>
      <c r="C34" s="103">
        <v>2.7959999999999998</v>
      </c>
      <c r="D34" s="103">
        <v>2.7160000000000002</v>
      </c>
      <c r="E34" s="103">
        <v>2.637</v>
      </c>
      <c r="F34" s="103">
        <v>2.5579999999999998</v>
      </c>
      <c r="G34" s="103">
        <v>2.4780000000000002</v>
      </c>
      <c r="H34" s="103">
        <v>2.399</v>
      </c>
      <c r="I34" s="103">
        <v>2.319</v>
      </c>
      <c r="J34" s="103">
        <v>2.2400000000000002</v>
      </c>
      <c r="K34" s="103">
        <v>2.16</v>
      </c>
      <c r="L34" s="103">
        <v>2.081</v>
      </c>
      <c r="M34" s="103">
        <v>2.0009999999999999</v>
      </c>
    </row>
    <row r="35" spans="1:13" x14ac:dyDescent="0.25">
      <c r="A35" s="98">
        <v>58</v>
      </c>
      <c r="B35" s="103">
        <v>1.921</v>
      </c>
      <c r="C35" s="103">
        <v>1.84</v>
      </c>
      <c r="D35" s="103">
        <v>1.7589999999999999</v>
      </c>
      <c r="E35" s="103">
        <v>1.6779999999999999</v>
      </c>
      <c r="F35" s="103">
        <v>1.597</v>
      </c>
      <c r="G35" s="103">
        <v>1.516</v>
      </c>
      <c r="H35" s="103">
        <v>1.4359999999999999</v>
      </c>
      <c r="I35" s="103">
        <v>1.355</v>
      </c>
      <c r="J35" s="103">
        <v>1.274</v>
      </c>
      <c r="K35" s="103">
        <v>1.1930000000000001</v>
      </c>
      <c r="L35" s="103">
        <v>1.1120000000000001</v>
      </c>
      <c r="M35" s="103">
        <v>1.0309999999999999</v>
      </c>
    </row>
    <row r="36" spans="1:13" x14ac:dyDescent="0.25">
      <c r="A36" s="98">
        <v>59</v>
      </c>
      <c r="B36" s="103">
        <v>0.94899999999999995</v>
      </c>
      <c r="C36" s="103">
        <v>0.86599999999999999</v>
      </c>
      <c r="D36" s="103">
        <v>0.78400000000000003</v>
      </c>
      <c r="E36" s="103">
        <v>0.70099999999999996</v>
      </c>
      <c r="F36" s="103">
        <v>0.61899999999999999</v>
      </c>
      <c r="G36" s="103">
        <v>0.53600000000000003</v>
      </c>
      <c r="H36" s="103">
        <v>0.45400000000000001</v>
      </c>
      <c r="I36" s="103">
        <v>0.371</v>
      </c>
      <c r="J36" s="103">
        <v>0.28899999999999998</v>
      </c>
      <c r="K36" s="103">
        <v>0.20599999999999999</v>
      </c>
      <c r="L36" s="103">
        <v>0.124</v>
      </c>
      <c r="M36" s="103">
        <v>4.1000000000000002E-2</v>
      </c>
    </row>
    <row r="37" spans="1:13" x14ac:dyDescent="0.25">
      <c r="A37" s="98">
        <v>60</v>
      </c>
      <c r="B37" s="103">
        <v>0</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4o34jLzT2MQNM7a/7UE9pBtFNbpkeLASdMCv65pGOv7qyeBLMHnNVV2QKCgZrJp808KgzKLbJoGf7qwy8VZ/pg==" saltValue="RMFITZ2v3pDTxCDHpsyoag==" spinCount="100000" sheet="1" objects="1" scenarios="1"/>
  <conditionalFormatting sqref="A6:A21">
    <cfRule type="expression" dxfId="249" priority="11" stopIfTrue="1">
      <formula>MOD(ROW(),2)=0</formula>
    </cfRule>
    <cfRule type="expression" dxfId="248" priority="12" stopIfTrue="1">
      <formula>MOD(ROW(),2)&lt;&gt;0</formula>
    </cfRule>
  </conditionalFormatting>
  <conditionalFormatting sqref="A26:A37">
    <cfRule type="expression" dxfId="247" priority="3" stopIfTrue="1">
      <formula>MOD(ROW(),2)=0</formula>
    </cfRule>
    <cfRule type="expression" dxfId="246" priority="4" stopIfTrue="1">
      <formula>MOD(ROW(),2)&lt;&gt;0</formula>
    </cfRule>
  </conditionalFormatting>
  <conditionalFormatting sqref="B17:B21">
    <cfRule type="expression" dxfId="245" priority="1" stopIfTrue="1">
      <formula>MOD(ROW(),2)=0</formula>
    </cfRule>
    <cfRule type="expression" dxfId="244" priority="2" stopIfTrue="1">
      <formula>MOD(ROW(),2)&lt;&gt;0</formula>
    </cfRule>
  </conditionalFormatting>
  <conditionalFormatting sqref="B6:M21">
    <cfRule type="expression" dxfId="243" priority="19" stopIfTrue="1">
      <formula>MOD(ROW(),2)=0</formula>
    </cfRule>
    <cfRule type="expression" dxfId="242" priority="20" stopIfTrue="1">
      <formula>MOD(ROW(),2)&lt;&gt;0</formula>
    </cfRule>
  </conditionalFormatting>
  <conditionalFormatting sqref="B26:M37">
    <cfRule type="expression" dxfId="241" priority="5" stopIfTrue="1">
      <formula>MOD(ROW(),2)=0</formula>
    </cfRule>
    <cfRule type="expression" dxfId="240" priority="6" stopIfTrue="1">
      <formula>MOD(ROW(),2)&lt;&gt;0</formula>
    </cfRule>
  </conditionalFormatting>
  <hyperlinks>
    <hyperlink ref="B24" location="Assumptions!A1" display="Assumptions" xr:uid="{B471A872-54B4-4243-A7DC-F631489885B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77"/>
  <dimension ref="A1:M78"/>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x-805</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622</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805</v>
      </c>
      <c r="C14" s="161"/>
      <c r="D14" s="161"/>
      <c r="E14" s="161"/>
      <c r="F14" s="161"/>
      <c r="G14" s="161"/>
      <c r="H14" s="161"/>
      <c r="I14" s="161"/>
      <c r="J14" s="161"/>
      <c r="K14" s="161"/>
      <c r="L14" s="161"/>
      <c r="M14" s="161"/>
    </row>
    <row r="15" spans="1:13" x14ac:dyDescent="0.25">
      <c r="A15" s="77" t="s">
        <v>291</v>
      </c>
      <c r="B15" s="161" t="s">
        <v>623</v>
      </c>
      <c r="C15" s="161"/>
      <c r="D15" s="161"/>
      <c r="E15" s="161"/>
      <c r="F15" s="161"/>
      <c r="G15" s="161"/>
      <c r="H15" s="161"/>
      <c r="I15" s="161"/>
      <c r="J15" s="161"/>
      <c r="K15" s="161"/>
      <c r="L15" s="161"/>
      <c r="M15" s="161"/>
    </row>
    <row r="16" spans="1:13" x14ac:dyDescent="0.25">
      <c r="A16" s="77" t="s">
        <v>293</v>
      </c>
      <c r="B16" s="161" t="s">
        <v>624</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19.46</v>
      </c>
      <c r="C27" s="103">
        <v>19.484999999999999</v>
      </c>
      <c r="D27" s="103">
        <v>19.510000000000002</v>
      </c>
      <c r="E27" s="103">
        <v>19.535</v>
      </c>
      <c r="F27" s="103">
        <v>19.559999999999999</v>
      </c>
      <c r="G27" s="103">
        <v>19.585000000000001</v>
      </c>
      <c r="H27" s="103">
        <v>19.61</v>
      </c>
      <c r="I27" s="103">
        <v>19.635000000000002</v>
      </c>
      <c r="J27" s="103">
        <v>19.66</v>
      </c>
      <c r="K27" s="103">
        <v>19.684999999999999</v>
      </c>
      <c r="L27" s="103">
        <v>19.71</v>
      </c>
      <c r="M27" s="103">
        <v>19.734999999999999</v>
      </c>
    </row>
    <row r="28" spans="1:13" x14ac:dyDescent="0.25">
      <c r="A28" s="98">
        <v>51</v>
      </c>
      <c r="B28" s="103">
        <v>19.760999999999999</v>
      </c>
      <c r="C28" s="103">
        <v>19.786000000000001</v>
      </c>
      <c r="D28" s="103">
        <v>19.812000000000001</v>
      </c>
      <c r="E28" s="103">
        <v>19.837</v>
      </c>
      <c r="F28" s="103">
        <v>19.863</v>
      </c>
      <c r="G28" s="103">
        <v>19.888000000000002</v>
      </c>
      <c r="H28" s="103">
        <v>19.914000000000001</v>
      </c>
      <c r="I28" s="103">
        <v>19.939</v>
      </c>
      <c r="J28" s="103">
        <v>19.965</v>
      </c>
      <c r="K28" s="103">
        <v>19.989999999999998</v>
      </c>
      <c r="L28" s="103">
        <v>20.015999999999998</v>
      </c>
      <c r="M28" s="103">
        <v>20.042000000000002</v>
      </c>
    </row>
    <row r="29" spans="1:13" x14ac:dyDescent="0.25">
      <c r="A29" s="98">
        <v>52</v>
      </c>
      <c r="B29" s="103">
        <v>20.067</v>
      </c>
      <c r="C29" s="103">
        <v>20.093</v>
      </c>
      <c r="D29" s="103">
        <v>20.12</v>
      </c>
      <c r="E29" s="103">
        <v>20.146000000000001</v>
      </c>
      <c r="F29" s="103">
        <v>20.172000000000001</v>
      </c>
      <c r="G29" s="103">
        <v>20.198</v>
      </c>
      <c r="H29" s="103">
        <v>20.224</v>
      </c>
      <c r="I29" s="103">
        <v>20.25</v>
      </c>
      <c r="J29" s="103">
        <v>20.276</v>
      </c>
      <c r="K29" s="103">
        <v>20.302</v>
      </c>
      <c r="L29" s="103">
        <v>20.327999999999999</v>
      </c>
      <c r="M29" s="103">
        <v>20.353999999999999</v>
      </c>
    </row>
    <row r="30" spans="1:13" x14ac:dyDescent="0.25">
      <c r="A30" s="98">
        <v>53</v>
      </c>
      <c r="B30" s="103">
        <v>20.381</v>
      </c>
      <c r="C30" s="103">
        <v>20.407</v>
      </c>
      <c r="D30" s="103">
        <v>20.434000000000001</v>
      </c>
      <c r="E30" s="103">
        <v>20.460999999999999</v>
      </c>
      <c r="F30" s="103">
        <v>20.488</v>
      </c>
      <c r="G30" s="103">
        <v>20.513999999999999</v>
      </c>
      <c r="H30" s="103">
        <v>20.541</v>
      </c>
      <c r="I30" s="103">
        <v>20.568000000000001</v>
      </c>
      <c r="J30" s="103">
        <v>20.594000000000001</v>
      </c>
      <c r="K30" s="103">
        <v>20.620999999999999</v>
      </c>
      <c r="L30" s="103">
        <v>20.648</v>
      </c>
      <c r="M30" s="103">
        <v>20.673999999999999</v>
      </c>
    </row>
    <row r="31" spans="1:13" x14ac:dyDescent="0.25">
      <c r="A31" s="98">
        <v>54</v>
      </c>
      <c r="B31" s="103">
        <v>20.701000000000001</v>
      </c>
      <c r="C31" s="103">
        <v>20.728999999999999</v>
      </c>
      <c r="D31" s="103">
        <v>20.756</v>
      </c>
      <c r="E31" s="103">
        <v>20.783000000000001</v>
      </c>
      <c r="F31" s="103">
        <v>20.81</v>
      </c>
      <c r="G31" s="103">
        <v>20.838000000000001</v>
      </c>
      <c r="H31" s="103">
        <v>20.864999999999998</v>
      </c>
      <c r="I31" s="103">
        <v>20.891999999999999</v>
      </c>
      <c r="J31" s="103">
        <v>20.92</v>
      </c>
      <c r="K31" s="103">
        <v>20.946999999999999</v>
      </c>
      <c r="L31" s="103">
        <v>20.974</v>
      </c>
      <c r="M31" s="103">
        <v>21.001999999999999</v>
      </c>
    </row>
    <row r="32" spans="1:13" x14ac:dyDescent="0.25">
      <c r="A32" s="98">
        <v>55</v>
      </c>
      <c r="B32" s="103">
        <v>21.029</v>
      </c>
      <c r="C32" s="103">
        <v>21.056999999999999</v>
      </c>
      <c r="D32" s="103">
        <v>21.085000000000001</v>
      </c>
      <c r="E32" s="103">
        <v>21.113</v>
      </c>
      <c r="F32" s="103">
        <v>21.140999999999998</v>
      </c>
      <c r="G32" s="103">
        <v>21.169</v>
      </c>
      <c r="H32" s="103">
        <v>21.196999999999999</v>
      </c>
      <c r="I32" s="103">
        <v>21.225000000000001</v>
      </c>
      <c r="J32" s="103">
        <v>21.253</v>
      </c>
      <c r="K32" s="103">
        <v>21.280999999999999</v>
      </c>
      <c r="L32" s="103">
        <v>21.309000000000001</v>
      </c>
      <c r="M32" s="103">
        <v>21.337</v>
      </c>
    </row>
    <row r="33" spans="1:13" x14ac:dyDescent="0.25">
      <c r="A33" s="98">
        <v>56</v>
      </c>
      <c r="B33" s="103">
        <v>21.366</v>
      </c>
      <c r="C33" s="103">
        <v>21.393999999999998</v>
      </c>
      <c r="D33" s="103">
        <v>21.422999999999998</v>
      </c>
      <c r="E33" s="103">
        <v>21.452000000000002</v>
      </c>
      <c r="F33" s="103">
        <v>21.48</v>
      </c>
      <c r="G33" s="103">
        <v>21.509</v>
      </c>
      <c r="H33" s="103">
        <v>21.538</v>
      </c>
      <c r="I33" s="103">
        <v>21.567</v>
      </c>
      <c r="J33" s="103">
        <v>21.594999999999999</v>
      </c>
      <c r="K33" s="103">
        <v>21.623999999999999</v>
      </c>
      <c r="L33" s="103">
        <v>21.652999999999999</v>
      </c>
      <c r="M33" s="103">
        <v>21.681999999999999</v>
      </c>
    </row>
    <row r="34" spans="1:13" x14ac:dyDescent="0.25">
      <c r="A34" s="98">
        <v>57</v>
      </c>
      <c r="B34" s="103">
        <v>21.710999999999999</v>
      </c>
      <c r="C34" s="103">
        <v>21.74</v>
      </c>
      <c r="D34" s="103">
        <v>21.77</v>
      </c>
      <c r="E34" s="103">
        <v>21.798999999999999</v>
      </c>
      <c r="F34" s="103">
        <v>21.829000000000001</v>
      </c>
      <c r="G34" s="103">
        <v>21.858000000000001</v>
      </c>
      <c r="H34" s="103">
        <v>21.888000000000002</v>
      </c>
      <c r="I34" s="103">
        <v>21.917000000000002</v>
      </c>
      <c r="J34" s="103">
        <v>21.946999999999999</v>
      </c>
      <c r="K34" s="103">
        <v>21.977</v>
      </c>
      <c r="L34" s="103">
        <v>22.006</v>
      </c>
      <c r="M34" s="103">
        <v>22.036000000000001</v>
      </c>
    </row>
    <row r="35" spans="1:13" x14ac:dyDescent="0.25">
      <c r="A35" s="98">
        <v>58</v>
      </c>
      <c r="B35" s="103">
        <v>22.065999999999999</v>
      </c>
      <c r="C35" s="103">
        <v>22.096</v>
      </c>
      <c r="D35" s="103">
        <v>22.126000000000001</v>
      </c>
      <c r="E35" s="103">
        <v>22.157</v>
      </c>
      <c r="F35" s="103">
        <v>22.187000000000001</v>
      </c>
      <c r="G35" s="103">
        <v>22.218</v>
      </c>
      <c r="H35" s="103">
        <v>22.248000000000001</v>
      </c>
      <c r="I35" s="103">
        <v>22.279</v>
      </c>
      <c r="J35" s="103">
        <v>22.309000000000001</v>
      </c>
      <c r="K35" s="103">
        <v>22.338999999999999</v>
      </c>
      <c r="L35" s="103">
        <v>22.37</v>
      </c>
      <c r="M35" s="103">
        <v>22.4</v>
      </c>
    </row>
    <row r="36" spans="1:13" x14ac:dyDescent="0.25">
      <c r="A36" s="98">
        <v>59</v>
      </c>
      <c r="B36" s="103">
        <v>22.431000000000001</v>
      </c>
      <c r="C36" s="103">
        <v>22.463000000000001</v>
      </c>
      <c r="D36" s="103">
        <v>22.494</v>
      </c>
      <c r="E36" s="103">
        <v>22.524999999999999</v>
      </c>
      <c r="F36" s="103">
        <v>22.556999999999999</v>
      </c>
      <c r="G36" s="103">
        <v>22.588000000000001</v>
      </c>
      <c r="H36" s="103">
        <v>22.62</v>
      </c>
      <c r="I36" s="103">
        <v>22.651</v>
      </c>
      <c r="J36" s="103">
        <v>22.681999999999999</v>
      </c>
      <c r="K36" s="103">
        <v>22.713999999999999</v>
      </c>
      <c r="L36" s="103">
        <v>22.745000000000001</v>
      </c>
      <c r="M36" s="103">
        <v>22.777000000000001</v>
      </c>
    </row>
    <row r="37" spans="1:13" x14ac:dyDescent="0.25">
      <c r="A37" s="98">
        <v>60</v>
      </c>
      <c r="B37" s="103">
        <v>22.765999999999998</v>
      </c>
      <c r="C37" s="103">
        <v>22.715</v>
      </c>
      <c r="D37" s="103">
        <v>22.663</v>
      </c>
      <c r="E37" s="103">
        <v>22.611999999999998</v>
      </c>
      <c r="F37" s="103">
        <v>22.56</v>
      </c>
      <c r="G37" s="103">
        <v>22.507999999999999</v>
      </c>
      <c r="H37" s="103">
        <v>22.457000000000001</v>
      </c>
      <c r="I37" s="103">
        <v>22.405000000000001</v>
      </c>
      <c r="J37" s="103">
        <v>22.353000000000002</v>
      </c>
      <c r="K37" s="103">
        <v>22.302</v>
      </c>
      <c r="L37" s="103">
        <v>22.25</v>
      </c>
      <c r="M37" s="103">
        <v>22.199000000000002</v>
      </c>
    </row>
    <row r="38" spans="1:13" x14ac:dyDescent="0.25">
      <c r="A38" s="98">
        <v>61</v>
      </c>
      <c r="B38" s="103">
        <v>22.146999999999998</v>
      </c>
      <c r="C38" s="103">
        <v>22.094999999999999</v>
      </c>
      <c r="D38" s="103">
        <v>22.042999999999999</v>
      </c>
      <c r="E38" s="103">
        <v>21.991</v>
      </c>
      <c r="F38" s="103">
        <v>21.939</v>
      </c>
      <c r="G38" s="103">
        <v>21.887</v>
      </c>
      <c r="H38" s="103">
        <v>21.835000000000001</v>
      </c>
      <c r="I38" s="103">
        <v>21.783999999999999</v>
      </c>
      <c r="J38" s="103">
        <v>21.731999999999999</v>
      </c>
      <c r="K38" s="103">
        <v>21.68</v>
      </c>
      <c r="L38" s="103">
        <v>21.628</v>
      </c>
      <c r="M38" s="103">
        <v>21.576000000000001</v>
      </c>
    </row>
    <row r="39" spans="1:13" x14ac:dyDescent="0.25">
      <c r="A39" s="98">
        <v>62</v>
      </c>
      <c r="B39" s="103">
        <v>21.524000000000001</v>
      </c>
      <c r="C39" s="103">
        <v>21.472000000000001</v>
      </c>
      <c r="D39" s="103">
        <v>21.419</v>
      </c>
      <c r="E39" s="103">
        <v>21.367000000000001</v>
      </c>
      <c r="F39" s="103">
        <v>21.315000000000001</v>
      </c>
      <c r="G39" s="103">
        <v>21.263000000000002</v>
      </c>
      <c r="H39" s="103">
        <v>21.21</v>
      </c>
      <c r="I39" s="103">
        <v>21.158000000000001</v>
      </c>
      <c r="J39" s="103">
        <v>21.106000000000002</v>
      </c>
      <c r="K39" s="103">
        <v>21.053999999999998</v>
      </c>
      <c r="L39" s="103">
        <v>21.001000000000001</v>
      </c>
      <c r="M39" s="103">
        <v>20.949000000000002</v>
      </c>
    </row>
    <row r="40" spans="1:13" x14ac:dyDescent="0.25">
      <c r="A40" s="98">
        <v>63</v>
      </c>
      <c r="B40" s="103">
        <v>20.896999999999998</v>
      </c>
      <c r="C40" s="103">
        <v>20.844000000000001</v>
      </c>
      <c r="D40" s="103">
        <v>20.791</v>
      </c>
      <c r="E40" s="103">
        <v>20.738</v>
      </c>
      <c r="F40" s="103">
        <v>20.686</v>
      </c>
      <c r="G40" s="103">
        <v>20.632999999999999</v>
      </c>
      <c r="H40" s="103">
        <v>20.58</v>
      </c>
      <c r="I40" s="103">
        <v>20.527999999999999</v>
      </c>
      <c r="J40" s="103">
        <v>20.475000000000001</v>
      </c>
      <c r="K40" s="103">
        <v>20.422000000000001</v>
      </c>
      <c r="L40" s="103">
        <v>20.369</v>
      </c>
      <c r="M40" s="103">
        <v>20.317</v>
      </c>
    </row>
    <row r="41" spans="1:13" x14ac:dyDescent="0.25">
      <c r="A41" s="98">
        <v>64</v>
      </c>
      <c r="B41" s="103">
        <v>20.263999999999999</v>
      </c>
      <c r="C41" s="103">
        <v>20.21</v>
      </c>
      <c r="D41" s="103">
        <v>20.157</v>
      </c>
      <c r="E41" s="103">
        <v>20.103999999999999</v>
      </c>
      <c r="F41" s="103">
        <v>20.05</v>
      </c>
      <c r="G41" s="103">
        <v>19.997</v>
      </c>
      <c r="H41" s="103">
        <v>19.943999999999999</v>
      </c>
      <c r="I41" s="103">
        <v>19.89</v>
      </c>
      <c r="J41" s="103">
        <v>19.837</v>
      </c>
      <c r="K41" s="103">
        <v>19.783000000000001</v>
      </c>
      <c r="L41" s="103">
        <v>19.73</v>
      </c>
      <c r="M41" s="103">
        <v>19.677</v>
      </c>
    </row>
    <row r="42" spans="1:13" x14ac:dyDescent="0.25">
      <c r="A42" s="98">
        <v>65</v>
      </c>
      <c r="B42" s="103">
        <v>19.623000000000001</v>
      </c>
      <c r="C42" s="103">
        <v>19.57</v>
      </c>
      <c r="D42" s="103">
        <v>19.515999999999998</v>
      </c>
      <c r="E42" s="103">
        <v>19.463000000000001</v>
      </c>
      <c r="F42" s="103">
        <v>19.408999999999999</v>
      </c>
      <c r="G42" s="103">
        <v>19.356000000000002</v>
      </c>
      <c r="H42" s="103">
        <v>19.302</v>
      </c>
      <c r="I42" s="103">
        <v>19.248000000000001</v>
      </c>
      <c r="J42" s="103">
        <v>19.195</v>
      </c>
      <c r="K42" s="103">
        <v>19.140999999999998</v>
      </c>
      <c r="L42" s="103">
        <v>19.088000000000001</v>
      </c>
      <c r="M42" s="103">
        <v>19.033999999999999</v>
      </c>
    </row>
    <row r="43" spans="1:13" x14ac:dyDescent="0.25">
      <c r="A43" s="98">
        <v>66</v>
      </c>
      <c r="B43" s="103">
        <v>18.98</v>
      </c>
      <c r="C43" s="103">
        <v>18.925999999999998</v>
      </c>
      <c r="D43" s="103">
        <v>18.873000000000001</v>
      </c>
      <c r="E43" s="103">
        <v>18.818999999999999</v>
      </c>
      <c r="F43" s="103">
        <v>18.765000000000001</v>
      </c>
      <c r="G43" s="103">
        <v>18.710999999999999</v>
      </c>
      <c r="H43" s="103">
        <v>18.657</v>
      </c>
      <c r="I43" s="103">
        <v>18.603000000000002</v>
      </c>
      <c r="J43" s="103">
        <v>18.548999999999999</v>
      </c>
      <c r="K43" s="103">
        <v>18.495000000000001</v>
      </c>
      <c r="L43" s="103">
        <v>18.440999999999999</v>
      </c>
      <c r="M43" s="103">
        <v>18.387</v>
      </c>
    </row>
    <row r="44" spans="1:13" x14ac:dyDescent="0.25">
      <c r="A44" s="98">
        <v>67</v>
      </c>
      <c r="B44" s="103">
        <v>18.332999999999998</v>
      </c>
      <c r="C44" s="103">
        <v>18.277999999999999</v>
      </c>
      <c r="D44" s="103">
        <v>18.224</v>
      </c>
      <c r="E44" s="103">
        <v>18.170000000000002</v>
      </c>
      <c r="F44" s="103">
        <v>18.114999999999998</v>
      </c>
      <c r="G44" s="103">
        <v>18.061</v>
      </c>
      <c r="H44" s="103">
        <v>18.007000000000001</v>
      </c>
      <c r="I44" s="103">
        <v>17.952999999999999</v>
      </c>
      <c r="J44" s="103">
        <v>17.898</v>
      </c>
      <c r="K44" s="103">
        <v>17.844000000000001</v>
      </c>
      <c r="L44" s="103">
        <v>17.79</v>
      </c>
      <c r="M44" s="103">
        <v>17.734999999999999</v>
      </c>
    </row>
    <row r="45" spans="1:13" x14ac:dyDescent="0.25">
      <c r="A45" s="98">
        <v>68</v>
      </c>
      <c r="B45" s="103">
        <v>17.681000000000001</v>
      </c>
      <c r="C45" s="103">
        <v>17.626000000000001</v>
      </c>
      <c r="D45" s="103">
        <v>17.571999999999999</v>
      </c>
      <c r="E45" s="103">
        <v>17.516999999999999</v>
      </c>
      <c r="F45" s="103">
        <v>17.462</v>
      </c>
      <c r="G45" s="103">
        <v>17.408000000000001</v>
      </c>
      <c r="H45" s="103">
        <v>17.353000000000002</v>
      </c>
      <c r="I45" s="103">
        <v>17.298999999999999</v>
      </c>
      <c r="J45" s="103">
        <v>17.244</v>
      </c>
      <c r="K45" s="103">
        <v>17.189</v>
      </c>
      <c r="L45" s="103">
        <v>17.135000000000002</v>
      </c>
      <c r="M45" s="103">
        <v>17.079999999999998</v>
      </c>
    </row>
    <row r="46" spans="1:13" x14ac:dyDescent="0.25">
      <c r="A46" s="98">
        <v>69</v>
      </c>
      <c r="B46" s="103">
        <v>17.023</v>
      </c>
      <c r="C46" s="103">
        <v>16.963000000000001</v>
      </c>
      <c r="D46" s="103">
        <v>16.902999999999999</v>
      </c>
      <c r="E46" s="103">
        <v>16.843</v>
      </c>
      <c r="F46" s="103">
        <v>16.783999999999999</v>
      </c>
      <c r="G46" s="103">
        <v>16.724</v>
      </c>
      <c r="H46" s="103">
        <v>16.664000000000001</v>
      </c>
      <c r="I46" s="103">
        <v>16.603999999999999</v>
      </c>
      <c r="J46" s="103">
        <v>16.544</v>
      </c>
      <c r="K46" s="103">
        <v>16.484999999999999</v>
      </c>
      <c r="L46" s="103">
        <v>16.425000000000001</v>
      </c>
      <c r="M46" s="103">
        <v>16.364999999999998</v>
      </c>
    </row>
    <row r="47" spans="1:13" x14ac:dyDescent="0.25">
      <c r="A47" s="98">
        <v>70</v>
      </c>
      <c r="B47" s="103">
        <v>16.306999999999999</v>
      </c>
      <c r="C47" s="103">
        <v>16.251999999999999</v>
      </c>
      <c r="D47" s="103">
        <v>16.196999999999999</v>
      </c>
      <c r="E47" s="103">
        <v>16.141999999999999</v>
      </c>
      <c r="F47" s="103">
        <v>16.085999999999999</v>
      </c>
      <c r="G47" s="103">
        <v>16.030999999999999</v>
      </c>
      <c r="H47" s="103">
        <v>15.976000000000001</v>
      </c>
      <c r="I47" s="103">
        <v>15.920999999999999</v>
      </c>
      <c r="J47" s="103">
        <v>15.865</v>
      </c>
      <c r="K47" s="103">
        <v>15.81</v>
      </c>
      <c r="L47" s="103">
        <v>15.755000000000001</v>
      </c>
      <c r="M47" s="103">
        <v>15.7</v>
      </c>
    </row>
    <row r="48" spans="1:13" x14ac:dyDescent="0.25">
      <c r="A48" s="98">
        <v>71</v>
      </c>
      <c r="B48" s="103">
        <v>15.644</v>
      </c>
      <c r="C48" s="103">
        <v>15.589</v>
      </c>
      <c r="D48" s="103">
        <v>15.534000000000001</v>
      </c>
      <c r="E48" s="103">
        <v>15.478999999999999</v>
      </c>
      <c r="F48" s="103">
        <v>15.423999999999999</v>
      </c>
      <c r="G48" s="103">
        <v>15.369</v>
      </c>
      <c r="H48" s="103">
        <v>15.314</v>
      </c>
      <c r="I48" s="103">
        <v>15.259</v>
      </c>
      <c r="J48" s="103">
        <v>15.204000000000001</v>
      </c>
      <c r="K48" s="103">
        <v>15.148999999999999</v>
      </c>
      <c r="L48" s="103">
        <v>15.093999999999999</v>
      </c>
      <c r="M48" s="103">
        <v>15.038</v>
      </c>
    </row>
    <row r="49" spans="1:13" x14ac:dyDescent="0.25">
      <c r="A49" s="98">
        <v>72</v>
      </c>
      <c r="B49" s="103">
        <v>14.983000000000001</v>
      </c>
      <c r="C49" s="103">
        <v>14.928000000000001</v>
      </c>
      <c r="D49" s="103">
        <v>14.872999999999999</v>
      </c>
      <c r="E49" s="103">
        <v>14.818</v>
      </c>
      <c r="F49" s="103">
        <v>14.763</v>
      </c>
      <c r="G49" s="103">
        <v>14.708</v>
      </c>
      <c r="H49" s="103">
        <v>14.653</v>
      </c>
      <c r="I49" s="103">
        <v>14.597</v>
      </c>
      <c r="J49" s="103">
        <v>14.542</v>
      </c>
      <c r="K49" s="103">
        <v>14.487</v>
      </c>
      <c r="L49" s="103">
        <v>14.432</v>
      </c>
      <c r="M49" s="103">
        <v>14.377000000000001</v>
      </c>
    </row>
    <row r="50" spans="1:13" x14ac:dyDescent="0.25">
      <c r="A50" s="98">
        <v>73</v>
      </c>
      <c r="B50" s="103">
        <v>14.321999999999999</v>
      </c>
      <c r="C50" s="103">
        <v>14.266999999999999</v>
      </c>
      <c r="D50" s="103">
        <v>14.212</v>
      </c>
      <c r="E50" s="103">
        <v>14.157</v>
      </c>
      <c r="F50" s="103">
        <v>14.102</v>
      </c>
      <c r="G50" s="103">
        <v>14.047000000000001</v>
      </c>
      <c r="H50" s="103">
        <v>13.991</v>
      </c>
      <c r="I50" s="103">
        <v>13.936</v>
      </c>
      <c r="J50" s="103">
        <v>13.881</v>
      </c>
      <c r="K50" s="103">
        <v>13.826000000000001</v>
      </c>
      <c r="L50" s="103">
        <v>13.771000000000001</v>
      </c>
      <c r="M50" s="103">
        <v>13.715999999999999</v>
      </c>
    </row>
    <row r="51" spans="1:13" x14ac:dyDescent="0.25">
      <c r="A51" s="98">
        <v>74</v>
      </c>
      <c r="B51" s="103">
        <v>13.657</v>
      </c>
      <c r="C51" s="103">
        <v>13.593999999999999</v>
      </c>
      <c r="D51" s="103">
        <v>13.53</v>
      </c>
      <c r="E51" s="103">
        <v>13.467000000000001</v>
      </c>
      <c r="F51" s="103">
        <v>13.404</v>
      </c>
      <c r="G51" s="103">
        <v>13.34</v>
      </c>
      <c r="H51" s="103">
        <v>13.276999999999999</v>
      </c>
      <c r="I51" s="103">
        <v>13.214</v>
      </c>
      <c r="J51" s="103">
        <v>13.15</v>
      </c>
      <c r="K51" s="103">
        <v>13.087</v>
      </c>
      <c r="L51" s="103">
        <v>13.023999999999999</v>
      </c>
      <c r="M51" s="103">
        <v>12.96</v>
      </c>
    </row>
    <row r="52" spans="1:13" x14ac:dyDescent="0.25">
      <c r="A52" s="98">
        <v>75</v>
      </c>
      <c r="B52" s="103">
        <v>12.901</v>
      </c>
      <c r="C52" s="103">
        <v>12.847</v>
      </c>
      <c r="D52" s="103">
        <v>12.792</v>
      </c>
      <c r="E52" s="103">
        <v>12.738</v>
      </c>
      <c r="F52" s="103">
        <v>12.683</v>
      </c>
      <c r="G52" s="103">
        <v>12.629</v>
      </c>
      <c r="H52" s="103">
        <v>12.574</v>
      </c>
      <c r="I52" s="103">
        <v>12.52</v>
      </c>
      <c r="J52" s="103">
        <v>12.465</v>
      </c>
      <c r="K52" s="103">
        <v>12.41</v>
      </c>
      <c r="L52" s="103">
        <v>12.356</v>
      </c>
      <c r="M52" s="103">
        <v>12.301</v>
      </c>
    </row>
    <row r="53" spans="1:13" x14ac:dyDescent="0.25">
      <c r="A53" s="98">
        <v>76</v>
      </c>
      <c r="B53" s="103">
        <v>12.247</v>
      </c>
      <c r="C53" s="103">
        <v>12.193</v>
      </c>
      <c r="D53" s="103">
        <v>12.138999999999999</v>
      </c>
      <c r="E53" s="103">
        <v>12.085000000000001</v>
      </c>
      <c r="F53" s="103">
        <v>12.031000000000001</v>
      </c>
      <c r="G53" s="103">
        <v>11.977</v>
      </c>
      <c r="H53" s="103">
        <v>11.922000000000001</v>
      </c>
      <c r="I53" s="103">
        <v>11.868</v>
      </c>
      <c r="J53" s="103">
        <v>11.814</v>
      </c>
      <c r="K53" s="103">
        <v>11.76</v>
      </c>
      <c r="L53" s="103">
        <v>11.706</v>
      </c>
      <c r="M53" s="103">
        <v>11.651999999999999</v>
      </c>
    </row>
    <row r="54" spans="1:13" x14ac:dyDescent="0.25">
      <c r="A54" s="98">
        <v>77</v>
      </c>
      <c r="B54" s="103">
        <v>11.598000000000001</v>
      </c>
      <c r="C54" s="103">
        <v>11.545</v>
      </c>
      <c r="D54" s="103">
        <v>11.491</v>
      </c>
      <c r="E54" s="103">
        <v>11.436999999999999</v>
      </c>
      <c r="F54" s="103">
        <v>11.384</v>
      </c>
      <c r="G54" s="103">
        <v>11.33</v>
      </c>
      <c r="H54" s="103">
        <v>11.276999999999999</v>
      </c>
      <c r="I54" s="103">
        <v>11.223000000000001</v>
      </c>
      <c r="J54" s="103">
        <v>11.17</v>
      </c>
      <c r="K54" s="103">
        <v>11.116</v>
      </c>
      <c r="L54" s="103">
        <v>11.063000000000001</v>
      </c>
      <c r="M54" s="103">
        <v>11.009</v>
      </c>
    </row>
    <row r="55" spans="1:13" x14ac:dyDescent="0.25">
      <c r="A55" s="98">
        <v>78</v>
      </c>
      <c r="B55" s="103">
        <v>10.956</v>
      </c>
      <c r="C55" s="103">
        <v>10.903</v>
      </c>
      <c r="D55" s="103">
        <v>10.851000000000001</v>
      </c>
      <c r="E55" s="103">
        <v>10.798</v>
      </c>
      <c r="F55" s="103">
        <v>10.744999999999999</v>
      </c>
      <c r="G55" s="103">
        <v>10.692</v>
      </c>
      <c r="H55" s="103">
        <v>10.64</v>
      </c>
      <c r="I55" s="103">
        <v>10.587</v>
      </c>
      <c r="J55" s="103">
        <v>10.534000000000001</v>
      </c>
      <c r="K55" s="103">
        <v>10.481</v>
      </c>
      <c r="L55" s="103">
        <v>10.429</v>
      </c>
      <c r="M55" s="103">
        <v>10.375999999999999</v>
      </c>
    </row>
    <row r="56" spans="1:13" x14ac:dyDescent="0.25">
      <c r="A56" s="98">
        <v>79</v>
      </c>
      <c r="B56" s="103">
        <v>10.319000000000001</v>
      </c>
      <c r="C56" s="103">
        <v>10.257</v>
      </c>
      <c r="D56" s="103">
        <v>10.195</v>
      </c>
      <c r="E56" s="103">
        <v>10.132999999999999</v>
      </c>
      <c r="F56" s="103">
        <v>10.071999999999999</v>
      </c>
      <c r="G56" s="103">
        <v>10.01</v>
      </c>
      <c r="H56" s="103">
        <v>9.9480000000000004</v>
      </c>
      <c r="I56" s="103">
        <v>9.8859999999999992</v>
      </c>
      <c r="J56" s="103">
        <v>9.8239999999999998</v>
      </c>
      <c r="K56" s="103">
        <v>9.7629999999999999</v>
      </c>
      <c r="L56" s="103">
        <v>9.7010000000000005</v>
      </c>
      <c r="M56" s="103">
        <v>9.6389999999999993</v>
      </c>
    </row>
    <row r="57" spans="1:13" x14ac:dyDescent="0.25">
      <c r="A57" s="98">
        <v>80</v>
      </c>
      <c r="B57" s="103">
        <v>9.5830000000000002</v>
      </c>
      <c r="C57" s="103">
        <v>9.5329999999999995</v>
      </c>
      <c r="D57" s="103">
        <v>9.4819999999999993</v>
      </c>
      <c r="E57" s="103">
        <v>9.4320000000000004</v>
      </c>
      <c r="F57" s="103">
        <v>9.3819999999999997</v>
      </c>
      <c r="G57" s="103">
        <v>9.3309999999999995</v>
      </c>
      <c r="H57" s="103">
        <v>9.2810000000000006</v>
      </c>
      <c r="I57" s="103">
        <v>9.2309999999999999</v>
      </c>
      <c r="J57" s="103">
        <v>9.1809999999999992</v>
      </c>
      <c r="K57" s="103">
        <v>9.1300000000000008</v>
      </c>
      <c r="L57" s="103">
        <v>9.08</v>
      </c>
      <c r="M57" s="103">
        <v>9.0299999999999994</v>
      </c>
    </row>
    <row r="58" spans="1:13" x14ac:dyDescent="0.25">
      <c r="A58" s="98">
        <v>81</v>
      </c>
      <c r="B58" s="103">
        <v>8.98</v>
      </c>
      <c r="C58" s="103">
        <v>8.9309999999999992</v>
      </c>
      <c r="D58" s="103">
        <v>8.8819999999999997</v>
      </c>
      <c r="E58" s="103">
        <v>8.8330000000000002</v>
      </c>
      <c r="F58" s="103">
        <v>8.7840000000000007</v>
      </c>
      <c r="G58" s="103">
        <v>8.7349999999999994</v>
      </c>
      <c r="H58" s="103">
        <v>8.6859999999999999</v>
      </c>
      <c r="I58" s="103">
        <v>8.6370000000000005</v>
      </c>
      <c r="J58" s="103">
        <v>8.5890000000000004</v>
      </c>
      <c r="K58" s="103">
        <v>8.5399999999999991</v>
      </c>
      <c r="L58" s="103">
        <v>8.4909999999999997</v>
      </c>
      <c r="M58" s="103">
        <v>8.4420000000000002</v>
      </c>
    </row>
    <row r="59" spans="1:13" x14ac:dyDescent="0.25">
      <c r="A59" s="98">
        <v>82</v>
      </c>
      <c r="B59" s="103">
        <v>8.3940000000000001</v>
      </c>
      <c r="C59" s="103">
        <v>8.3460000000000001</v>
      </c>
      <c r="D59" s="103">
        <v>8.2989999999999995</v>
      </c>
      <c r="E59" s="103">
        <v>8.2509999999999994</v>
      </c>
      <c r="F59" s="103">
        <v>8.2040000000000006</v>
      </c>
      <c r="G59" s="103">
        <v>8.157</v>
      </c>
      <c r="H59" s="103">
        <v>8.109</v>
      </c>
      <c r="I59" s="103">
        <v>8.0619999999999994</v>
      </c>
      <c r="J59" s="103">
        <v>8.0150000000000006</v>
      </c>
      <c r="K59" s="103">
        <v>7.9669999999999996</v>
      </c>
      <c r="L59" s="103">
        <v>7.92</v>
      </c>
      <c r="M59" s="103">
        <v>7.8719999999999999</v>
      </c>
    </row>
    <row r="60" spans="1:13" x14ac:dyDescent="0.25">
      <c r="A60" s="98">
        <v>83</v>
      </c>
      <c r="B60" s="103">
        <v>7.8259999999999996</v>
      </c>
      <c r="C60" s="103">
        <v>7.78</v>
      </c>
      <c r="D60" s="103">
        <v>7.7350000000000003</v>
      </c>
      <c r="E60" s="103">
        <v>7.6890000000000001</v>
      </c>
      <c r="F60" s="103">
        <v>7.6429999999999998</v>
      </c>
      <c r="G60" s="103">
        <v>7.5979999999999999</v>
      </c>
      <c r="H60" s="103">
        <v>7.5519999999999996</v>
      </c>
      <c r="I60" s="103">
        <v>7.5060000000000002</v>
      </c>
      <c r="J60" s="103">
        <v>7.4610000000000003</v>
      </c>
      <c r="K60" s="103">
        <v>7.415</v>
      </c>
      <c r="L60" s="103">
        <v>7.37</v>
      </c>
      <c r="M60" s="103">
        <v>7.3239999999999998</v>
      </c>
    </row>
    <row r="61" spans="1:13" x14ac:dyDescent="0.25">
      <c r="A61" s="98">
        <v>84</v>
      </c>
      <c r="B61" s="103">
        <v>7.2750000000000004</v>
      </c>
      <c r="C61" s="103">
        <v>7.2220000000000004</v>
      </c>
      <c r="D61" s="103">
        <v>7.1689999999999996</v>
      </c>
      <c r="E61" s="103">
        <v>7.1159999999999997</v>
      </c>
      <c r="F61" s="103">
        <v>7.0629999999999997</v>
      </c>
      <c r="G61" s="103">
        <v>7.01</v>
      </c>
      <c r="H61" s="103">
        <v>6.9569999999999999</v>
      </c>
      <c r="I61" s="103">
        <v>6.9039999999999999</v>
      </c>
      <c r="J61" s="103">
        <v>6.8520000000000003</v>
      </c>
      <c r="K61" s="103">
        <v>6.7990000000000004</v>
      </c>
      <c r="L61" s="103">
        <v>6.7460000000000004</v>
      </c>
      <c r="M61" s="103">
        <v>6.6929999999999996</v>
      </c>
    </row>
    <row r="62" spans="1:13" x14ac:dyDescent="0.25">
      <c r="A62" s="98">
        <v>85</v>
      </c>
      <c r="B62" s="103">
        <v>6.6459999999999999</v>
      </c>
      <c r="C62" s="103">
        <v>6.6040000000000001</v>
      </c>
      <c r="D62" s="103">
        <v>6.5629999999999997</v>
      </c>
      <c r="E62" s="103">
        <v>6.5209999999999999</v>
      </c>
      <c r="F62" s="103">
        <v>6.48</v>
      </c>
      <c r="G62" s="103">
        <v>6.4379999999999997</v>
      </c>
      <c r="H62" s="103">
        <v>6.3959999999999999</v>
      </c>
      <c r="I62" s="103">
        <v>6.3550000000000004</v>
      </c>
      <c r="J62" s="103">
        <v>6.3129999999999997</v>
      </c>
      <c r="K62" s="103">
        <v>6.2720000000000002</v>
      </c>
      <c r="L62" s="103">
        <v>6.23</v>
      </c>
      <c r="M62" s="103">
        <v>6.1890000000000001</v>
      </c>
    </row>
    <row r="63" spans="1:13" x14ac:dyDescent="0.25">
      <c r="A63" s="98">
        <v>86</v>
      </c>
      <c r="B63" s="103">
        <v>6.1479999999999997</v>
      </c>
      <c r="C63" s="103">
        <v>6.109</v>
      </c>
      <c r="D63" s="103">
        <v>6.07</v>
      </c>
      <c r="E63" s="103">
        <v>6.03</v>
      </c>
      <c r="F63" s="103">
        <v>5.9909999999999997</v>
      </c>
      <c r="G63" s="103">
        <v>5.952</v>
      </c>
      <c r="H63" s="103">
        <v>5.9119999999999999</v>
      </c>
      <c r="I63" s="103">
        <v>5.8730000000000002</v>
      </c>
      <c r="J63" s="103">
        <v>5.8330000000000002</v>
      </c>
      <c r="K63" s="103">
        <v>5.7939999999999996</v>
      </c>
      <c r="L63" s="103">
        <v>5.7549999999999999</v>
      </c>
      <c r="M63" s="103">
        <v>5.7149999999999999</v>
      </c>
    </row>
    <row r="64" spans="1:13" x14ac:dyDescent="0.25">
      <c r="A64" s="98">
        <v>87</v>
      </c>
      <c r="B64" s="103">
        <v>5.6769999999999996</v>
      </c>
      <c r="C64" s="103">
        <v>5.64</v>
      </c>
      <c r="D64" s="103">
        <v>5.6029999999999998</v>
      </c>
      <c r="E64" s="103">
        <v>5.5659999999999998</v>
      </c>
      <c r="F64" s="103">
        <v>5.5289999999999999</v>
      </c>
      <c r="G64" s="103">
        <v>5.492</v>
      </c>
      <c r="H64" s="103">
        <v>5.4550000000000001</v>
      </c>
      <c r="I64" s="103">
        <v>5.4180000000000001</v>
      </c>
      <c r="J64" s="103">
        <v>5.3810000000000002</v>
      </c>
      <c r="K64" s="103">
        <v>5.3440000000000003</v>
      </c>
      <c r="L64" s="103">
        <v>5.3070000000000004</v>
      </c>
      <c r="M64" s="103">
        <v>5.27</v>
      </c>
    </row>
    <row r="65" spans="1:13" x14ac:dyDescent="0.25">
      <c r="A65" s="98">
        <v>88</v>
      </c>
      <c r="B65" s="103">
        <v>5.234</v>
      </c>
      <c r="C65" s="103">
        <v>5.2</v>
      </c>
      <c r="D65" s="103">
        <v>5.165</v>
      </c>
      <c r="E65" s="103">
        <v>5.1310000000000002</v>
      </c>
      <c r="F65" s="103">
        <v>5.0960000000000001</v>
      </c>
      <c r="G65" s="103">
        <v>5.0620000000000003</v>
      </c>
      <c r="H65" s="103">
        <v>5.0270000000000001</v>
      </c>
      <c r="I65" s="103">
        <v>4.992</v>
      </c>
      <c r="J65" s="103">
        <v>4.9580000000000002</v>
      </c>
      <c r="K65" s="103">
        <v>4.923</v>
      </c>
      <c r="L65" s="103">
        <v>4.8890000000000002</v>
      </c>
      <c r="M65" s="103">
        <v>4.8540000000000001</v>
      </c>
    </row>
    <row r="66" spans="1:13" x14ac:dyDescent="0.25">
      <c r="A66" s="98">
        <v>89</v>
      </c>
      <c r="B66" s="103">
        <v>4.8170000000000002</v>
      </c>
      <c r="C66" s="103">
        <v>4.7770000000000001</v>
      </c>
      <c r="D66" s="103">
        <v>4.7380000000000004</v>
      </c>
      <c r="E66" s="103">
        <v>4.6980000000000004</v>
      </c>
      <c r="F66" s="103">
        <v>4.6580000000000004</v>
      </c>
      <c r="G66" s="103">
        <v>4.6189999999999998</v>
      </c>
      <c r="H66" s="103">
        <v>4.5789999999999997</v>
      </c>
      <c r="I66" s="103">
        <v>4.5389999999999997</v>
      </c>
      <c r="J66" s="103">
        <v>4.4989999999999997</v>
      </c>
      <c r="K66" s="103">
        <v>4.46</v>
      </c>
      <c r="L66" s="103">
        <v>4.42</v>
      </c>
      <c r="M66" s="103">
        <v>4.38</v>
      </c>
    </row>
    <row r="67" spans="1:13" x14ac:dyDescent="0.25">
      <c r="A67" s="98">
        <v>90</v>
      </c>
      <c r="B67" s="103">
        <v>4.3460000000000001</v>
      </c>
      <c r="C67" s="103">
        <v>4.3159999999999998</v>
      </c>
      <c r="D67" s="103">
        <v>4.2869999999999999</v>
      </c>
      <c r="E67" s="103">
        <v>4.2569999999999997</v>
      </c>
      <c r="F67" s="103">
        <v>4.2279999999999998</v>
      </c>
      <c r="G67" s="103">
        <v>4.1980000000000004</v>
      </c>
      <c r="H67" s="103">
        <v>4.1689999999999996</v>
      </c>
      <c r="I67" s="103">
        <v>4.1390000000000002</v>
      </c>
      <c r="J67" s="103">
        <v>4.1100000000000003</v>
      </c>
      <c r="K67" s="103">
        <v>4.08</v>
      </c>
      <c r="L67" s="103">
        <v>4.0510000000000002</v>
      </c>
      <c r="M67" s="103">
        <v>4.0220000000000002</v>
      </c>
    </row>
    <row r="68" spans="1:13" x14ac:dyDescent="0.25">
      <c r="A68" s="98">
        <v>91</v>
      </c>
      <c r="B68" s="103">
        <v>3.9929999999999999</v>
      </c>
      <c r="C68" s="103">
        <v>3.9660000000000002</v>
      </c>
      <c r="D68" s="103">
        <v>3.9390000000000001</v>
      </c>
      <c r="E68" s="103">
        <v>3.9119999999999999</v>
      </c>
      <c r="F68" s="103">
        <v>3.8849999999999998</v>
      </c>
      <c r="G68" s="103">
        <v>3.8580000000000001</v>
      </c>
      <c r="H68" s="103">
        <v>3.831</v>
      </c>
      <c r="I68" s="103">
        <v>3.8039999999999998</v>
      </c>
      <c r="J68" s="103">
        <v>3.7770000000000001</v>
      </c>
      <c r="K68" s="103">
        <v>3.75</v>
      </c>
      <c r="L68" s="103">
        <v>3.7229999999999999</v>
      </c>
      <c r="M68" s="103">
        <v>3.6960000000000002</v>
      </c>
    </row>
    <row r="69" spans="1:13" x14ac:dyDescent="0.25">
      <c r="A69" s="98">
        <v>92</v>
      </c>
      <c r="B69" s="103">
        <v>3.6709999999999998</v>
      </c>
      <c r="C69" s="103">
        <v>3.6459999999999999</v>
      </c>
      <c r="D69" s="103">
        <v>3.621</v>
      </c>
      <c r="E69" s="103">
        <v>3.597</v>
      </c>
      <c r="F69" s="103">
        <v>3.5720000000000001</v>
      </c>
      <c r="G69" s="103">
        <v>3.5470000000000002</v>
      </c>
      <c r="H69" s="103">
        <v>3.5230000000000001</v>
      </c>
      <c r="I69" s="103">
        <v>3.4980000000000002</v>
      </c>
      <c r="J69" s="103">
        <v>3.4740000000000002</v>
      </c>
      <c r="K69" s="103">
        <v>3.4489999999999998</v>
      </c>
      <c r="L69" s="103">
        <v>3.4239999999999999</v>
      </c>
      <c r="M69" s="103">
        <v>3.4</v>
      </c>
    </row>
    <row r="70" spans="1:13" x14ac:dyDescent="0.25">
      <c r="A70" s="98">
        <v>93</v>
      </c>
      <c r="B70" s="103">
        <v>3.3759999999999999</v>
      </c>
      <c r="C70" s="103">
        <v>3.3540000000000001</v>
      </c>
      <c r="D70" s="103">
        <v>3.3319999999999999</v>
      </c>
      <c r="E70" s="103">
        <v>3.3090000000000002</v>
      </c>
      <c r="F70" s="103">
        <v>3.2869999999999999</v>
      </c>
      <c r="G70" s="103">
        <v>3.2650000000000001</v>
      </c>
      <c r="H70" s="103">
        <v>3.2429999999999999</v>
      </c>
      <c r="I70" s="103">
        <v>3.22</v>
      </c>
      <c r="J70" s="103">
        <v>3.198</v>
      </c>
      <c r="K70" s="103">
        <v>3.1760000000000002</v>
      </c>
      <c r="L70" s="103">
        <v>3.153</v>
      </c>
      <c r="M70" s="103">
        <v>3.1309999999999998</v>
      </c>
    </row>
    <row r="71" spans="1:13" x14ac:dyDescent="0.25">
      <c r="A71" s="98">
        <v>94</v>
      </c>
      <c r="B71" s="103">
        <v>3.11</v>
      </c>
      <c r="C71" s="103">
        <v>3.089</v>
      </c>
      <c r="D71" s="103">
        <v>3.069</v>
      </c>
      <c r="E71" s="103">
        <v>3.0489999999999999</v>
      </c>
      <c r="F71" s="103">
        <v>3.0289999999999999</v>
      </c>
      <c r="G71" s="103">
        <v>3.008</v>
      </c>
      <c r="H71" s="103">
        <v>2.988</v>
      </c>
      <c r="I71" s="103">
        <v>2.968</v>
      </c>
      <c r="J71" s="103">
        <v>2.9470000000000001</v>
      </c>
      <c r="K71" s="103">
        <v>2.927</v>
      </c>
      <c r="L71" s="103">
        <v>2.907</v>
      </c>
      <c r="M71" s="103">
        <v>2.8860000000000001</v>
      </c>
    </row>
    <row r="72" spans="1:13" x14ac:dyDescent="0.25">
      <c r="A72" s="98">
        <v>95</v>
      </c>
      <c r="B72" s="103">
        <v>2.867</v>
      </c>
      <c r="C72" s="103">
        <v>2.8490000000000002</v>
      </c>
      <c r="D72" s="103">
        <v>2.831</v>
      </c>
      <c r="E72" s="103">
        <v>2.8130000000000002</v>
      </c>
      <c r="F72" s="103">
        <v>2.7949999999999999</v>
      </c>
      <c r="G72" s="103">
        <v>2.7770000000000001</v>
      </c>
      <c r="H72" s="103">
        <v>2.758</v>
      </c>
      <c r="I72" s="103">
        <v>2.74</v>
      </c>
      <c r="J72" s="103">
        <v>2.722</v>
      </c>
      <c r="K72" s="103">
        <v>2.7040000000000002</v>
      </c>
      <c r="L72" s="103">
        <v>2.6859999999999999</v>
      </c>
      <c r="M72" s="103">
        <v>2.6680000000000001</v>
      </c>
    </row>
    <row r="73" spans="1:13" x14ac:dyDescent="0.25">
      <c r="A73" s="98">
        <v>96</v>
      </c>
      <c r="B73" s="103">
        <v>2.6509999999999998</v>
      </c>
      <c r="C73" s="103">
        <v>2.6349999999999998</v>
      </c>
      <c r="D73" s="103">
        <v>2.6179999999999999</v>
      </c>
      <c r="E73" s="103">
        <v>2.6019999999999999</v>
      </c>
      <c r="F73" s="103">
        <v>2.5859999999999999</v>
      </c>
      <c r="G73" s="103">
        <v>2.57</v>
      </c>
      <c r="H73" s="103">
        <v>2.5539999999999998</v>
      </c>
      <c r="I73" s="103">
        <v>2.5379999999999998</v>
      </c>
      <c r="J73" s="103">
        <v>2.5219999999999998</v>
      </c>
      <c r="K73" s="103">
        <v>2.5059999999999998</v>
      </c>
      <c r="L73" s="103">
        <v>2.4889999999999999</v>
      </c>
      <c r="M73" s="103">
        <v>2.4729999999999999</v>
      </c>
    </row>
    <row r="74" spans="1:13" x14ac:dyDescent="0.25">
      <c r="A74" s="98">
        <v>97</v>
      </c>
      <c r="B74" s="103">
        <v>2.4580000000000002</v>
      </c>
      <c r="C74" s="103">
        <v>2.444</v>
      </c>
      <c r="D74" s="103">
        <v>2.4289999999999998</v>
      </c>
      <c r="E74" s="103">
        <v>2.415</v>
      </c>
      <c r="F74" s="103">
        <v>2.4009999999999998</v>
      </c>
      <c r="G74" s="103">
        <v>2.387</v>
      </c>
      <c r="H74" s="103">
        <v>2.3719999999999999</v>
      </c>
      <c r="I74" s="103">
        <v>2.3580000000000001</v>
      </c>
      <c r="J74" s="103">
        <v>2.3439999999999999</v>
      </c>
      <c r="K74" s="103">
        <v>2.3290000000000002</v>
      </c>
      <c r="L74" s="103">
        <v>2.3149999999999999</v>
      </c>
      <c r="M74" s="103">
        <v>2.3010000000000002</v>
      </c>
    </row>
    <row r="75" spans="1:13" x14ac:dyDescent="0.25">
      <c r="A75" s="98">
        <v>98</v>
      </c>
      <c r="B75" s="103">
        <v>2.2879999999999998</v>
      </c>
      <c r="C75" s="103">
        <v>2.2749999999999999</v>
      </c>
      <c r="D75" s="103">
        <v>2.2629999999999999</v>
      </c>
      <c r="E75" s="103">
        <v>2.2509999999999999</v>
      </c>
      <c r="F75" s="103">
        <v>2.2389999999999999</v>
      </c>
      <c r="G75" s="103">
        <v>2.2269999999999999</v>
      </c>
      <c r="H75" s="103">
        <v>2.2149999999999999</v>
      </c>
      <c r="I75" s="103">
        <v>2.202</v>
      </c>
      <c r="J75" s="103">
        <v>2.19</v>
      </c>
      <c r="K75" s="103">
        <v>2.1779999999999999</v>
      </c>
      <c r="L75" s="103">
        <v>2.1659999999999999</v>
      </c>
      <c r="M75" s="103">
        <v>2.1539999999999999</v>
      </c>
    </row>
    <row r="76" spans="1:13" x14ac:dyDescent="0.25">
      <c r="A76" s="98">
        <v>99</v>
      </c>
      <c r="B76" s="103">
        <v>2.1429999999999998</v>
      </c>
      <c r="C76" s="103">
        <v>2.1339999999999999</v>
      </c>
      <c r="D76" s="103">
        <v>2.125</v>
      </c>
      <c r="E76" s="103">
        <v>2.1160000000000001</v>
      </c>
      <c r="F76" s="103">
        <v>2.1070000000000002</v>
      </c>
      <c r="G76" s="103">
        <v>2.0979999999999999</v>
      </c>
      <c r="H76" s="103">
        <v>2.089</v>
      </c>
      <c r="I76" s="103">
        <v>2.08</v>
      </c>
      <c r="J76" s="103">
        <v>2.0710000000000002</v>
      </c>
      <c r="K76" s="103">
        <v>2.0619999999999998</v>
      </c>
      <c r="L76" s="103">
        <v>2.0529999999999999</v>
      </c>
      <c r="M76" s="103">
        <v>2.044</v>
      </c>
    </row>
    <row r="77" spans="1:13" x14ac:dyDescent="0.25">
      <c r="A77" s="98">
        <v>100</v>
      </c>
      <c r="B77" s="103">
        <v>2.036</v>
      </c>
      <c r="C77" s="103">
        <v>2.0299999999999998</v>
      </c>
      <c r="D77" s="103">
        <v>2.0230000000000001</v>
      </c>
      <c r="E77" s="103">
        <v>2.0169999999999999</v>
      </c>
      <c r="F77" s="103">
        <v>2.0099999999999998</v>
      </c>
      <c r="G77" s="103">
        <v>2.0030000000000001</v>
      </c>
      <c r="H77" s="103">
        <v>1.9970000000000001</v>
      </c>
      <c r="I77" s="103">
        <v>1.99</v>
      </c>
      <c r="J77" s="103">
        <v>1.984</v>
      </c>
      <c r="K77" s="103">
        <v>1.9770000000000001</v>
      </c>
      <c r="L77" s="103">
        <v>1.9710000000000001</v>
      </c>
      <c r="M77" s="103">
        <v>1.964</v>
      </c>
    </row>
    <row r="78" spans="1:13" x14ac:dyDescent="0.25">
      <c r="A78" s="98">
        <v>101</v>
      </c>
      <c r="B78" s="103">
        <v>1.9610000000000001</v>
      </c>
      <c r="C78" s="103"/>
      <c r="D78" s="103"/>
      <c r="E78" s="103"/>
      <c r="F78" s="103"/>
      <c r="G78" s="103"/>
      <c r="H78" s="103"/>
      <c r="I78" s="103"/>
      <c r="J78" s="103"/>
      <c r="K78" s="103"/>
      <c r="L78" s="103"/>
      <c r="M78" s="103"/>
    </row>
  </sheetData>
  <sheetProtection algorithmName="SHA-512" hashValue="Bl6HazF9bopMhXsXfuNXTlsWYU62hOK+Ao47hvwFa7Vrk60logpBKm2Uq1QrJtiKIKtacJ2205N2evdELDhXbQ==" saltValue="J37IRaBcaLRezM81fxkUwQ==" spinCount="100000" sheet="1" objects="1" scenarios="1"/>
  <conditionalFormatting sqref="A6:A21">
    <cfRule type="expression" dxfId="239" priority="11" stopIfTrue="1">
      <formula>MOD(ROW(),2)=0</formula>
    </cfRule>
    <cfRule type="expression" dxfId="238" priority="12" stopIfTrue="1">
      <formula>MOD(ROW(),2)&lt;&gt;0</formula>
    </cfRule>
  </conditionalFormatting>
  <conditionalFormatting sqref="A26:A78">
    <cfRule type="expression" dxfId="237" priority="3" stopIfTrue="1">
      <formula>MOD(ROW(),2)=0</formula>
    </cfRule>
    <cfRule type="expression" dxfId="236" priority="4" stopIfTrue="1">
      <formula>MOD(ROW(),2)&lt;&gt;0</formula>
    </cfRule>
  </conditionalFormatting>
  <conditionalFormatting sqref="B17:B21">
    <cfRule type="expression" dxfId="235" priority="1" stopIfTrue="1">
      <formula>MOD(ROW(),2)=0</formula>
    </cfRule>
    <cfRule type="expression" dxfId="234" priority="2" stopIfTrue="1">
      <formula>MOD(ROW(),2)&lt;&gt;0</formula>
    </cfRule>
  </conditionalFormatting>
  <conditionalFormatting sqref="B6:M21">
    <cfRule type="expression" dxfId="233" priority="19" stopIfTrue="1">
      <formula>MOD(ROW(),2)=0</formula>
    </cfRule>
    <cfRule type="expression" dxfId="232" priority="20" stopIfTrue="1">
      <formula>MOD(ROW(),2)&lt;&gt;0</formula>
    </cfRule>
  </conditionalFormatting>
  <conditionalFormatting sqref="B26:M78">
    <cfRule type="expression" dxfId="231" priority="5" stopIfTrue="1">
      <formula>MOD(ROW(),2)=0</formula>
    </cfRule>
    <cfRule type="expression" dxfId="230" priority="6" stopIfTrue="1">
      <formula>MOD(ROW(),2)&lt;&gt;0</formula>
    </cfRule>
  </conditionalFormatting>
  <hyperlinks>
    <hyperlink ref="B24" location="Assumptions!A1" display="Assumptions" xr:uid="{BA8B3651-401D-4299-834E-074660D28DA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78"/>
  <dimension ref="A1:M46"/>
  <sheetViews>
    <sheetView showGridLines="0" zoomScale="85" zoomScaleNormal="85" workbookViewId="0">
      <selection activeCell="A4" sqref="A4"/>
    </sheetView>
  </sheetViews>
  <sheetFormatPr defaultColWidth="10" defaultRowHeight="12.5" x14ac:dyDescent="0.25"/>
  <cols>
    <col min="1" max="1" width="31.54296875" style="26" customWidth="1"/>
    <col min="2" max="13" width="22.54296875" style="26" customWidth="1"/>
    <col min="14" max="16384" width="10" style="26"/>
  </cols>
  <sheetData>
    <row r="1" spans="1:13" ht="20" x14ac:dyDescent="0.4">
      <c r="A1" s="37" t="s">
        <v>0</v>
      </c>
      <c r="B1" s="38"/>
      <c r="C1" s="38"/>
      <c r="D1" s="38"/>
      <c r="E1" s="38"/>
      <c r="F1" s="38"/>
      <c r="G1" s="38"/>
      <c r="H1" s="38"/>
      <c r="I1" s="38"/>
    </row>
    <row r="2" spans="1:13" ht="15.5" x14ac:dyDescent="0.35">
      <c r="A2" s="39" t="str">
        <f>IF(title="&gt; Enter workbook title here","Enter workbook title in Cover sheet",title)</f>
        <v>NHSPS_S - Consolidated Factor Spreadsheet</v>
      </c>
      <c r="B2" s="40"/>
      <c r="C2" s="40"/>
      <c r="D2" s="40"/>
      <c r="E2" s="40"/>
      <c r="F2" s="40"/>
      <c r="G2" s="40"/>
      <c r="H2" s="40"/>
      <c r="I2" s="40"/>
    </row>
    <row r="3" spans="1:13" ht="15.5" x14ac:dyDescent="0.35">
      <c r="A3" s="41" t="str">
        <f>TABLE_FACTOR_TYPE_1&amp;" - x-"&amp;TABLE_SERIES_NUMBER_1</f>
        <v>ERF - x-806</v>
      </c>
      <c r="B3" s="40"/>
      <c r="C3" s="40"/>
      <c r="D3" s="40"/>
      <c r="E3" s="40"/>
      <c r="F3" s="40"/>
      <c r="G3" s="40"/>
      <c r="H3" s="40"/>
      <c r="I3" s="40"/>
    </row>
    <row r="4" spans="1:13" x14ac:dyDescent="0.25">
      <c r="A4" s="42"/>
    </row>
    <row r="6" spans="1:13" ht="13" x14ac:dyDescent="0.3">
      <c r="A6" s="75" t="s">
        <v>274</v>
      </c>
      <c r="B6" s="161" t="s">
        <v>275</v>
      </c>
      <c r="C6" s="161"/>
      <c r="D6" s="161"/>
      <c r="E6" s="161"/>
      <c r="F6" s="161"/>
      <c r="G6" s="161"/>
      <c r="H6" s="161"/>
      <c r="I6" s="161"/>
      <c r="J6" s="161"/>
      <c r="K6" s="161"/>
      <c r="L6" s="161"/>
      <c r="M6" s="161"/>
    </row>
    <row r="7" spans="1:13" x14ac:dyDescent="0.25">
      <c r="A7" s="77" t="s">
        <v>276</v>
      </c>
      <c r="B7" s="161" t="s">
        <v>72</v>
      </c>
      <c r="C7" s="161"/>
      <c r="D7" s="161"/>
      <c r="E7" s="161"/>
      <c r="F7" s="161"/>
      <c r="G7" s="161"/>
      <c r="H7" s="161"/>
      <c r="I7" s="161"/>
      <c r="J7" s="161"/>
      <c r="K7" s="161"/>
      <c r="L7" s="161"/>
      <c r="M7" s="161"/>
    </row>
    <row r="8" spans="1:13" x14ac:dyDescent="0.25">
      <c r="A8" s="77" t="s">
        <v>278</v>
      </c>
      <c r="B8" s="161" t="s">
        <v>74</v>
      </c>
      <c r="C8" s="161"/>
      <c r="D8" s="161"/>
      <c r="E8" s="161"/>
      <c r="F8" s="161"/>
      <c r="G8" s="161"/>
      <c r="H8" s="161"/>
      <c r="I8" s="161"/>
      <c r="J8" s="161"/>
      <c r="K8" s="161"/>
      <c r="L8" s="161"/>
      <c r="M8" s="161"/>
    </row>
    <row r="9" spans="1:13" x14ac:dyDescent="0.25">
      <c r="A9" s="77" t="s">
        <v>280</v>
      </c>
      <c r="B9" s="161" t="s">
        <v>405</v>
      </c>
      <c r="C9" s="161"/>
      <c r="D9" s="161"/>
      <c r="E9" s="161"/>
      <c r="F9" s="161"/>
      <c r="G9" s="161"/>
      <c r="H9" s="161"/>
      <c r="I9" s="161"/>
      <c r="J9" s="161"/>
      <c r="K9" s="161"/>
      <c r="L9" s="161"/>
      <c r="M9" s="161"/>
    </row>
    <row r="10" spans="1:13" x14ac:dyDescent="0.25">
      <c r="A10" s="77" t="s">
        <v>6</v>
      </c>
      <c r="B10" s="161" t="s">
        <v>625</v>
      </c>
      <c r="C10" s="161"/>
      <c r="D10" s="161"/>
      <c r="E10" s="161"/>
      <c r="F10" s="161"/>
      <c r="G10" s="161"/>
      <c r="H10" s="161"/>
      <c r="I10" s="161"/>
      <c r="J10" s="161"/>
      <c r="K10" s="161"/>
      <c r="L10" s="161"/>
      <c r="M10" s="161"/>
    </row>
    <row r="11" spans="1:13" x14ac:dyDescent="0.25">
      <c r="A11" s="77" t="s">
        <v>283</v>
      </c>
      <c r="B11" s="161" t="s">
        <v>355</v>
      </c>
      <c r="C11" s="161"/>
      <c r="D11" s="161"/>
      <c r="E11" s="161"/>
      <c r="F11" s="161"/>
      <c r="G11" s="161"/>
      <c r="H11" s="161"/>
      <c r="I11" s="161"/>
      <c r="J11" s="161"/>
      <c r="K11" s="161"/>
      <c r="L11" s="161"/>
      <c r="M11" s="161"/>
    </row>
    <row r="12" spans="1:13" x14ac:dyDescent="0.25">
      <c r="A12" s="77" t="s">
        <v>285</v>
      </c>
      <c r="B12" s="161" t="s">
        <v>609</v>
      </c>
      <c r="C12" s="161"/>
      <c r="D12" s="161"/>
      <c r="E12" s="161"/>
      <c r="F12" s="161"/>
      <c r="G12" s="161"/>
      <c r="H12" s="161"/>
      <c r="I12" s="161"/>
      <c r="J12" s="161"/>
      <c r="K12" s="161"/>
      <c r="L12" s="161"/>
      <c r="M12" s="161"/>
    </row>
    <row r="13" spans="1:13" x14ac:dyDescent="0.25">
      <c r="A13" s="77" t="s">
        <v>287</v>
      </c>
      <c r="B13" s="161">
        <v>1</v>
      </c>
      <c r="C13" s="161"/>
      <c r="D13" s="161"/>
      <c r="E13" s="161"/>
      <c r="F13" s="161"/>
      <c r="G13" s="161"/>
      <c r="H13" s="161"/>
      <c r="I13" s="161"/>
      <c r="J13" s="161"/>
      <c r="K13" s="161"/>
      <c r="L13" s="161"/>
      <c r="M13" s="161"/>
    </row>
    <row r="14" spans="1:13" x14ac:dyDescent="0.25">
      <c r="A14" s="77" t="s">
        <v>289</v>
      </c>
      <c r="B14" s="161">
        <v>806</v>
      </c>
      <c r="C14" s="161"/>
      <c r="D14" s="161"/>
      <c r="E14" s="161"/>
      <c r="F14" s="161"/>
      <c r="G14" s="161"/>
      <c r="H14" s="161"/>
      <c r="I14" s="161"/>
      <c r="J14" s="161"/>
      <c r="K14" s="161"/>
      <c r="L14" s="161"/>
      <c r="M14" s="161"/>
    </row>
    <row r="15" spans="1:13" x14ac:dyDescent="0.25">
      <c r="A15" s="77" t="s">
        <v>291</v>
      </c>
      <c r="B15" s="161" t="s">
        <v>626</v>
      </c>
      <c r="C15" s="161"/>
      <c r="D15" s="161"/>
      <c r="E15" s="161"/>
      <c r="F15" s="161"/>
      <c r="G15" s="161"/>
      <c r="H15" s="161"/>
      <c r="I15" s="161"/>
      <c r="J15" s="161"/>
      <c r="K15" s="161"/>
      <c r="L15" s="161"/>
      <c r="M15" s="161"/>
    </row>
    <row r="16" spans="1:13" x14ac:dyDescent="0.25">
      <c r="A16" s="77" t="s">
        <v>293</v>
      </c>
      <c r="B16" s="161" t="s">
        <v>627</v>
      </c>
      <c r="C16" s="161"/>
      <c r="D16" s="161"/>
      <c r="E16" s="161"/>
      <c r="F16" s="161"/>
      <c r="G16" s="161"/>
      <c r="H16" s="161"/>
      <c r="I16" s="161"/>
      <c r="J16" s="161"/>
      <c r="K16" s="161"/>
      <c r="L16" s="161"/>
      <c r="M16" s="161"/>
    </row>
    <row r="17" spans="1:13" x14ac:dyDescent="0.25">
      <c r="A17" s="74" t="s">
        <v>760</v>
      </c>
      <c r="B17" s="161"/>
      <c r="C17" s="161"/>
      <c r="D17" s="161"/>
      <c r="E17" s="161"/>
      <c r="F17" s="161"/>
      <c r="G17" s="161"/>
      <c r="H17" s="161"/>
      <c r="I17" s="161"/>
      <c r="J17" s="161"/>
      <c r="K17" s="161"/>
      <c r="L17" s="161"/>
      <c r="M17" s="161"/>
    </row>
    <row r="18" spans="1:13" x14ac:dyDescent="0.25">
      <c r="A18" s="77" t="s">
        <v>297</v>
      </c>
      <c r="B18" s="163">
        <v>45138</v>
      </c>
      <c r="C18" s="161"/>
      <c r="D18" s="161"/>
      <c r="E18" s="161"/>
      <c r="F18" s="161"/>
      <c r="G18" s="161"/>
      <c r="H18" s="161"/>
      <c r="I18" s="161"/>
      <c r="J18" s="161"/>
      <c r="K18" s="161"/>
      <c r="L18" s="161"/>
      <c r="M18" s="161"/>
    </row>
    <row r="19" spans="1:13" x14ac:dyDescent="0.25">
      <c r="A19" s="77" t="s">
        <v>299</v>
      </c>
      <c r="B19" s="163">
        <v>45138</v>
      </c>
      <c r="C19" s="161"/>
      <c r="D19" s="161"/>
      <c r="E19" s="161"/>
      <c r="F19" s="161"/>
      <c r="G19" s="161"/>
      <c r="H19" s="161"/>
      <c r="I19" s="161"/>
      <c r="J19" s="161"/>
      <c r="K19" s="161"/>
      <c r="L19" s="161"/>
      <c r="M19" s="161"/>
    </row>
    <row r="20" spans="1:13" x14ac:dyDescent="0.25">
      <c r="A20" s="77" t="s">
        <v>301</v>
      </c>
      <c r="B20" s="161" t="s">
        <v>314</v>
      </c>
      <c r="C20" s="161"/>
      <c r="D20" s="161"/>
      <c r="E20" s="161"/>
      <c r="F20" s="161"/>
      <c r="G20" s="161"/>
      <c r="H20" s="161"/>
      <c r="I20" s="161"/>
      <c r="J20" s="161"/>
      <c r="K20" s="161"/>
      <c r="L20" s="161"/>
      <c r="M20" s="161"/>
    </row>
    <row r="21" spans="1:13" x14ac:dyDescent="0.25">
      <c r="A21" s="77" t="s">
        <v>307</v>
      </c>
      <c r="B21" s="161" t="s">
        <v>315</v>
      </c>
      <c r="C21" s="161"/>
      <c r="D21" s="161"/>
      <c r="E21" s="161"/>
      <c r="F21" s="161"/>
      <c r="G21" s="161"/>
      <c r="H21" s="161"/>
      <c r="I21" s="161"/>
      <c r="J21" s="161"/>
      <c r="K21" s="161"/>
      <c r="L21" s="161"/>
      <c r="M21" s="161"/>
    </row>
    <row r="23" spans="1:13" x14ac:dyDescent="0.25">
      <c r="B23" s="100" t="str">
        <f>HYPERLINK("#'Factor List'!A1","Back to Factor List")</f>
        <v>Back to Factor List</v>
      </c>
    </row>
    <row r="24" spans="1:13" x14ac:dyDescent="0.25">
      <c r="B24" s="100" t="s">
        <v>13</v>
      </c>
    </row>
    <row r="26" spans="1:13" ht="13" x14ac:dyDescent="0.25">
      <c r="A26" s="97" t="s">
        <v>803</v>
      </c>
      <c r="B26" s="97">
        <v>0</v>
      </c>
      <c r="C26" s="97">
        <v>1</v>
      </c>
      <c r="D26" s="97">
        <v>2</v>
      </c>
      <c r="E26" s="97">
        <v>3</v>
      </c>
      <c r="F26" s="97">
        <v>4</v>
      </c>
      <c r="G26" s="97">
        <v>5</v>
      </c>
      <c r="H26" s="97">
        <v>6</v>
      </c>
      <c r="I26" s="97">
        <v>7</v>
      </c>
      <c r="J26" s="97">
        <v>8</v>
      </c>
      <c r="K26" s="97">
        <v>9</v>
      </c>
      <c r="L26" s="97">
        <v>10</v>
      </c>
      <c r="M26" s="97">
        <v>11</v>
      </c>
    </row>
    <row r="27" spans="1:13" x14ac:dyDescent="0.25">
      <c r="A27" s="98">
        <v>50</v>
      </c>
      <c r="B27" s="103">
        <v>0.155</v>
      </c>
      <c r="C27" s="103">
        <v>0.153</v>
      </c>
      <c r="D27" s="103">
        <v>0.152</v>
      </c>
      <c r="E27" s="103">
        <v>0.151</v>
      </c>
      <c r="F27" s="103">
        <v>0.15</v>
      </c>
      <c r="G27" s="103">
        <v>0.14899999999999999</v>
      </c>
      <c r="H27" s="103">
        <v>0.14699999999999999</v>
      </c>
      <c r="I27" s="103">
        <v>0.14599999999999999</v>
      </c>
      <c r="J27" s="103">
        <v>0.14499999999999999</v>
      </c>
      <c r="K27" s="103">
        <v>0.14399999999999999</v>
      </c>
      <c r="L27" s="103">
        <v>0.14299999999999999</v>
      </c>
      <c r="M27" s="103">
        <v>0.14099999999999999</v>
      </c>
    </row>
    <row r="28" spans="1:13" x14ac:dyDescent="0.25">
      <c r="A28" s="98">
        <v>51</v>
      </c>
      <c r="B28" s="103">
        <v>0.14000000000000001</v>
      </c>
      <c r="C28" s="103">
        <v>0.13900000000000001</v>
      </c>
      <c r="D28" s="103">
        <v>0.13800000000000001</v>
      </c>
      <c r="E28" s="103">
        <v>0.13700000000000001</v>
      </c>
      <c r="F28" s="103">
        <v>0.13500000000000001</v>
      </c>
      <c r="G28" s="103">
        <v>0.13400000000000001</v>
      </c>
      <c r="H28" s="103">
        <v>0.13300000000000001</v>
      </c>
      <c r="I28" s="103">
        <v>0.13200000000000001</v>
      </c>
      <c r="J28" s="103">
        <v>0.13</v>
      </c>
      <c r="K28" s="103">
        <v>0.129</v>
      </c>
      <c r="L28" s="103">
        <v>0.128</v>
      </c>
      <c r="M28" s="103">
        <v>0.127</v>
      </c>
    </row>
    <row r="29" spans="1:13" x14ac:dyDescent="0.25">
      <c r="A29" s="98">
        <v>52</v>
      </c>
      <c r="B29" s="103">
        <v>0.126</v>
      </c>
      <c r="C29" s="103">
        <v>0.124</v>
      </c>
      <c r="D29" s="103">
        <v>0.123</v>
      </c>
      <c r="E29" s="103">
        <v>0.122</v>
      </c>
      <c r="F29" s="103">
        <v>0.121</v>
      </c>
      <c r="G29" s="103">
        <v>0.11899999999999999</v>
      </c>
      <c r="H29" s="103">
        <v>0.11799999999999999</v>
      </c>
      <c r="I29" s="103">
        <v>0.11700000000000001</v>
      </c>
      <c r="J29" s="103">
        <v>0.11600000000000001</v>
      </c>
      <c r="K29" s="103">
        <v>0.114</v>
      </c>
      <c r="L29" s="103">
        <v>0.113</v>
      </c>
      <c r="M29" s="103">
        <v>0.112</v>
      </c>
    </row>
    <row r="30" spans="1:13" x14ac:dyDescent="0.25">
      <c r="A30" s="98">
        <v>53</v>
      </c>
      <c r="B30" s="103">
        <v>0.111</v>
      </c>
      <c r="C30" s="103">
        <v>0.109</v>
      </c>
      <c r="D30" s="103">
        <v>0.108</v>
      </c>
      <c r="E30" s="103">
        <v>0.107</v>
      </c>
      <c r="F30" s="103">
        <v>0.106</v>
      </c>
      <c r="G30" s="103">
        <v>0.104</v>
      </c>
      <c r="H30" s="103">
        <v>0.10299999999999999</v>
      </c>
      <c r="I30" s="103">
        <v>0.10199999999999999</v>
      </c>
      <c r="J30" s="103">
        <v>0.10100000000000001</v>
      </c>
      <c r="K30" s="103">
        <v>9.9000000000000005E-2</v>
      </c>
      <c r="L30" s="103">
        <v>9.8000000000000004E-2</v>
      </c>
      <c r="M30" s="103">
        <v>9.7000000000000003E-2</v>
      </c>
    </row>
    <row r="31" spans="1:13" x14ac:dyDescent="0.25">
      <c r="A31" s="98">
        <v>54</v>
      </c>
      <c r="B31" s="103">
        <v>9.6000000000000002E-2</v>
      </c>
      <c r="C31" s="103">
        <v>9.4E-2</v>
      </c>
      <c r="D31" s="103">
        <v>9.2999999999999999E-2</v>
      </c>
      <c r="E31" s="103">
        <v>9.1999999999999998E-2</v>
      </c>
      <c r="F31" s="103">
        <v>0.09</v>
      </c>
      <c r="G31" s="103">
        <v>8.8999999999999996E-2</v>
      </c>
      <c r="H31" s="103">
        <v>8.7999999999999995E-2</v>
      </c>
      <c r="I31" s="103">
        <v>8.6999999999999994E-2</v>
      </c>
      <c r="J31" s="103">
        <v>8.5000000000000006E-2</v>
      </c>
      <c r="K31" s="103">
        <v>8.4000000000000005E-2</v>
      </c>
      <c r="L31" s="103">
        <v>8.3000000000000004E-2</v>
      </c>
      <c r="M31" s="103">
        <v>8.1000000000000003E-2</v>
      </c>
    </row>
    <row r="32" spans="1:13" x14ac:dyDescent="0.25">
      <c r="A32" s="98">
        <v>55</v>
      </c>
      <c r="B32" s="103">
        <v>0.08</v>
      </c>
      <c r="C32" s="103">
        <v>7.9000000000000001E-2</v>
      </c>
      <c r="D32" s="103">
        <v>7.8E-2</v>
      </c>
      <c r="E32" s="103">
        <v>7.5999999999999998E-2</v>
      </c>
      <c r="F32" s="103">
        <v>7.4999999999999997E-2</v>
      </c>
      <c r="G32" s="103">
        <v>7.3999999999999996E-2</v>
      </c>
      <c r="H32" s="103">
        <v>7.1999999999999995E-2</v>
      </c>
      <c r="I32" s="103">
        <v>7.0999999999999994E-2</v>
      </c>
      <c r="J32" s="103">
        <v>7.0000000000000007E-2</v>
      </c>
      <c r="K32" s="103">
        <v>6.8000000000000005E-2</v>
      </c>
      <c r="L32" s="103">
        <v>6.7000000000000004E-2</v>
      </c>
      <c r="M32" s="103">
        <v>6.6000000000000003E-2</v>
      </c>
    </row>
    <row r="33" spans="1:13" x14ac:dyDescent="0.25">
      <c r="A33" s="98">
        <v>56</v>
      </c>
      <c r="B33" s="103">
        <v>6.5000000000000002E-2</v>
      </c>
      <c r="C33" s="103">
        <v>6.3E-2</v>
      </c>
      <c r="D33" s="103">
        <v>6.2E-2</v>
      </c>
      <c r="E33" s="103">
        <v>6.0999999999999999E-2</v>
      </c>
      <c r="F33" s="103">
        <v>5.8999999999999997E-2</v>
      </c>
      <c r="G33" s="103">
        <v>5.8000000000000003E-2</v>
      </c>
      <c r="H33" s="103">
        <v>5.7000000000000002E-2</v>
      </c>
      <c r="I33" s="103">
        <v>5.5E-2</v>
      </c>
      <c r="J33" s="103">
        <v>5.3999999999999999E-2</v>
      </c>
      <c r="K33" s="103">
        <v>5.2999999999999999E-2</v>
      </c>
      <c r="L33" s="103">
        <v>5.0999999999999997E-2</v>
      </c>
      <c r="M33" s="103">
        <v>0.05</v>
      </c>
    </row>
    <row r="34" spans="1:13" x14ac:dyDescent="0.25">
      <c r="A34" s="98">
        <v>57</v>
      </c>
      <c r="B34" s="103">
        <v>4.9000000000000002E-2</v>
      </c>
      <c r="C34" s="103">
        <v>4.7E-2</v>
      </c>
      <c r="D34" s="103">
        <v>4.5999999999999999E-2</v>
      </c>
      <c r="E34" s="103">
        <v>4.4999999999999998E-2</v>
      </c>
      <c r="F34" s="103">
        <v>4.2999999999999997E-2</v>
      </c>
      <c r="G34" s="103">
        <v>4.2000000000000003E-2</v>
      </c>
      <c r="H34" s="103">
        <v>4.1000000000000002E-2</v>
      </c>
      <c r="I34" s="103">
        <v>3.9E-2</v>
      </c>
      <c r="J34" s="103">
        <v>3.7999999999999999E-2</v>
      </c>
      <c r="K34" s="103">
        <v>3.6999999999999998E-2</v>
      </c>
      <c r="L34" s="103">
        <v>3.5000000000000003E-2</v>
      </c>
      <c r="M34" s="103">
        <v>3.4000000000000002E-2</v>
      </c>
    </row>
    <row r="35" spans="1:13" x14ac:dyDescent="0.25">
      <c r="A35" s="98">
        <v>58</v>
      </c>
      <c r="B35" s="103">
        <v>3.2000000000000001E-2</v>
      </c>
      <c r="C35" s="103">
        <v>3.1E-2</v>
      </c>
      <c r="D35" s="103">
        <v>0.03</v>
      </c>
      <c r="E35" s="103">
        <v>2.8000000000000001E-2</v>
      </c>
      <c r="F35" s="103">
        <v>2.7E-2</v>
      </c>
      <c r="G35" s="103">
        <v>2.5999999999999999E-2</v>
      </c>
      <c r="H35" s="103">
        <v>2.4E-2</v>
      </c>
      <c r="I35" s="103">
        <v>2.3E-2</v>
      </c>
      <c r="J35" s="103">
        <v>2.1999999999999999E-2</v>
      </c>
      <c r="K35" s="103">
        <v>0.02</v>
      </c>
      <c r="L35" s="103">
        <v>1.9E-2</v>
      </c>
      <c r="M35" s="103">
        <v>1.7000000000000001E-2</v>
      </c>
    </row>
    <row r="36" spans="1:13" x14ac:dyDescent="0.25">
      <c r="A36" s="98">
        <v>59</v>
      </c>
      <c r="B36" s="103">
        <v>1.6E-2</v>
      </c>
      <c r="C36" s="103">
        <v>1.4999999999999999E-2</v>
      </c>
      <c r="D36" s="103">
        <v>1.2999999999999999E-2</v>
      </c>
      <c r="E36" s="103">
        <v>1.2E-2</v>
      </c>
      <c r="F36" s="103">
        <v>0.01</v>
      </c>
      <c r="G36" s="103">
        <v>8.9999999999999993E-3</v>
      </c>
      <c r="H36" s="103">
        <v>8.0000000000000002E-3</v>
      </c>
      <c r="I36" s="103">
        <v>6.0000000000000001E-3</v>
      </c>
      <c r="J36" s="103">
        <v>5.0000000000000001E-3</v>
      </c>
      <c r="K36" s="103">
        <v>3.0000000000000001E-3</v>
      </c>
      <c r="L36" s="103">
        <v>2E-3</v>
      </c>
      <c r="M36" s="103">
        <v>1E-3</v>
      </c>
    </row>
    <row r="37" spans="1:13" x14ac:dyDescent="0.25">
      <c r="A37" s="98">
        <v>60</v>
      </c>
      <c r="B37" s="103">
        <v>0</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5bYQxcIyF95RvBnntGRwJO67ppsqS5Ad7EJSNAlypQINWb/iOkpZdCZs2zmLVmvJ1r3ow1JYRZxeRYuq22T6ag==" saltValue="3skxkLd9MacuOeuMkYMcMw==" spinCount="100000" sheet="1" objects="1" scenarios="1"/>
  <conditionalFormatting sqref="A6:A21">
    <cfRule type="expression" dxfId="229" priority="11" stopIfTrue="1">
      <formula>MOD(ROW(),2)=0</formula>
    </cfRule>
    <cfRule type="expression" dxfId="228" priority="12" stopIfTrue="1">
      <formula>MOD(ROW(),2)&lt;&gt;0</formula>
    </cfRule>
  </conditionalFormatting>
  <conditionalFormatting sqref="A26:A37">
    <cfRule type="expression" dxfId="227" priority="3" stopIfTrue="1">
      <formula>MOD(ROW(),2)=0</formula>
    </cfRule>
    <cfRule type="expression" dxfId="226" priority="4" stopIfTrue="1">
      <formula>MOD(ROW(),2)&lt;&gt;0</formula>
    </cfRule>
  </conditionalFormatting>
  <conditionalFormatting sqref="B17:B21">
    <cfRule type="expression" dxfId="225" priority="1" stopIfTrue="1">
      <formula>MOD(ROW(),2)=0</formula>
    </cfRule>
    <cfRule type="expression" dxfId="224" priority="2" stopIfTrue="1">
      <formula>MOD(ROW(),2)&lt;&gt;0</formula>
    </cfRule>
  </conditionalFormatting>
  <conditionalFormatting sqref="B6:M21">
    <cfRule type="expression" dxfId="223" priority="19" stopIfTrue="1">
      <formula>MOD(ROW(),2)=0</formula>
    </cfRule>
    <cfRule type="expression" dxfId="222" priority="20" stopIfTrue="1">
      <formula>MOD(ROW(),2)&lt;&gt;0</formula>
    </cfRule>
  </conditionalFormatting>
  <conditionalFormatting sqref="B26:M37">
    <cfRule type="expression" dxfId="221" priority="5" stopIfTrue="1">
      <formula>MOD(ROW(),2)=0</formula>
    </cfRule>
    <cfRule type="expression" dxfId="220" priority="6" stopIfTrue="1">
      <formula>MOD(ROW(),2)&lt;&gt;0</formula>
    </cfRule>
  </conditionalFormatting>
  <hyperlinks>
    <hyperlink ref="B24" location="Assumptions!A1" display="Assumptions" xr:uid="{EF697ED3-977F-46E8-AA4B-573482EC9196}"/>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GADWRKGRPACTUA-1580777631-136380</_dlc_DocId>
    <HMT_LegacySensitive xmlns="f69fd3ce-e1df-49de-b78d-1d800e75d0a3">false</HMT_LegacySensitive>
    <_dlc_DocIdUrl xmlns="f69fd3ce-e1df-49de-b78d-1d800e75d0a3">
      <Url>https://tris42.sharepoint.com/sites/gad_wrkgrp_actuarial/_layouts/15/DocIdRedir.aspx?ID=GADWRKGRPACTUA-1580777631-136380</Url>
      <Description>GADWRKGRPACTUA-1580777631-136380</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713A79-E892-4A60-99BF-52AB5E4BBE1B}">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www.w3.org/XML/1998/namespace"/>
    <ds:schemaRef ds:uri="f69fd3ce-e1df-49de-b78d-1d800e75d0a3"/>
    <ds:schemaRef ds:uri="62c7038d-3aec-4dd4-8afa-8b92667eb25d"/>
    <ds:schemaRef ds:uri="http://schemas.microsoft.com/sharepoint/v3"/>
    <ds:schemaRef ds:uri="http://purl.org/dc/elements/1.1/"/>
  </ds:schemaRefs>
</ds:datastoreItem>
</file>

<file path=customXml/itemProps2.xml><?xml version="1.0" encoding="utf-8"?>
<ds:datastoreItem xmlns:ds="http://schemas.openxmlformats.org/officeDocument/2006/customXml" ds:itemID="{95E60FD3-D406-43E5-94D8-9ABB2DAB1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CA2250-D9EC-4E56-A162-F1423BAC8E6C}">
  <ds:schemaRefs>
    <ds:schemaRef ds:uri="http://schemas.microsoft.com/sharepoint/v3/contenttype/forms"/>
  </ds:schemaRefs>
</ds:datastoreItem>
</file>

<file path=customXml/itemProps4.xml><?xml version="1.0" encoding="utf-8"?>
<ds:datastoreItem xmlns:ds="http://schemas.openxmlformats.org/officeDocument/2006/customXml" ds:itemID="{FB70A052-81FA-4420-B90D-C1EEF904BC8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119</vt:i4>
      </vt:variant>
      <vt:variant>
        <vt:lpstr>Named Ranges</vt:lpstr>
      </vt:variant>
      <vt:variant>
        <vt:i4>2139</vt:i4>
      </vt:variant>
    </vt:vector>
  </HeadingPairs>
  <TitlesOfParts>
    <vt:vector size="2258" baseType="lpstr">
      <vt:lpstr>Cover</vt:lpstr>
      <vt:lpstr>Purpose of spreadsheet</vt:lpstr>
      <vt:lpstr>Version Control</vt:lpstr>
      <vt:lpstr>Summary - NHSPS_S</vt:lpstr>
      <vt:lpstr>AnnGenHiddenLists</vt:lpstr>
      <vt:lpstr>x-Series Number</vt:lpstr>
      <vt:lpstr>Factor List</vt:lpstr>
      <vt:lpstr>Assumptions</vt:lpstr>
      <vt:lpstr>x-101</vt:lpstr>
      <vt:lpstr>x-102</vt:lpstr>
      <vt:lpstr>x-103</vt:lpstr>
      <vt:lpstr>x-104</vt:lpstr>
      <vt:lpstr>x-201</vt:lpstr>
      <vt:lpstr>x-202</vt:lpstr>
      <vt:lpstr>x-203</vt:lpstr>
      <vt:lpstr>x-204</vt:lpstr>
      <vt:lpstr>x-205</vt:lpstr>
      <vt:lpstr>x-206</vt:lpstr>
      <vt:lpstr>x-207</vt:lpstr>
      <vt:lpstr>x-208</vt:lpstr>
      <vt:lpstr>x-209</vt:lpstr>
      <vt:lpstr>x-214</vt:lpstr>
      <vt:lpstr>x-215</vt:lpstr>
      <vt:lpstr>x-216</vt:lpstr>
      <vt:lpstr>x-217</vt:lpstr>
      <vt:lpstr>x-218</vt:lpstr>
      <vt:lpstr>x-219</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x-424</vt:lpstr>
      <vt:lpstr>x-501</vt:lpstr>
      <vt:lpstr>x-502</vt:lpstr>
      <vt:lpstr>x-503</vt:lpstr>
      <vt:lpstr>x-504</vt:lpstr>
      <vt:lpstr>x-505</vt:lpstr>
      <vt:lpstr>x-605</vt:lpstr>
      <vt:lpstr>x-606</vt:lpstr>
      <vt:lpstr>x-607</vt:lpstr>
      <vt:lpstr>x-608</vt:lpstr>
      <vt:lpstr>x-609</vt:lpstr>
      <vt:lpstr>x-610</vt:lpstr>
      <vt:lpstr>x-611</vt:lpstr>
      <vt:lpstr>x-612</vt:lpstr>
      <vt:lpstr>x-613</vt:lpstr>
      <vt:lpstr>x-614</vt:lpstr>
      <vt:lpstr>x-615</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x-801</vt:lpstr>
      <vt:lpstr>x-802</vt:lpstr>
      <vt:lpstr>x-803</vt:lpstr>
      <vt:lpstr>x-804</vt:lpstr>
      <vt:lpstr>x-805</vt:lpstr>
      <vt:lpstr>x-806</vt:lpstr>
      <vt:lpstr>x-807</vt:lpstr>
      <vt:lpstr>x-808</vt:lpstr>
      <vt:lpstr>x-809</vt:lpstr>
      <vt:lpstr>x-810</vt:lpstr>
      <vt:lpstr>x-811</vt:lpstr>
      <vt:lpstr>x-812</vt:lpstr>
      <vt:lpstr>x-813</vt:lpstr>
      <vt:lpstr>x-814</vt:lpstr>
      <vt:lpstr>x-815</vt:lpstr>
      <vt:lpstr>x-817</vt:lpstr>
      <vt:lpstr>x-818</vt:lpstr>
      <vt:lpstr>x-819</vt:lpstr>
      <vt:lpstr>x-820</vt:lpstr>
      <vt:lpstr>x-821</vt:lpstr>
      <vt:lpstr>x-822</vt:lpstr>
      <vt:lpstr>x-823</vt:lpstr>
      <vt:lpstr>x-824</vt:lpstr>
      <vt:lpstr>x-825</vt:lpstr>
      <vt:lpstr>x-826</vt:lpstr>
      <vt:lpstr>x-827</vt:lpstr>
      <vt:lpstr>BaseTablesList</vt:lpstr>
      <vt:lpstr>DATE_MODIFIED</vt:lpstr>
      <vt:lpstr>ImprovementsList</vt:lpstr>
      <vt:lpstr>new_title</vt:lpstr>
      <vt:lpstr>'Summary - NHSPS_S'!Print_Area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'x-214'!Print_Area</vt:lpstr>
      <vt:lpstr>'x-215'!Print_Area</vt:lpstr>
      <vt:lpstr>'x-216'!Print_Area</vt:lpstr>
      <vt:lpstr>'x-217'!Print_Area</vt:lpstr>
      <vt:lpstr>'x-218'!Print_Area</vt:lpstr>
      <vt:lpstr>'x-219'!Print_Area</vt:lpstr>
      <vt:lpstr>'x-301'!Print_Area</vt:lpstr>
      <vt:lpstr>'x-302'!Print_Area</vt:lpstr>
      <vt:lpstr>'x-303'!Print_Area</vt:lpstr>
      <vt:lpstr>'x-304'!Print_Area</vt:lpstr>
      <vt:lpstr>'x-305'!Print_Area</vt:lpstr>
      <vt:lpstr>'x-306'!Print_Area</vt:lpstr>
      <vt:lpstr>'x-307'!Print_Area</vt:lpstr>
      <vt:lpstr>'x-308'!Print_Area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'x-417'!Print_Area</vt:lpstr>
      <vt:lpstr>'x-418'!Print_Area</vt:lpstr>
      <vt:lpstr>'x-419'!Print_Area</vt:lpstr>
      <vt:lpstr>'x-420'!Print_Area</vt:lpstr>
      <vt:lpstr>'x-421'!Print_Area</vt:lpstr>
      <vt:lpstr>'x-422'!Print_Area</vt:lpstr>
      <vt:lpstr>'x-423'!Print_Area</vt:lpstr>
      <vt:lpstr>'x-424'!Print_Area</vt:lpstr>
      <vt:lpstr>'x-501'!Print_Area</vt:lpstr>
      <vt:lpstr>'x-502'!Print_Area</vt:lpstr>
      <vt:lpstr>'x-503'!Print_Area</vt:lpstr>
      <vt:lpstr>'x-504'!Print_Area</vt:lpstr>
      <vt:lpstr>'x-505'!Print_Area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'x-801'!Print_Area</vt:lpstr>
      <vt:lpstr>'x-802'!Print_Area</vt:lpstr>
      <vt:lpstr>'x-803'!Print_Area</vt:lpstr>
      <vt:lpstr>'x-804'!Print_Area</vt:lpstr>
      <vt:lpstr>'x-805'!Print_Area</vt:lpstr>
      <vt:lpstr>'x-806'!Print_Area</vt:lpstr>
      <vt:lpstr>'x-807'!Print_Area</vt:lpstr>
      <vt:lpstr>'x-808'!Print_Area</vt:lpstr>
      <vt:lpstr>'x-809'!Print_Area</vt:lpstr>
      <vt:lpstr>'x-810'!Print_Area</vt:lpstr>
      <vt:lpstr>'x-811'!Print_Area</vt:lpstr>
      <vt:lpstr>'x-812'!Print_Area</vt:lpstr>
      <vt:lpstr>'x-813'!Print_Area</vt:lpstr>
      <vt:lpstr>'x-814'!Print_Area</vt:lpstr>
      <vt:lpstr>'x-815'!Print_Area</vt:lpstr>
      <vt:lpstr>'x-817'!Print_Area</vt:lpstr>
      <vt:lpstr>'x-818'!Print_Area</vt:lpstr>
      <vt:lpstr>'x-819'!Print_Area</vt:lpstr>
      <vt:lpstr>'x-820'!Print_Area</vt:lpstr>
      <vt:lpstr>'x-821'!Print_Area</vt:lpstr>
      <vt:lpstr>'x-822'!Print_Area</vt:lpstr>
      <vt:lpstr>'x-823'!Print_Area</vt:lpstr>
      <vt:lpstr>'x-824'!Print_Area</vt:lpstr>
      <vt:lpstr>'x-825'!Print_Area</vt:lpstr>
      <vt:lpstr>'x-826'!Print_Area</vt:lpstr>
      <vt:lpstr>'x-827'!Print_Area</vt:lpstr>
      <vt:lpstr>'x-Series Number'!Print_Area</vt:lpstr>
      <vt:lpstr>'x-218'!Print_Titles</vt:lpstr>
      <vt:lpstr>'x-219'!Print_Titles</vt:lpstr>
      <vt:lpstr>'x-424'!Print_Titles</vt:lpstr>
      <vt:lpstr>'x-505'!Print_Titles</vt:lpstr>
      <vt:lpstr>'x-827'!Print_Titles</vt:lpstr>
      <vt:lpstr>TABLE_AGE_DEF</vt:lpstr>
      <vt:lpstr>'x-101'!table_age_def_1</vt:lpstr>
      <vt:lpstr>'x-102'!table_age_def_1</vt:lpstr>
      <vt:lpstr>'x-103'!table_age_def_1</vt:lpstr>
      <vt:lpstr>'x-104'!table_age_def_1</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'x-214'!TABLE_AGE_DEF_1</vt:lpstr>
      <vt:lpstr>'x-215'!TABLE_AGE_DEF_1</vt:lpstr>
      <vt:lpstr>'x-216'!TABLE_AGE_DEF_1</vt:lpstr>
      <vt:lpstr>'x-217'!TABLE_AGE_DEF_1</vt:lpstr>
      <vt:lpstr>'x-218'!TABLE_AGE_DEF_1</vt:lpstr>
      <vt:lpstr>'x-219'!TABLE_AGE_DEF_1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'x-424'!TABLE_AGE_DEF_1</vt:lpstr>
      <vt:lpstr>'x-501'!TABLE_AGE_DEF_1</vt:lpstr>
      <vt:lpstr>'x-502'!TABLE_AGE_DEF_1</vt:lpstr>
      <vt:lpstr>'x-503'!TABLE_AGE_DEF_1</vt:lpstr>
      <vt:lpstr>'x-504'!TABLE_AGE_DEF_1</vt:lpstr>
      <vt:lpstr>'x-505'!TABLE_AGE_DEF_1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'x-809'!TABLE_AGE_DEF_1</vt:lpstr>
      <vt:lpstr>'x-810'!TABLE_AGE_DEF_1</vt:lpstr>
      <vt:lpstr>'x-811'!TABLE_AGE_DEF_1</vt:lpstr>
      <vt:lpstr>'x-812'!TABLE_AGE_DEF_1</vt:lpstr>
      <vt:lpstr>'x-813'!TABLE_AGE_DEF_1</vt:lpstr>
      <vt:lpstr>'x-814'!TABLE_AGE_DEF_1</vt:lpstr>
      <vt:lpstr>'x-815'!TABLE_AGE_DEF_1</vt:lpstr>
      <vt:lpstr>'x-817'!TABLE_AGE_DEF_1</vt:lpstr>
      <vt:lpstr>'x-818'!TABLE_AGE_DEF_1</vt:lpstr>
      <vt:lpstr>'x-819'!TABLE_AGE_DEF_1</vt:lpstr>
      <vt:lpstr>'x-820'!TABLE_AGE_DEF_1</vt:lpstr>
      <vt:lpstr>'x-821'!TABLE_AGE_DEF_1</vt:lpstr>
      <vt:lpstr>'x-822'!TABLE_AGE_DEF_1</vt:lpstr>
      <vt:lpstr>'x-823'!TABLE_AGE_DEF_1</vt:lpstr>
      <vt:lpstr>'x-824'!TABLE_AGE_DEF_1</vt:lpstr>
      <vt:lpstr>'x-825'!TABLE_AGE_DEF_1</vt:lpstr>
      <vt:lpstr>'x-826'!TABLE_AGE_DEF_1</vt:lpstr>
      <vt:lpstr>'x-827'!TABLE_AGE_DEF_1</vt:lpstr>
      <vt:lpstr>'x-204'!TABLE_AGE_DEF_2</vt:lpstr>
      <vt:lpstr>'x-403'!TABLE_AGE_DEF_2</vt:lpstr>
      <vt:lpstr>'x-404'!TABLE_AGE_DEF_2</vt:lpstr>
      <vt:lpstr>'x-409'!TABLE_AGE_DEF_2</vt:lpstr>
      <vt:lpstr>'x-410'!TABLE_AGE_DEF_2</vt:lpstr>
      <vt:lpstr>'x-415'!TABLE_AGE_DEF_2</vt:lpstr>
      <vt:lpstr>'x-810'!TABLE_AGE_DEF_2</vt:lpstr>
      <vt:lpstr>TABLE_AREA</vt:lpstr>
      <vt:lpstr>'x-101'!table_area_1</vt:lpstr>
      <vt:lpstr>'x-102'!table_area_1</vt:lpstr>
      <vt:lpstr>'x-103'!table_area_1</vt:lpstr>
      <vt:lpstr>'x-104'!table_area_1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'x-214'!TABLE_AREA_1</vt:lpstr>
      <vt:lpstr>'x-215'!TABLE_AREA_1</vt:lpstr>
      <vt:lpstr>'x-216'!TABLE_AREA_1</vt:lpstr>
      <vt:lpstr>'x-217'!TABLE_AREA_1</vt:lpstr>
      <vt:lpstr>'x-218'!TABLE_AREA_1</vt:lpstr>
      <vt:lpstr>'x-219'!TABLE_AREA_1</vt:lpstr>
      <vt:lpstr>'x-301'!TABLE_AREA_1</vt:lpstr>
      <vt:lpstr>'x-302'!TABLE_AREA_1</vt:lpstr>
      <vt:lpstr>'x-303'!TABLE_AREA_1</vt:lpstr>
      <vt:lpstr>'x-304'!TABLE_AREA_1</vt:lpstr>
      <vt:lpstr>'x-305'!TABLE_AREA_1</vt:lpstr>
      <vt:lpstr>'x-306'!TABLE_AREA_1</vt:lpstr>
      <vt:lpstr>'x-307'!TABLE_AREA_1</vt:lpstr>
      <vt:lpstr>'x-308'!TABLE_AREA_1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'x-424'!TABLE_AREA_1</vt:lpstr>
      <vt:lpstr>'x-501'!TABLE_AREA_1</vt:lpstr>
      <vt:lpstr>'x-502'!TABLE_AREA_1</vt:lpstr>
      <vt:lpstr>'x-503'!TABLE_AREA_1</vt:lpstr>
      <vt:lpstr>'x-504'!TABLE_AREA_1</vt:lpstr>
      <vt:lpstr>'x-505'!TABLE_AREA_1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'x-804'!TABLE_AREA_1</vt:lpstr>
      <vt:lpstr>'x-805'!TABLE_AREA_1</vt:lpstr>
      <vt:lpstr>'x-806'!TABLE_AREA_1</vt:lpstr>
      <vt:lpstr>'x-807'!TABLE_AREA_1</vt:lpstr>
      <vt:lpstr>'x-808'!TABLE_AREA_1</vt:lpstr>
      <vt:lpstr>'x-809'!TABLE_AREA_1</vt:lpstr>
      <vt:lpstr>'x-810'!TABLE_AREA_1</vt:lpstr>
      <vt:lpstr>'x-811'!TABLE_AREA_1</vt:lpstr>
      <vt:lpstr>'x-812'!TABLE_AREA_1</vt:lpstr>
      <vt:lpstr>'x-813'!TABLE_AREA_1</vt:lpstr>
      <vt:lpstr>'x-814'!TABLE_AREA_1</vt:lpstr>
      <vt:lpstr>'x-815'!TABLE_AREA_1</vt:lpstr>
      <vt:lpstr>'x-817'!TABLE_AREA_1</vt:lpstr>
      <vt:lpstr>'x-818'!TABLE_AREA_1</vt:lpstr>
      <vt:lpstr>'x-819'!TABLE_AREA_1</vt:lpstr>
      <vt:lpstr>'x-820'!TABLE_AREA_1</vt:lpstr>
      <vt:lpstr>'x-821'!TABLE_AREA_1</vt:lpstr>
      <vt:lpstr>'x-822'!TABLE_AREA_1</vt:lpstr>
      <vt:lpstr>'x-823'!TABLE_AREA_1</vt:lpstr>
      <vt:lpstr>'x-824'!TABLE_AREA_1</vt:lpstr>
      <vt:lpstr>'x-825'!TABLE_AREA_1</vt:lpstr>
      <vt:lpstr>'x-826'!TABLE_AREA_1</vt:lpstr>
      <vt:lpstr>'x-827'!TABLE_AREA_1</vt:lpstr>
      <vt:lpstr>'x-204'!TABLE_AREA_2</vt:lpstr>
      <vt:lpstr>'x-403'!TABLE_AREA_2</vt:lpstr>
      <vt:lpstr>'x-404'!TABLE_AREA_2</vt:lpstr>
      <vt:lpstr>'x-409'!TABLE_AREA_2</vt:lpstr>
      <vt:lpstr>'x-410'!TABLE_AREA_2</vt:lpstr>
      <vt:lpstr>'x-415'!TABLE_AREA_2</vt:lpstr>
      <vt:lpstr>'x-810'!TABLE_AREA_2</vt:lpstr>
      <vt:lpstr>'x-101'!TABLE_ASSUMPTION_SET_1</vt:lpstr>
      <vt:lpstr>'x-102'!TABLE_ASSUMPTION_SET_1</vt:lpstr>
      <vt:lpstr>'x-103'!TABLE_ASSUMPTION_SET_1</vt:lpstr>
      <vt:lpstr>'x-104'!TABLE_ASSUMPTION_SET_1</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'x-214'!TABLE_ASSUMPTION_SET_1</vt:lpstr>
      <vt:lpstr>'x-215'!TABLE_ASSUMPTION_SET_1</vt:lpstr>
      <vt:lpstr>'x-216'!TABLE_ASSUMPTION_SET_1</vt:lpstr>
      <vt:lpstr>'x-217'!TABLE_ASSUMPTION_SET_1</vt:lpstr>
      <vt:lpstr>'x-218'!TABLE_ASSUMPTION_SET_1</vt:lpstr>
      <vt:lpstr>'x-219'!TABLE_ASSUMPTION_SET_1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'x-414'!TABLE_ASSUMPTION_SET_1</vt:lpstr>
      <vt:lpstr>'x-415'!TABLE_ASSUMPTION_SET_1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'x-422'!TABLE_ASSUMPTION_SET_1</vt:lpstr>
      <vt:lpstr>'x-423'!TABLE_ASSUMPTION_SET_1</vt:lpstr>
      <vt:lpstr>'x-424'!TABLE_ASSUMPTION_SET_1</vt:lpstr>
      <vt:lpstr>'x-501'!TABLE_ASSUMPTION_SET_1</vt:lpstr>
      <vt:lpstr>'x-502'!TABLE_ASSUMPTION_SET_1</vt:lpstr>
      <vt:lpstr>'x-503'!TABLE_ASSUMPTION_SET_1</vt:lpstr>
      <vt:lpstr>'x-504'!TABLE_ASSUMPTION_SET_1</vt:lpstr>
      <vt:lpstr>'x-505'!TABLE_ASSUMPTION_SET_1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'x-801'!TABLE_ASSUMPTION_SET_1</vt:lpstr>
      <vt:lpstr>'x-802'!TABLE_ASSUMPTION_SET_1</vt:lpstr>
      <vt:lpstr>'x-803'!TABLE_ASSUMPTION_SET_1</vt:lpstr>
      <vt:lpstr>'x-804'!TABLE_ASSUMPTION_SET_1</vt:lpstr>
      <vt:lpstr>'x-805'!TABLE_ASSUMPTION_SET_1</vt:lpstr>
      <vt:lpstr>'x-806'!TABLE_ASSUMPTION_SET_1</vt:lpstr>
      <vt:lpstr>'x-807'!TABLE_ASSUMPTION_SET_1</vt:lpstr>
      <vt:lpstr>'x-808'!TABLE_ASSUMPTION_SET_1</vt:lpstr>
      <vt:lpstr>'x-809'!TABLE_ASSUMPTION_SET_1</vt:lpstr>
      <vt:lpstr>'x-810'!TABLE_ASSUMPTION_SET_1</vt:lpstr>
      <vt:lpstr>'x-811'!TABLE_ASSUMPTION_SET_1</vt:lpstr>
      <vt:lpstr>'x-812'!TABLE_ASSUMPTION_SET_1</vt:lpstr>
      <vt:lpstr>'x-813'!TABLE_ASSUMPTION_SET_1</vt:lpstr>
      <vt:lpstr>'x-814'!TABLE_ASSUMPTION_SET_1</vt:lpstr>
      <vt:lpstr>'x-815'!TABLE_ASSUMPTION_SET_1</vt:lpstr>
      <vt:lpstr>'x-817'!TABLE_ASSUMPTION_SET_1</vt:lpstr>
      <vt:lpstr>'x-818'!TABLE_ASSUMPTION_SET_1</vt:lpstr>
      <vt:lpstr>'x-819'!TABLE_ASSUMPTION_SET_1</vt:lpstr>
      <vt:lpstr>'x-820'!TABLE_ASSUMPTION_SET_1</vt:lpstr>
      <vt:lpstr>'x-821'!TABLE_ASSUMPTION_SET_1</vt:lpstr>
      <vt:lpstr>'x-822'!TABLE_ASSUMPTION_SET_1</vt:lpstr>
      <vt:lpstr>'x-823'!TABLE_ASSUMPTION_SET_1</vt:lpstr>
      <vt:lpstr>'x-824'!TABLE_ASSUMPTION_SET_1</vt:lpstr>
      <vt:lpstr>'x-825'!TABLE_ASSUMPTION_SET_1</vt:lpstr>
      <vt:lpstr>'x-826'!TABLE_ASSUMPTION_SET_1</vt:lpstr>
      <vt:lpstr>'x-827'!TABLE_ASSUMPTION_SET_1</vt:lpstr>
      <vt:lpstr>'x-204'!TABLE_ASSUMPTION_SET_2</vt:lpstr>
      <vt:lpstr>'x-403'!TABLE_ASSUMPTION_SET_2</vt:lpstr>
      <vt:lpstr>'x-404'!TABLE_ASSUMPTION_SET_2</vt:lpstr>
      <vt:lpstr>'x-409'!TABLE_ASSUMPTION_SET_2</vt:lpstr>
      <vt:lpstr>'x-410'!TABLE_ASSUMPTION_SET_2</vt:lpstr>
      <vt:lpstr>'x-415'!TABLE_ASSUMPTION_SET_2</vt:lpstr>
      <vt:lpstr>'x-810'!TABLE_ASSUMPTION_SET_2</vt:lpstr>
      <vt:lpstr>TABLE_CLIENT</vt:lpstr>
      <vt:lpstr>'x-101'!table_client_1</vt:lpstr>
      <vt:lpstr>'x-102'!table_client_1</vt:lpstr>
      <vt:lpstr>'x-103'!table_client_1</vt:lpstr>
      <vt:lpstr>'x-104'!table_client_1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'x-214'!TABLE_CLIENT_1</vt:lpstr>
      <vt:lpstr>'x-215'!TABLE_CLIENT_1</vt:lpstr>
      <vt:lpstr>'x-216'!TABLE_CLIENT_1</vt:lpstr>
      <vt:lpstr>'x-217'!TABLE_CLIENT_1</vt:lpstr>
      <vt:lpstr>'x-218'!TABLE_CLIENT_1</vt:lpstr>
      <vt:lpstr>'x-219'!TABLE_CLIENT_1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'x-424'!TABLE_CLIENT_1</vt:lpstr>
      <vt:lpstr>'x-501'!TABLE_CLIENT_1</vt:lpstr>
      <vt:lpstr>'x-502'!TABLE_CLIENT_1</vt:lpstr>
      <vt:lpstr>'x-503'!TABLE_CLIENT_1</vt:lpstr>
      <vt:lpstr>'x-504'!TABLE_CLIENT_1</vt:lpstr>
      <vt:lpstr>'x-505'!TABLE_CLIENT_1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'x-809'!TABLE_CLIENT_1</vt:lpstr>
      <vt:lpstr>'x-810'!TABLE_CLIENT_1</vt:lpstr>
      <vt:lpstr>'x-811'!TABLE_CLIENT_1</vt:lpstr>
      <vt:lpstr>'x-812'!TABLE_CLIENT_1</vt:lpstr>
      <vt:lpstr>'x-813'!TABLE_CLIENT_1</vt:lpstr>
      <vt:lpstr>'x-814'!TABLE_CLIENT_1</vt:lpstr>
      <vt:lpstr>'x-815'!TABLE_CLIENT_1</vt:lpstr>
      <vt:lpstr>'x-817'!TABLE_CLIENT_1</vt:lpstr>
      <vt:lpstr>'x-818'!TABLE_CLIENT_1</vt:lpstr>
      <vt:lpstr>'x-819'!TABLE_CLIENT_1</vt:lpstr>
      <vt:lpstr>'x-820'!TABLE_CLIENT_1</vt:lpstr>
      <vt:lpstr>'x-821'!TABLE_CLIENT_1</vt:lpstr>
      <vt:lpstr>'x-822'!TABLE_CLIENT_1</vt:lpstr>
      <vt:lpstr>'x-823'!TABLE_CLIENT_1</vt:lpstr>
      <vt:lpstr>'x-824'!TABLE_CLIENT_1</vt:lpstr>
      <vt:lpstr>'x-825'!TABLE_CLIENT_1</vt:lpstr>
      <vt:lpstr>'x-826'!TABLE_CLIENT_1</vt:lpstr>
      <vt:lpstr>'x-827'!TABLE_CLIENT_1</vt:lpstr>
      <vt:lpstr>'x-204'!TABLE_CLIENT_2</vt:lpstr>
      <vt:lpstr>'x-403'!TABLE_CLIENT_2</vt:lpstr>
      <vt:lpstr>'x-404'!TABLE_CLIENT_2</vt:lpstr>
      <vt:lpstr>'x-409'!TABLE_CLIENT_2</vt:lpstr>
      <vt:lpstr>'x-410'!TABLE_CLIENT_2</vt:lpstr>
      <vt:lpstr>'x-415'!TABLE_CLIENT_2</vt:lpstr>
      <vt:lpstr>'x-810'!TABLE_CLIENT_2</vt:lpstr>
      <vt:lpstr>TABLE_DATE_IMPLEMENTED</vt:lpstr>
      <vt:lpstr>'x-101'!table_date_implemented_1</vt:lpstr>
      <vt:lpstr>'x-102'!table_date_implemented_1</vt:lpstr>
      <vt:lpstr>'x-103'!table_date_implemented_1</vt:lpstr>
      <vt:lpstr>'x-104'!table_date_implemented_1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'x-501'!TABLE_DATE_IMPLEMENTED_1</vt:lpstr>
      <vt:lpstr>'x-502'!TABLE_DATE_IMPLEMENTED_1</vt:lpstr>
      <vt:lpstr>'x-503'!TABLE_DATE_IMPLEMENTED_1</vt:lpstr>
      <vt:lpstr>'x-504'!TABLE_DATE_IMPLEMENTED_1</vt:lpstr>
      <vt:lpstr>'x-505'!TABLE_DATE_IMPLEMENTED_1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'x-817'!TABLE_DATE_IMPLEMENTED_1</vt:lpstr>
      <vt:lpstr>'x-818'!TABLE_DATE_IMPLEMENTED_1</vt:lpstr>
      <vt:lpstr>'x-819'!TABLE_DATE_IMPLEMENTED_1</vt:lpstr>
      <vt:lpstr>'x-820'!TABLE_DATE_IMPLEMENTED_1</vt:lpstr>
      <vt:lpstr>'x-821'!TABLE_DATE_IMPLEMENTED_1</vt:lpstr>
      <vt:lpstr>'x-822'!TABLE_DATE_IMPLEMENTED_1</vt:lpstr>
      <vt:lpstr>'x-823'!TABLE_DATE_IMPLEMENTED_1</vt:lpstr>
      <vt:lpstr>'x-824'!TABLE_DATE_IMPLEMENTED_1</vt:lpstr>
      <vt:lpstr>'x-825'!TABLE_DATE_IMPLEMENTED_1</vt:lpstr>
      <vt:lpstr>'x-826'!TABLE_DATE_IMPLEMENTED_1</vt:lpstr>
      <vt:lpstr>'x-827'!TABLE_DATE_IMPLEMENTED_1</vt:lpstr>
      <vt:lpstr>'x-204'!TABLE_DATE_IMPLEMENTED_2</vt:lpstr>
      <vt:lpstr>'x-403'!TABLE_DATE_IMPLEMENTED_2</vt:lpstr>
      <vt:lpstr>'x-404'!TABLE_DATE_IMPLEMENTED_2</vt:lpstr>
      <vt:lpstr>'x-409'!TABLE_DATE_IMPLEMENTED_2</vt:lpstr>
      <vt:lpstr>'x-410'!TABLE_DATE_IMPLEMENTED_2</vt:lpstr>
      <vt:lpstr>'x-415'!TABLE_DATE_IMPLEMENTED_2</vt:lpstr>
      <vt:lpstr>'x-810'!TABLE_DATE_IMPLEMENTED_2</vt:lpstr>
      <vt:lpstr>TABLE_DATE_ISSUED</vt:lpstr>
      <vt:lpstr>'x-101'!table_date_issued_1</vt:lpstr>
      <vt:lpstr>'x-102'!table_date_issued_1</vt:lpstr>
      <vt:lpstr>'x-103'!table_date_issued_1</vt:lpstr>
      <vt:lpstr>'x-104'!table_date_issued_1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'x-214'!TABLE_DATE_ISSUED_1</vt:lpstr>
      <vt:lpstr>'x-215'!TABLE_DATE_ISSUED_1</vt:lpstr>
      <vt:lpstr>'x-216'!TABLE_DATE_ISSUED_1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'x-501'!TABLE_DATE_ISSUED_1</vt:lpstr>
      <vt:lpstr>'x-502'!TABLE_DATE_ISSUED_1</vt:lpstr>
      <vt:lpstr>'x-503'!TABLE_DATE_ISSUED_1</vt:lpstr>
      <vt:lpstr>'x-504'!TABLE_DATE_ISSUED_1</vt:lpstr>
      <vt:lpstr>'x-505'!TABLE_DATE_ISSUED_1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'x-809'!TABLE_DATE_ISSUED_1</vt:lpstr>
      <vt:lpstr>'x-810'!TABLE_DATE_ISSUED_1</vt:lpstr>
      <vt:lpstr>'x-811'!TABLE_DATE_ISSUED_1</vt:lpstr>
      <vt:lpstr>'x-812'!TABLE_DATE_ISSUED_1</vt:lpstr>
      <vt:lpstr>'x-813'!TABLE_DATE_ISSUED_1</vt:lpstr>
      <vt:lpstr>'x-814'!TABLE_DATE_ISSUED_1</vt:lpstr>
      <vt:lpstr>'x-815'!TABLE_DATE_ISSUED_1</vt:lpstr>
      <vt:lpstr>'x-817'!TABLE_DATE_ISSUED_1</vt:lpstr>
      <vt:lpstr>'x-818'!TABLE_DATE_ISSUED_1</vt:lpstr>
      <vt:lpstr>'x-819'!TABLE_DATE_ISSUED_1</vt:lpstr>
      <vt:lpstr>'x-820'!TABLE_DATE_ISSUED_1</vt:lpstr>
      <vt:lpstr>'x-821'!TABLE_DATE_ISSUED_1</vt:lpstr>
      <vt:lpstr>'x-822'!TABLE_DATE_ISSUED_1</vt:lpstr>
      <vt:lpstr>'x-823'!TABLE_DATE_ISSUED_1</vt:lpstr>
      <vt:lpstr>'x-824'!TABLE_DATE_ISSUED_1</vt:lpstr>
      <vt:lpstr>'x-825'!TABLE_DATE_ISSUED_1</vt:lpstr>
      <vt:lpstr>'x-826'!TABLE_DATE_ISSUED_1</vt:lpstr>
      <vt:lpstr>'x-827'!TABLE_DATE_ISSUED_1</vt:lpstr>
      <vt:lpstr>'x-204'!TABLE_DATE_ISSUED_2</vt:lpstr>
      <vt:lpstr>'x-403'!TABLE_DATE_ISSUED_2</vt:lpstr>
      <vt:lpstr>'x-404'!TABLE_DATE_ISSUED_2</vt:lpstr>
      <vt:lpstr>'x-409'!TABLE_DATE_ISSUED_2</vt:lpstr>
      <vt:lpstr>'x-410'!TABLE_DATE_ISSUED_2</vt:lpstr>
      <vt:lpstr>'x-415'!TABLE_DATE_ISSUED_2</vt:lpstr>
      <vt:lpstr>'x-810'!TABLE_DATE_ISSUED_2</vt:lpstr>
      <vt:lpstr>TABLE_DESCRIPTION</vt:lpstr>
      <vt:lpstr>'x-101'!table_Description_1</vt:lpstr>
      <vt:lpstr>'x-102'!table_description_1</vt:lpstr>
      <vt:lpstr>'x-103'!table_Description_1</vt:lpstr>
      <vt:lpstr>'x-104'!table_Description_1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'x-214'!TABLE_DESCRIPTION_1</vt:lpstr>
      <vt:lpstr>'x-215'!TABLE_DESCRIPTION_1</vt:lpstr>
      <vt:lpstr>'x-216'!TABLE_DESCRIPTION_1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'x-501'!TABLE_DESCRIPTION_1</vt:lpstr>
      <vt:lpstr>'x-502'!TABLE_DESCRIPTION_1</vt:lpstr>
      <vt:lpstr>'x-503'!TABLE_DESCRIPTION_1</vt:lpstr>
      <vt:lpstr>'x-504'!TABLE_DESCRIPTION_1</vt:lpstr>
      <vt:lpstr>'x-505'!TABLE_DESCRIPTION_1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'x-809'!TABLE_DESCRIPTION_1</vt:lpstr>
      <vt:lpstr>'x-810'!TABLE_DESCRIPTION_1</vt:lpstr>
      <vt:lpstr>'x-811'!TABLE_DESCRIPTION_1</vt:lpstr>
      <vt:lpstr>'x-812'!TABLE_DESCRIPTION_1</vt:lpstr>
      <vt:lpstr>'x-813'!TABLE_DESCRIPTION_1</vt:lpstr>
      <vt:lpstr>'x-814'!TABLE_DESCRIPTION_1</vt:lpstr>
      <vt:lpstr>'x-815'!TABLE_DESCRIPTION_1</vt:lpstr>
      <vt:lpstr>'x-817'!TABLE_DESCRIPTION_1</vt:lpstr>
      <vt:lpstr>'x-818'!TABLE_DESCRIPTION_1</vt:lpstr>
      <vt:lpstr>'x-819'!TABLE_DESCRIPTION_1</vt:lpstr>
      <vt:lpstr>'x-820'!TABLE_DESCRIPTION_1</vt:lpstr>
      <vt:lpstr>'x-821'!TABLE_DESCRIPTION_1</vt:lpstr>
      <vt:lpstr>'x-822'!TABLE_DESCRIPTION_1</vt:lpstr>
      <vt:lpstr>'x-823'!TABLE_DESCRIPTION_1</vt:lpstr>
      <vt:lpstr>'x-824'!TABLE_DESCRIPTION_1</vt:lpstr>
      <vt:lpstr>'x-825'!TABLE_DESCRIPTION_1</vt:lpstr>
      <vt:lpstr>'x-826'!TABLE_DESCRIPTION_1</vt:lpstr>
      <vt:lpstr>'x-827'!TABLE_DESCRIPTION_1</vt:lpstr>
      <vt:lpstr>'x-204'!TABLE_DESCRIPTION_2</vt:lpstr>
      <vt:lpstr>'x-403'!TABLE_DESCRIPTION_2</vt:lpstr>
      <vt:lpstr>'x-404'!TABLE_DESCRIPTION_2</vt:lpstr>
      <vt:lpstr>'x-409'!TABLE_DESCRIPTION_2</vt:lpstr>
      <vt:lpstr>'x-410'!TABLE_DESCRIPTION_2</vt:lpstr>
      <vt:lpstr>'x-415'!TABLE_DESCRIPTION_2</vt:lpstr>
      <vt:lpstr>'x-810'!TABLE_DESCRIPTION_2</vt:lpstr>
      <vt:lpstr>TABLE_FACTOR_STATUS</vt:lpstr>
      <vt:lpstr>'x-101'!table_factor_status_1</vt:lpstr>
      <vt:lpstr>'x-102'!table_factor_status_1</vt:lpstr>
      <vt:lpstr>'x-103'!table_factor_status_1</vt:lpstr>
      <vt:lpstr>'x-104'!table_factor_status_1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'x-214'!TABLE_FACTOR_STATUS_1</vt:lpstr>
      <vt:lpstr>'x-215'!TABLE_FACTOR_STATUS_1</vt:lpstr>
      <vt:lpstr>'x-216'!TABLE_FACTOR_STATUS_1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'x-501'!TABLE_FACTOR_STATUS_1</vt:lpstr>
      <vt:lpstr>'x-502'!TABLE_FACTOR_STATUS_1</vt:lpstr>
      <vt:lpstr>'x-503'!TABLE_FACTOR_STATUS_1</vt:lpstr>
      <vt:lpstr>'x-504'!TABLE_FACTOR_STATUS_1</vt:lpstr>
      <vt:lpstr>'x-505'!TABLE_FACTOR_STATUS_1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'x-809'!TABLE_FACTOR_STATUS_1</vt:lpstr>
      <vt:lpstr>'x-810'!TABLE_FACTOR_STATUS_1</vt:lpstr>
      <vt:lpstr>'x-811'!TABLE_FACTOR_STATUS_1</vt:lpstr>
      <vt:lpstr>'x-812'!TABLE_FACTOR_STATUS_1</vt:lpstr>
      <vt:lpstr>'x-813'!TABLE_FACTOR_STATUS_1</vt:lpstr>
      <vt:lpstr>'x-814'!TABLE_FACTOR_STATUS_1</vt:lpstr>
      <vt:lpstr>'x-815'!TABLE_FACTOR_STATUS_1</vt:lpstr>
      <vt:lpstr>'x-817'!TABLE_FACTOR_STATUS_1</vt:lpstr>
      <vt:lpstr>'x-818'!TABLE_FACTOR_STATUS_1</vt:lpstr>
      <vt:lpstr>'x-819'!TABLE_FACTOR_STATUS_1</vt:lpstr>
      <vt:lpstr>'x-820'!TABLE_FACTOR_STATUS_1</vt:lpstr>
      <vt:lpstr>'x-821'!TABLE_FACTOR_STATUS_1</vt:lpstr>
      <vt:lpstr>'x-822'!TABLE_FACTOR_STATUS_1</vt:lpstr>
      <vt:lpstr>'x-823'!TABLE_FACTOR_STATUS_1</vt:lpstr>
      <vt:lpstr>'x-824'!TABLE_FACTOR_STATUS_1</vt:lpstr>
      <vt:lpstr>'x-825'!TABLE_FACTOR_STATUS_1</vt:lpstr>
      <vt:lpstr>'x-826'!TABLE_FACTOR_STATUS_1</vt:lpstr>
      <vt:lpstr>'x-827'!TABLE_FACTOR_STATUS_1</vt:lpstr>
      <vt:lpstr>'x-204'!TABLE_FACTOR_STATUS_2</vt:lpstr>
      <vt:lpstr>'x-403'!TABLE_FACTOR_STATUS_2</vt:lpstr>
      <vt:lpstr>'x-404'!TABLE_FACTOR_STATUS_2</vt:lpstr>
      <vt:lpstr>'x-409'!TABLE_FACTOR_STATUS_2</vt:lpstr>
      <vt:lpstr>'x-410'!TABLE_FACTOR_STATUS_2</vt:lpstr>
      <vt:lpstr>'x-415'!TABLE_FACTOR_STATUS_2</vt:lpstr>
      <vt:lpstr>'x-810'!TABLE_FACTOR_STATUS_2</vt:lpstr>
      <vt:lpstr>TABLE_FACTOR_TYPE</vt:lpstr>
      <vt:lpstr>'x-101'!table_factor_type_1</vt:lpstr>
      <vt:lpstr>'x-102'!table_factor_type_1</vt:lpstr>
      <vt:lpstr>'x-103'!table_factor_type_1</vt:lpstr>
      <vt:lpstr>'x-104'!table_factor_type_1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'x-214'!TABLE_FACTOR_TYPE_1</vt:lpstr>
      <vt:lpstr>'x-215'!TABLE_FACTOR_TYPE_1</vt:lpstr>
      <vt:lpstr>'x-216'!TABLE_FACTOR_TYPE_1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'x-501'!TABLE_FACTOR_TYPE_1</vt:lpstr>
      <vt:lpstr>'x-502'!TABLE_FACTOR_TYPE_1</vt:lpstr>
      <vt:lpstr>'x-503'!TABLE_FACTOR_TYPE_1</vt:lpstr>
      <vt:lpstr>'x-504'!TABLE_FACTOR_TYPE_1</vt:lpstr>
      <vt:lpstr>'x-505'!TABLE_FACTOR_TYPE_1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'x-809'!TABLE_FACTOR_TYPE_1</vt:lpstr>
      <vt:lpstr>'x-810'!TABLE_FACTOR_TYPE_1</vt:lpstr>
      <vt:lpstr>'x-811'!TABLE_FACTOR_TYPE_1</vt:lpstr>
      <vt:lpstr>'x-812'!TABLE_FACTOR_TYPE_1</vt:lpstr>
      <vt:lpstr>'x-813'!TABLE_FACTOR_TYPE_1</vt:lpstr>
      <vt:lpstr>'x-814'!TABLE_FACTOR_TYPE_1</vt:lpstr>
      <vt:lpstr>'x-815'!TABLE_FACTOR_TYPE_1</vt:lpstr>
      <vt:lpstr>'x-817'!TABLE_FACTOR_TYPE_1</vt:lpstr>
      <vt:lpstr>'x-818'!TABLE_FACTOR_TYPE_1</vt:lpstr>
      <vt:lpstr>'x-819'!TABLE_FACTOR_TYPE_1</vt:lpstr>
      <vt:lpstr>'x-820'!TABLE_FACTOR_TYPE_1</vt:lpstr>
      <vt:lpstr>'x-821'!TABLE_FACTOR_TYPE_1</vt:lpstr>
      <vt:lpstr>'x-822'!TABLE_FACTOR_TYPE_1</vt:lpstr>
      <vt:lpstr>'x-823'!TABLE_FACTOR_TYPE_1</vt:lpstr>
      <vt:lpstr>'x-824'!TABLE_FACTOR_TYPE_1</vt:lpstr>
      <vt:lpstr>'x-825'!TABLE_FACTOR_TYPE_1</vt:lpstr>
      <vt:lpstr>'x-826'!TABLE_FACTOR_TYPE_1</vt:lpstr>
      <vt:lpstr>'x-827'!TABLE_FACTOR_TYPE_1</vt:lpstr>
      <vt:lpstr>'x-204'!TABLE_FACTOR_TYPE_2</vt:lpstr>
      <vt:lpstr>'x-403'!TABLE_FACTOR_TYPE_2</vt:lpstr>
      <vt:lpstr>'x-404'!TABLE_FACTOR_TYPE_2</vt:lpstr>
      <vt:lpstr>'x-409'!TABLE_FACTOR_TYPE_2</vt:lpstr>
      <vt:lpstr>'x-410'!TABLE_FACTOR_TYPE_2</vt:lpstr>
      <vt:lpstr>'x-415'!TABLE_FACTOR_TYPE_2</vt:lpstr>
      <vt:lpstr>'x-810'!TABLE_FACTOR_TYPE_2</vt:lpstr>
      <vt:lpstr>TABLE_GENDER</vt:lpstr>
      <vt:lpstr>'x-101'!table_Gender_1</vt:lpstr>
      <vt:lpstr>'x-102'!table_gender_1</vt:lpstr>
      <vt:lpstr>'x-103'!table_Gender_1</vt:lpstr>
      <vt:lpstr>'x-104'!table_Gender_1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'x-214'!TABLE_GENDER_1</vt:lpstr>
      <vt:lpstr>'x-215'!TABLE_GENDER_1</vt:lpstr>
      <vt:lpstr>'x-216'!TABLE_GENDER_1</vt:lpstr>
      <vt:lpstr>'x-217'!TABLE_GENDER_1</vt:lpstr>
      <vt:lpstr>'x-218'!TABLE_GENDER_1</vt:lpstr>
      <vt:lpstr>'x-219'!TABLE_GENDER_1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'x-424'!TABLE_GENDER_1</vt:lpstr>
      <vt:lpstr>'x-501'!TABLE_GENDER_1</vt:lpstr>
      <vt:lpstr>'x-502'!TABLE_GENDER_1</vt:lpstr>
      <vt:lpstr>'x-503'!TABLE_GENDER_1</vt:lpstr>
      <vt:lpstr>'x-504'!TABLE_GENDER_1</vt:lpstr>
      <vt:lpstr>'x-505'!TABLE_GENDER_1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'x-809'!TABLE_GENDER_1</vt:lpstr>
      <vt:lpstr>'x-810'!TABLE_GENDER_1</vt:lpstr>
      <vt:lpstr>'x-811'!TABLE_GENDER_1</vt:lpstr>
      <vt:lpstr>'x-812'!TABLE_GENDER_1</vt:lpstr>
      <vt:lpstr>'x-813'!TABLE_GENDER_1</vt:lpstr>
      <vt:lpstr>'x-814'!TABLE_GENDER_1</vt:lpstr>
      <vt:lpstr>'x-815'!TABLE_GENDER_1</vt:lpstr>
      <vt:lpstr>'x-817'!TABLE_GENDER_1</vt:lpstr>
      <vt:lpstr>'x-818'!TABLE_GENDER_1</vt:lpstr>
      <vt:lpstr>'x-819'!TABLE_GENDER_1</vt:lpstr>
      <vt:lpstr>'x-820'!TABLE_GENDER_1</vt:lpstr>
      <vt:lpstr>'x-821'!TABLE_GENDER_1</vt:lpstr>
      <vt:lpstr>'x-822'!TABLE_GENDER_1</vt:lpstr>
      <vt:lpstr>'x-823'!TABLE_GENDER_1</vt:lpstr>
      <vt:lpstr>'x-824'!TABLE_GENDER_1</vt:lpstr>
      <vt:lpstr>'x-825'!TABLE_GENDER_1</vt:lpstr>
      <vt:lpstr>'x-826'!TABLE_GENDER_1</vt:lpstr>
      <vt:lpstr>'x-827'!TABLE_GENDER_1</vt:lpstr>
      <vt:lpstr>'x-204'!TABLE_GENDER_2</vt:lpstr>
      <vt:lpstr>'x-403'!TABLE_GENDER_2</vt:lpstr>
      <vt:lpstr>'x-404'!TABLE_GENDER_2</vt:lpstr>
      <vt:lpstr>'x-409'!TABLE_GENDER_2</vt:lpstr>
      <vt:lpstr>'x-410'!TABLE_GENDER_2</vt:lpstr>
      <vt:lpstr>'x-415'!TABLE_GENDER_2</vt:lpstr>
      <vt:lpstr>'x-810'!TABLE_GENDER_2</vt:lpstr>
      <vt:lpstr>TABLE_INFO</vt:lpstr>
      <vt:lpstr>'x-101'!table_info_1</vt:lpstr>
      <vt:lpstr>'x-102'!table_info_1</vt:lpstr>
      <vt:lpstr>'x-103'!table_info_1</vt:lpstr>
      <vt:lpstr>'x-104'!table_info_1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'x-214'!TABLE_INFO_1</vt:lpstr>
      <vt:lpstr>'x-215'!TABLE_INFO_1</vt:lpstr>
      <vt:lpstr>'x-216'!TABLE_INFO_1</vt:lpstr>
      <vt:lpstr>'x-217'!TABLE_INFO_1</vt:lpstr>
      <vt:lpstr>'x-218'!TABLE_INFO_1</vt:lpstr>
      <vt:lpstr>'x-219'!TABLE_INFO_1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'x-424'!TABLE_INFO_1</vt:lpstr>
      <vt:lpstr>'x-501'!TABLE_INFO_1</vt:lpstr>
      <vt:lpstr>'x-502'!TABLE_INFO_1</vt:lpstr>
      <vt:lpstr>'x-503'!TABLE_INFO_1</vt:lpstr>
      <vt:lpstr>'x-504'!TABLE_INFO_1</vt:lpstr>
      <vt:lpstr>'x-505'!TABLE_INFO_1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'x-804'!TABLE_INFO_1</vt:lpstr>
      <vt:lpstr>'x-805'!TABLE_INFO_1</vt:lpstr>
      <vt:lpstr>'x-806'!TABLE_INFO_1</vt:lpstr>
      <vt:lpstr>'x-807'!TABLE_INFO_1</vt:lpstr>
      <vt:lpstr>'x-808'!TABLE_INFO_1</vt:lpstr>
      <vt:lpstr>'x-809'!TABLE_INFO_1</vt:lpstr>
      <vt:lpstr>'x-810'!TABLE_INFO_1</vt:lpstr>
      <vt:lpstr>'x-811'!TABLE_INFO_1</vt:lpstr>
      <vt:lpstr>'x-812'!TABLE_INFO_1</vt:lpstr>
      <vt:lpstr>'x-813'!TABLE_INFO_1</vt:lpstr>
      <vt:lpstr>'x-814'!TABLE_INFO_1</vt:lpstr>
      <vt:lpstr>'x-815'!TABLE_INFO_1</vt:lpstr>
      <vt:lpstr>'x-817'!TABLE_INFO_1</vt:lpstr>
      <vt:lpstr>'x-818'!TABLE_INFO_1</vt:lpstr>
      <vt:lpstr>'x-819'!TABLE_INFO_1</vt:lpstr>
      <vt:lpstr>'x-820'!TABLE_INFO_1</vt:lpstr>
      <vt:lpstr>'x-821'!TABLE_INFO_1</vt:lpstr>
      <vt:lpstr>'x-822'!TABLE_INFO_1</vt:lpstr>
      <vt:lpstr>'x-823'!TABLE_INFO_1</vt:lpstr>
      <vt:lpstr>'x-824'!TABLE_INFO_1</vt:lpstr>
      <vt:lpstr>'x-825'!TABLE_INFO_1</vt:lpstr>
      <vt:lpstr>'x-826'!TABLE_INFO_1</vt:lpstr>
      <vt:lpstr>'x-827'!TABLE_INFO_1</vt:lpstr>
      <vt:lpstr>'x-204'!TABLE_INFO_2</vt:lpstr>
      <vt:lpstr>'x-403'!TABLE_INFO_2</vt:lpstr>
      <vt:lpstr>'x-404'!TABLE_INFO_2</vt:lpstr>
      <vt:lpstr>'x-409'!TABLE_INFO_2</vt:lpstr>
      <vt:lpstr>'x-410'!TABLE_INFO_2</vt:lpstr>
      <vt:lpstr>'x-415'!TABLE_INFO_2</vt:lpstr>
      <vt:lpstr>'x-810'!TABLE_INFO_2</vt:lpstr>
      <vt:lpstr>TABLE_REFERENCE</vt:lpstr>
      <vt:lpstr>'x-101'!table_reference_1</vt:lpstr>
      <vt:lpstr>'x-102'!table_reference_1</vt:lpstr>
      <vt:lpstr>'x-103'!table_reference_1</vt:lpstr>
      <vt:lpstr>'x-104'!table_reference_1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'x-214'!TABLE_REFERENCE_1</vt:lpstr>
      <vt:lpstr>'x-215'!TABLE_REFERENCE_1</vt:lpstr>
      <vt:lpstr>'x-216'!TABLE_REFERENCE_1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'x-501'!TABLE_REFERENCE_1</vt:lpstr>
      <vt:lpstr>'x-502'!TABLE_REFERENCE_1</vt:lpstr>
      <vt:lpstr>'x-503'!TABLE_REFERENCE_1</vt:lpstr>
      <vt:lpstr>'x-504'!TABLE_REFERENCE_1</vt:lpstr>
      <vt:lpstr>'x-505'!TABLE_REFERENCE_1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'x-809'!TABLE_REFERENCE_1</vt:lpstr>
      <vt:lpstr>'x-810'!TABLE_REFERENCE_1</vt:lpstr>
      <vt:lpstr>'x-811'!TABLE_REFERENCE_1</vt:lpstr>
      <vt:lpstr>'x-812'!TABLE_REFERENCE_1</vt:lpstr>
      <vt:lpstr>'x-813'!TABLE_REFERENCE_1</vt:lpstr>
      <vt:lpstr>'x-814'!TABLE_REFERENCE_1</vt:lpstr>
      <vt:lpstr>'x-815'!TABLE_REFERENCE_1</vt:lpstr>
      <vt:lpstr>'x-817'!TABLE_REFERENCE_1</vt:lpstr>
      <vt:lpstr>'x-818'!TABLE_REFERENCE_1</vt:lpstr>
      <vt:lpstr>'x-819'!TABLE_REFERENCE_1</vt:lpstr>
      <vt:lpstr>'x-820'!TABLE_REFERENCE_1</vt:lpstr>
      <vt:lpstr>'x-821'!TABLE_REFERENCE_1</vt:lpstr>
      <vt:lpstr>'x-822'!TABLE_REFERENCE_1</vt:lpstr>
      <vt:lpstr>'x-823'!TABLE_REFERENCE_1</vt:lpstr>
      <vt:lpstr>'x-824'!TABLE_REFERENCE_1</vt:lpstr>
      <vt:lpstr>'x-825'!TABLE_REFERENCE_1</vt:lpstr>
      <vt:lpstr>'x-826'!TABLE_REFERENCE_1</vt:lpstr>
      <vt:lpstr>'x-827'!TABLE_REFERENCE_1</vt:lpstr>
      <vt:lpstr>'x-204'!TABLE_REFERENCE_2</vt:lpstr>
      <vt:lpstr>'x-403'!TABLE_REFERENCE_2</vt:lpstr>
      <vt:lpstr>'x-404'!TABLE_REFERENCE_2</vt:lpstr>
      <vt:lpstr>'x-409'!TABLE_REFERENCE_2</vt:lpstr>
      <vt:lpstr>'x-410'!TABLE_REFERENCE_2</vt:lpstr>
      <vt:lpstr>'x-415'!TABLE_REFERENCE_2</vt:lpstr>
      <vt:lpstr>'x-810'!TABLE_REFERENCE_2</vt:lpstr>
      <vt:lpstr>TABLE_REFERENCE_GUIDANCE</vt:lpstr>
      <vt:lpstr>'x-101'!table_reference_guidance_1</vt:lpstr>
      <vt:lpstr>'x-102'!table_reference_guidance_1</vt:lpstr>
      <vt:lpstr>'x-103'!table_reference_guidance_1</vt:lpstr>
      <vt:lpstr>'x-104'!table_reference_guidance_1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'x-501'!TABLE_REFERENCE_GUIDANCE_1</vt:lpstr>
      <vt:lpstr>'x-502'!TABLE_REFERENCE_GUIDANCE_1</vt:lpstr>
      <vt:lpstr>'x-503'!TABLE_REFERENCE_GUIDANCE_1</vt:lpstr>
      <vt:lpstr>'x-504'!TABLE_REFERENCE_GUIDANCE_1</vt:lpstr>
      <vt:lpstr>'x-505'!TABLE_REFERENCE_GUIDANCE_1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'x-817'!TABLE_REFERENCE_GUIDANCE_1</vt:lpstr>
      <vt:lpstr>'x-818'!TABLE_REFERENCE_GUIDANCE_1</vt:lpstr>
      <vt:lpstr>'x-819'!TABLE_REFERENCE_GUIDANCE_1</vt:lpstr>
      <vt:lpstr>'x-820'!TABLE_REFERENCE_GUIDANCE_1</vt:lpstr>
      <vt:lpstr>'x-821'!TABLE_REFERENCE_GUIDANCE_1</vt:lpstr>
      <vt:lpstr>'x-822'!TABLE_REFERENCE_GUIDANCE_1</vt:lpstr>
      <vt:lpstr>'x-823'!TABLE_REFERENCE_GUIDANCE_1</vt:lpstr>
      <vt:lpstr>'x-824'!TABLE_REFERENCE_GUIDANCE_1</vt:lpstr>
      <vt:lpstr>'x-825'!TABLE_REFERENCE_GUIDANCE_1</vt:lpstr>
      <vt:lpstr>'x-826'!TABLE_REFERENCE_GUIDANCE_1</vt:lpstr>
      <vt:lpstr>'x-827'!TABLE_REFERENCE_GUIDANCE_1</vt:lpstr>
      <vt:lpstr>'x-204'!TABLE_REFERENCE_GUIDANCE_2</vt:lpstr>
      <vt:lpstr>'x-403'!TABLE_REFERENCE_GUIDANCE_2</vt:lpstr>
      <vt:lpstr>'x-404'!TABLE_REFERENCE_GUIDANCE_2</vt:lpstr>
      <vt:lpstr>'x-409'!TABLE_REFERENCE_GUIDANCE_2</vt:lpstr>
      <vt:lpstr>'x-410'!TABLE_REFERENCE_GUIDANCE_2</vt:lpstr>
      <vt:lpstr>'x-415'!TABLE_REFERENCE_GUIDANCE_2</vt:lpstr>
      <vt:lpstr>'x-810'!TABLE_REFERENCE_GUIDANCE_2</vt:lpstr>
      <vt:lpstr>TABLE_RELATED</vt:lpstr>
      <vt:lpstr>'x-101'!table_related_1</vt:lpstr>
      <vt:lpstr>'x-102'!table_related_1</vt:lpstr>
      <vt:lpstr>'x-103'!table_related_1</vt:lpstr>
      <vt:lpstr>'x-104'!table_related_1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'x-214'!TABLE_RELATED_1</vt:lpstr>
      <vt:lpstr>'x-215'!TABLE_RELATED_1</vt:lpstr>
      <vt:lpstr>'x-216'!TABLE_RELATED_1</vt:lpstr>
      <vt:lpstr>'x-217'!TABLE_RELATED_1</vt:lpstr>
      <vt:lpstr>'x-218'!TABLE_RELATED_1</vt:lpstr>
      <vt:lpstr>'x-219'!TABLE_RELATED_1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'x-424'!TABLE_RELATED_1</vt:lpstr>
      <vt:lpstr>'x-501'!TABLE_RELATED_1</vt:lpstr>
      <vt:lpstr>'x-502'!TABLE_RELATED_1</vt:lpstr>
      <vt:lpstr>'x-503'!TABLE_RELATED_1</vt:lpstr>
      <vt:lpstr>'x-504'!TABLE_RELATED_1</vt:lpstr>
      <vt:lpstr>'x-505'!TABLE_RELATED_1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'x-809'!TABLE_RELATED_1</vt:lpstr>
      <vt:lpstr>'x-810'!TABLE_RELATED_1</vt:lpstr>
      <vt:lpstr>'x-811'!TABLE_RELATED_1</vt:lpstr>
      <vt:lpstr>'x-812'!TABLE_RELATED_1</vt:lpstr>
      <vt:lpstr>'x-813'!TABLE_RELATED_1</vt:lpstr>
      <vt:lpstr>'x-814'!TABLE_RELATED_1</vt:lpstr>
      <vt:lpstr>'x-815'!TABLE_RELATED_1</vt:lpstr>
      <vt:lpstr>'x-817'!TABLE_RELATED_1</vt:lpstr>
      <vt:lpstr>'x-818'!TABLE_RELATED_1</vt:lpstr>
      <vt:lpstr>'x-819'!TABLE_RELATED_1</vt:lpstr>
      <vt:lpstr>'x-820'!TABLE_RELATED_1</vt:lpstr>
      <vt:lpstr>'x-821'!TABLE_RELATED_1</vt:lpstr>
      <vt:lpstr>'x-822'!TABLE_RELATED_1</vt:lpstr>
      <vt:lpstr>'x-823'!TABLE_RELATED_1</vt:lpstr>
      <vt:lpstr>'x-824'!TABLE_RELATED_1</vt:lpstr>
      <vt:lpstr>'x-825'!TABLE_RELATED_1</vt:lpstr>
      <vt:lpstr>'x-826'!TABLE_RELATED_1</vt:lpstr>
      <vt:lpstr>'x-827'!TABLE_RELATED_1</vt:lpstr>
      <vt:lpstr>'x-204'!TABLE_RELATED_2</vt:lpstr>
      <vt:lpstr>'x-403'!TABLE_RELATED_2</vt:lpstr>
      <vt:lpstr>'x-404'!TABLE_RELATED_2</vt:lpstr>
      <vt:lpstr>'x-409'!TABLE_RELATED_2</vt:lpstr>
      <vt:lpstr>'x-410'!TABLE_RELATED_2</vt:lpstr>
      <vt:lpstr>'x-415'!TABLE_RELATED_2</vt:lpstr>
      <vt:lpstr>'x-810'!TABLE_RELATED_2</vt:lpstr>
      <vt:lpstr>TABLE_SECTION</vt:lpstr>
      <vt:lpstr>'x-101'!table_section_1</vt:lpstr>
      <vt:lpstr>'x-102'!table_section_1</vt:lpstr>
      <vt:lpstr>'x-103'!table_section_1</vt:lpstr>
      <vt:lpstr>'x-104'!table_section_1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'x-214'!TABLE_SECTION_1</vt:lpstr>
      <vt:lpstr>'x-215'!TABLE_SECTION_1</vt:lpstr>
      <vt:lpstr>'x-216'!TABLE_SECTION_1</vt:lpstr>
      <vt:lpstr>'x-217'!TABLE_SECTION_1</vt:lpstr>
      <vt:lpstr>'x-218'!TABLE_SECTION_1</vt:lpstr>
      <vt:lpstr>'x-219'!TABLE_SECTION_1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'x-424'!TABLE_SECTION_1</vt:lpstr>
      <vt:lpstr>'x-501'!TABLE_SECTION_1</vt:lpstr>
      <vt:lpstr>'x-502'!TABLE_SECTION_1</vt:lpstr>
      <vt:lpstr>'x-503'!TABLE_SECTION_1</vt:lpstr>
      <vt:lpstr>'x-504'!TABLE_SECTION_1</vt:lpstr>
      <vt:lpstr>'x-505'!TABLE_SECTION_1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'x-809'!TABLE_SECTION_1</vt:lpstr>
      <vt:lpstr>'x-810'!TABLE_SECTION_1</vt:lpstr>
      <vt:lpstr>'x-811'!TABLE_SECTION_1</vt:lpstr>
      <vt:lpstr>'x-812'!TABLE_SECTION_1</vt:lpstr>
      <vt:lpstr>'x-813'!TABLE_SECTION_1</vt:lpstr>
      <vt:lpstr>'x-814'!TABLE_SECTION_1</vt:lpstr>
      <vt:lpstr>'x-815'!TABLE_SECTION_1</vt:lpstr>
      <vt:lpstr>'x-817'!TABLE_SECTION_1</vt:lpstr>
      <vt:lpstr>'x-818'!TABLE_SECTION_1</vt:lpstr>
      <vt:lpstr>'x-819'!TABLE_SECTION_1</vt:lpstr>
      <vt:lpstr>'x-820'!TABLE_SECTION_1</vt:lpstr>
      <vt:lpstr>'x-821'!TABLE_SECTION_1</vt:lpstr>
      <vt:lpstr>'x-822'!TABLE_SECTION_1</vt:lpstr>
      <vt:lpstr>'x-823'!TABLE_SECTION_1</vt:lpstr>
      <vt:lpstr>'x-824'!TABLE_SECTION_1</vt:lpstr>
      <vt:lpstr>'x-825'!TABLE_SECTION_1</vt:lpstr>
      <vt:lpstr>'x-826'!TABLE_SECTION_1</vt:lpstr>
      <vt:lpstr>'x-827'!TABLE_SECTION_1</vt:lpstr>
      <vt:lpstr>'x-204'!TABLE_SECTION_2</vt:lpstr>
      <vt:lpstr>'x-403'!TABLE_SECTION_2</vt:lpstr>
      <vt:lpstr>'x-404'!TABLE_SECTION_2</vt:lpstr>
      <vt:lpstr>'x-409'!TABLE_SECTION_2</vt:lpstr>
      <vt:lpstr>'x-410'!TABLE_SECTION_2</vt:lpstr>
      <vt:lpstr>'x-415'!TABLE_SECTION_2</vt:lpstr>
      <vt:lpstr>'x-810'!TABLE_SECTION_2</vt:lpstr>
      <vt:lpstr>TABLE_SECTION_NUMBER</vt:lpstr>
      <vt:lpstr>'x-101'!table_Section_Number_1</vt:lpstr>
      <vt:lpstr>'x-102'!table_Section_Number_1</vt:lpstr>
      <vt:lpstr>'x-103'!table_Section_Number_1</vt:lpstr>
      <vt:lpstr>'x-104'!table_Section_Number_1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'x-501'!TABLE_SECTION_NUMBER_1</vt:lpstr>
      <vt:lpstr>'x-502'!TABLE_SECTION_NUMBER_1</vt:lpstr>
      <vt:lpstr>'x-503'!TABLE_SECTION_NUMBER_1</vt:lpstr>
      <vt:lpstr>'x-504'!TABLE_SECTION_NUMBER_1</vt:lpstr>
      <vt:lpstr>'x-505'!TABLE_SECTION_NUMBER_1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'x-817'!TABLE_SECTION_NUMBER_1</vt:lpstr>
      <vt:lpstr>'x-818'!TABLE_SECTION_NUMBER_1</vt:lpstr>
      <vt:lpstr>'x-819'!TABLE_SECTION_NUMBER_1</vt:lpstr>
      <vt:lpstr>'x-820'!TABLE_SECTION_NUMBER_1</vt:lpstr>
      <vt:lpstr>'x-821'!TABLE_SECTION_NUMBER_1</vt:lpstr>
      <vt:lpstr>'x-822'!TABLE_SECTION_NUMBER_1</vt:lpstr>
      <vt:lpstr>'x-823'!TABLE_SECTION_NUMBER_1</vt:lpstr>
      <vt:lpstr>'x-824'!TABLE_SECTION_NUMBER_1</vt:lpstr>
      <vt:lpstr>'x-825'!TABLE_SECTION_NUMBER_1</vt:lpstr>
      <vt:lpstr>'x-826'!TABLE_SECTION_NUMBER_1</vt:lpstr>
      <vt:lpstr>'x-827'!TABLE_SECTION_NUMBER_1</vt:lpstr>
      <vt:lpstr>'x-204'!TABLE_SECTION_NUMBER_2</vt:lpstr>
      <vt:lpstr>'x-403'!TABLE_SECTION_NUMBER_2</vt:lpstr>
      <vt:lpstr>'x-404'!TABLE_SECTION_NUMBER_2</vt:lpstr>
      <vt:lpstr>'x-409'!TABLE_SECTION_NUMBER_2</vt:lpstr>
      <vt:lpstr>'x-410'!TABLE_SECTION_NUMBER_2</vt:lpstr>
      <vt:lpstr>'x-415'!TABLE_SECTION_NUMBER_2</vt:lpstr>
      <vt:lpstr>'x-810'!TABLE_SECTION_NUMBER_2</vt:lpstr>
      <vt:lpstr>TABLE_SERIES_NUMBER</vt:lpstr>
      <vt:lpstr>'x-101'!table_Series_Number_1</vt:lpstr>
      <vt:lpstr>'x-102'!table_Series_Number_1</vt:lpstr>
      <vt:lpstr>'x-103'!table_Series_Number_1</vt:lpstr>
      <vt:lpstr>'x-104'!table_Series_Number_1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'x-214'!TABLE_SERIES_NUMBER_1</vt:lpstr>
      <vt:lpstr>'x-215'!TABLE_SERIES_NUMBER_1</vt:lpstr>
      <vt:lpstr>'x-216'!TABLE_SERIES_NUMBER_1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'x-501'!TABLE_SERIES_NUMBER_1</vt:lpstr>
      <vt:lpstr>'x-502'!TABLE_SERIES_NUMBER_1</vt:lpstr>
      <vt:lpstr>'x-503'!TABLE_SERIES_NUMBER_1</vt:lpstr>
      <vt:lpstr>'x-504'!TABLE_SERIES_NUMBER_1</vt:lpstr>
      <vt:lpstr>'x-505'!TABLE_SERIES_NUMBER_1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'x-809'!TABLE_SERIES_NUMBER_1</vt:lpstr>
      <vt:lpstr>'x-810'!TABLE_SERIES_NUMBER_1</vt:lpstr>
      <vt:lpstr>'x-811'!TABLE_SERIES_NUMBER_1</vt:lpstr>
      <vt:lpstr>'x-812'!TABLE_SERIES_NUMBER_1</vt:lpstr>
      <vt:lpstr>'x-813'!TABLE_SERIES_NUMBER_1</vt:lpstr>
      <vt:lpstr>'x-814'!TABLE_SERIES_NUMBER_1</vt:lpstr>
      <vt:lpstr>'x-815'!TABLE_SERIES_NUMBER_1</vt:lpstr>
      <vt:lpstr>'x-817'!TABLE_SERIES_NUMBER_1</vt:lpstr>
      <vt:lpstr>'x-818'!TABLE_SERIES_NUMBER_1</vt:lpstr>
      <vt:lpstr>'x-819'!TABLE_SERIES_NUMBER_1</vt:lpstr>
      <vt:lpstr>'x-820'!TABLE_SERIES_NUMBER_1</vt:lpstr>
      <vt:lpstr>'x-821'!TABLE_SERIES_NUMBER_1</vt:lpstr>
      <vt:lpstr>'x-822'!TABLE_SERIES_NUMBER_1</vt:lpstr>
      <vt:lpstr>'x-823'!TABLE_SERIES_NUMBER_1</vt:lpstr>
      <vt:lpstr>'x-824'!TABLE_SERIES_NUMBER_1</vt:lpstr>
      <vt:lpstr>'x-825'!TABLE_SERIES_NUMBER_1</vt:lpstr>
      <vt:lpstr>'x-826'!TABLE_SERIES_NUMBER_1</vt:lpstr>
      <vt:lpstr>'x-827'!TABLE_SERIES_NUMBER_1</vt:lpstr>
      <vt:lpstr>'x-204'!TABLE_SERIES_NUMBER_2</vt:lpstr>
      <vt:lpstr>'x-403'!TABLE_SERIES_NUMBER_2</vt:lpstr>
      <vt:lpstr>'x-404'!TABLE_SERIES_NUMBER_2</vt:lpstr>
      <vt:lpstr>'x-409'!TABLE_SERIES_NUMBER_2</vt:lpstr>
      <vt:lpstr>'x-410'!TABLE_SERIES_NUMBER_2</vt:lpstr>
      <vt:lpstr>'x-415'!TABLE_SERIES_NUMBER_2</vt:lpstr>
      <vt:lpstr>'x-810'!TABLE_SERIES_NUMBER_2</vt:lpstr>
      <vt:lpstr>tit</vt:lpstr>
      <vt:lpstr>titl</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S Consolidated Factors 2025-02.xlsm</dc:title>
  <dc:subject/>
  <dc:creator>Brian Allan</dc:creator>
  <cp:keywords/>
  <dc:description/>
  <cp:lastModifiedBy>Colley, Peter - GAD</cp:lastModifiedBy>
  <cp:revision/>
  <dcterms:created xsi:type="dcterms:W3CDTF">2007-01-30T12:07:56Z</dcterms:created>
  <dcterms:modified xsi:type="dcterms:W3CDTF">2026-03-18T10:47:55Z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0423ef77-b5e2-4153-9acf-d8c0b9febe24</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